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0920" tabRatio="715" firstSheet="14" activeTab="19"/>
  </bookViews>
  <sheets>
    <sheet name="1. sz. melléklet" sheetId="1" r:id="rId1"/>
    <sheet name="2. sz. melléklet" sheetId="2" r:id="rId2"/>
    <sheet name="3. sz. melléklet" sheetId="3" r:id="rId3"/>
    <sheet name="4.sz. melléklet" sheetId="4" r:id="rId4"/>
    <sheet name="5. sz. melléklet - Önkormányzat" sheetId="62" r:id="rId5"/>
    <sheet name="5. sz.  melléklet-Közös Hivatal" sheetId="61" r:id="rId6"/>
    <sheet name="6. sz. melléklet" sheetId="60" r:id="rId7"/>
    <sheet name="7. sz. melléklet" sheetId="58" r:id="rId8"/>
    <sheet name="8. sz. melléklet" sheetId="59" r:id="rId9"/>
    <sheet name="9. sz. melléklet" sheetId="49" r:id="rId10"/>
    <sheet name="10. sz. melléklet" sheetId="11" r:id="rId11"/>
    <sheet name="11. sz. melléklet " sheetId="12" r:id="rId12"/>
    <sheet name="12. sz. melléklet" sheetId="50" r:id="rId13"/>
    <sheet name="13. sz. melléklet" sheetId="43" r:id="rId14"/>
    <sheet name="13. sz. melléklet 2. oldal" sheetId="44" r:id="rId15"/>
    <sheet name="14. sz. melléklet" sheetId="16" r:id="rId16"/>
    <sheet name="15. sz. melléklet" sheetId="45" r:id="rId17"/>
    <sheet name="16. melléklet" sheetId="56" r:id="rId18"/>
    <sheet name="17. sz. melléklet" sheetId="19" r:id="rId19"/>
    <sheet name="18. sz. melléklet - Tartalék" sheetId="20" r:id="rId20"/>
  </sheets>
  <externalReferences>
    <externalReference r:id="rId23"/>
    <externalReference r:id="rId24"/>
    <externalReference r:id="rId25"/>
    <externalReference r:id="rId26"/>
    <externalReference r:id="rId27"/>
  </externalReferences>
  <definedNames>
    <definedName name="__xlnm.Print_Titles_1">"'5. sz. melléklet - önkormányzat'[.#HIV!$4]:6"</definedName>
    <definedName name="_c" localSheetId="12">#REF!</definedName>
    <definedName name="_c" localSheetId="4">#REF!</definedName>
    <definedName name="_c" localSheetId="9">#REF!</definedName>
    <definedName name="_c">#REF!</definedName>
    <definedName name="Beszúrás" localSheetId="12">SUM(#REF!,#REF!,#REF!,#REF!,#REF!,#REF!)</definedName>
    <definedName name="Beszúrás" localSheetId="4">SUM(#REF!,#REF!,#REF!,#REF!,#REF!,#REF!)</definedName>
    <definedName name="Beszúrás" localSheetId="9">SUM(#REF!,#REF!,#REF!,#REF!,#REF!,#REF!)</definedName>
    <definedName name="Beszúrás">SUM(#REF!,#REF!,#REF!,#REF!,#REF!,#REF!)</definedName>
    <definedName name="Excel_BuiltIn__FilterDatabase_5" localSheetId="10">#REF!</definedName>
    <definedName name="Excel_BuiltIn__FilterDatabase_5" localSheetId="11">#REF!</definedName>
    <definedName name="Excel_BuiltIn__FilterDatabase_5" localSheetId="12">#REF!</definedName>
    <definedName name="Excel_BuiltIn__FilterDatabase_5" localSheetId="15">#REF!</definedName>
    <definedName name="Excel_BuiltIn__FilterDatabase_5" localSheetId="2">#REF!</definedName>
    <definedName name="Excel_BuiltIn__FilterDatabase_5" localSheetId="3">#REF!</definedName>
    <definedName name="Excel_BuiltIn__FilterDatabase_5" localSheetId="4">#REF!</definedName>
    <definedName name="Excel_BuiltIn__FilterDatabase_5" localSheetId="9">#REF!</definedName>
    <definedName name="Excel_BuiltIn__FilterDatabase_5">#REF!</definedName>
    <definedName name="Excel_BuiltIn__FilterDatabase_5_1" localSheetId="4">#REF!</definedName>
    <definedName name="Excel_BuiltIn__FilterDatabase_5_1">#REF!</definedName>
    <definedName name="Excel_BuiltIn__FilterDatabase_5_10">NA()</definedName>
    <definedName name="Excel_BuiltIn__FilterDatabase_5_11" localSheetId="4">#REF!</definedName>
    <definedName name="Excel_BuiltIn__FilterDatabase_5_11">#REF!</definedName>
    <definedName name="Excel_BuiltIn__FilterDatabase_5_12" localSheetId="4">#REF!</definedName>
    <definedName name="Excel_BuiltIn__FilterDatabase_5_12">#REF!</definedName>
    <definedName name="Excel_BuiltIn__FilterDatabase_5_13" localSheetId="10">#REF!</definedName>
    <definedName name="Excel_BuiltIn__FilterDatabase_5_13" localSheetId="11">#REF!</definedName>
    <definedName name="Excel_BuiltIn__FilterDatabase_5_13" localSheetId="12">#REF!</definedName>
    <definedName name="Excel_BuiltIn__FilterDatabase_5_13" localSheetId="15">#REF!</definedName>
    <definedName name="Excel_BuiltIn__FilterDatabase_5_13" localSheetId="2">#REF!</definedName>
    <definedName name="Excel_BuiltIn__FilterDatabase_5_13" localSheetId="3">#REF!</definedName>
    <definedName name="Excel_BuiltIn__FilterDatabase_5_13" localSheetId="4">#REF!</definedName>
    <definedName name="Excel_BuiltIn__FilterDatabase_5_13" localSheetId="9">#REF!</definedName>
    <definedName name="Excel_BuiltIn__FilterDatabase_5_13">#REF!</definedName>
    <definedName name="Excel_BuiltIn__FilterDatabase_5_15" localSheetId="4">#REF!</definedName>
    <definedName name="Excel_BuiltIn__FilterDatabase_5_15">#REF!</definedName>
    <definedName name="Excel_BuiltIn__FilterDatabase_5_17" localSheetId="10">#REF!</definedName>
    <definedName name="Excel_BuiltIn__FilterDatabase_5_17" localSheetId="11">#REF!</definedName>
    <definedName name="Excel_BuiltIn__FilterDatabase_5_17" localSheetId="12">#REF!</definedName>
    <definedName name="Excel_BuiltIn__FilterDatabase_5_17" localSheetId="15">#REF!</definedName>
    <definedName name="Excel_BuiltIn__FilterDatabase_5_17" localSheetId="2">#REF!</definedName>
    <definedName name="Excel_BuiltIn__FilterDatabase_5_17" localSheetId="3">#REF!</definedName>
    <definedName name="Excel_BuiltIn__FilterDatabase_5_17" localSheetId="4">#REF!</definedName>
    <definedName name="Excel_BuiltIn__FilterDatabase_5_17" localSheetId="9">#REF!</definedName>
    <definedName name="Excel_BuiltIn__FilterDatabase_5_17">#REF!</definedName>
    <definedName name="Excel_BuiltIn__FilterDatabase_5_5" localSheetId="4">#REF!</definedName>
    <definedName name="Excel_BuiltIn__FilterDatabase_5_5">#REF!</definedName>
    <definedName name="Excel_BuiltIn__FilterDatabase_5_6" localSheetId="4">#REF!</definedName>
    <definedName name="Excel_BuiltIn__FilterDatabase_5_6">#REF!</definedName>
    <definedName name="Excel_BuiltIn__FilterDatabase_5_7">NA()</definedName>
    <definedName name="Excel_BuiltIn__FilterDatabase_5_8" localSheetId="4">#REF!</definedName>
    <definedName name="Excel_BuiltIn__FilterDatabase_5_8">#REF!</definedName>
    <definedName name="Excel_BuiltIn__FilterDatabase_5_9" localSheetId="4">#REF!</definedName>
    <definedName name="Excel_BuiltIn__FilterDatabase_5_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5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9">#REF!</definedName>
    <definedName name="Excel_BuiltIn_Print_Area_1">#REF!</definedName>
    <definedName name="Excel_BuiltIn_Print_Area_1_1">NA()</definedName>
    <definedName name="Excel_BuiltIn_Print_Area_1_15" localSheetId="10">#REF!</definedName>
    <definedName name="Excel_BuiltIn_Print_Area_1_15" localSheetId="11">#REF!</definedName>
    <definedName name="Excel_BuiltIn_Print_Area_1_15" localSheetId="12">#REF!</definedName>
    <definedName name="Excel_BuiltIn_Print_Area_1_15" localSheetId="15">#REF!</definedName>
    <definedName name="Excel_BuiltIn_Print_Area_1_15" localSheetId="2">#REF!</definedName>
    <definedName name="Excel_BuiltIn_Print_Area_1_15" localSheetId="3">#REF!</definedName>
    <definedName name="Excel_BuiltIn_Print_Area_1_15" localSheetId="4">#REF!</definedName>
    <definedName name="Excel_BuiltIn_Print_Area_1_15" localSheetId="9">#REF!</definedName>
    <definedName name="Excel_BuiltIn_Print_Area_1_15">#REF!</definedName>
    <definedName name="Excel_BuiltIn_Print_Area_1_21">#REF!</definedName>
    <definedName name="Excel_BuiltIn_Print_Area_1_22">#REF!</definedName>
    <definedName name="Excel_BuiltIn_Print_Area_2" localSheetId="10">#REF!</definedName>
    <definedName name="Excel_BuiltIn_Print_Area_2" localSheetId="11">#REF!</definedName>
    <definedName name="Excel_BuiltIn_Print_Area_2" localSheetId="12">#REF!</definedName>
    <definedName name="Excel_BuiltIn_Print_Area_2" localSheetId="15">#REF!</definedName>
    <definedName name="Excel_BuiltIn_Print_Area_2" localSheetId="2">#REF!</definedName>
    <definedName name="Excel_BuiltIn_Print_Area_2" localSheetId="3">#REF!</definedName>
    <definedName name="Excel_BuiltIn_Print_Area_2" localSheetId="4">#REF!</definedName>
    <definedName name="Excel_BuiltIn_Print_Area_2" localSheetId="9">#REF!</definedName>
    <definedName name="Excel_BuiltIn_Print_Area_2">#REF!</definedName>
    <definedName name="Excel_BuiltIn_Print_Area_2_1" localSheetId="10">#REF!</definedName>
    <definedName name="Excel_BuiltIn_Print_Area_2_1" localSheetId="11">#REF!</definedName>
    <definedName name="Excel_BuiltIn_Print_Area_2_1" localSheetId="12">#REF!</definedName>
    <definedName name="Excel_BuiltIn_Print_Area_2_1" localSheetId="15">#REF!</definedName>
    <definedName name="Excel_BuiltIn_Print_Area_2_1" localSheetId="2">#REF!</definedName>
    <definedName name="Excel_BuiltIn_Print_Area_2_1" localSheetId="3">#REF!</definedName>
    <definedName name="Excel_BuiltIn_Print_Area_2_1" localSheetId="4">#REF!</definedName>
    <definedName name="Excel_BuiltIn_Print_Area_2_1" localSheetId="9">#REF!</definedName>
    <definedName name="Excel_BuiltIn_Print_Area_2_1">#REF!</definedName>
    <definedName name="Excel_BuiltIn_Print_Area_2_15" localSheetId="10">#REF!</definedName>
    <definedName name="Excel_BuiltIn_Print_Area_2_15" localSheetId="11">#REF!</definedName>
    <definedName name="Excel_BuiltIn_Print_Area_2_15" localSheetId="12">#REF!</definedName>
    <definedName name="Excel_BuiltIn_Print_Area_2_15" localSheetId="15">#REF!</definedName>
    <definedName name="Excel_BuiltIn_Print_Area_2_15" localSheetId="2">#REF!</definedName>
    <definedName name="Excel_BuiltIn_Print_Area_2_15" localSheetId="3">#REF!</definedName>
    <definedName name="Excel_BuiltIn_Print_Area_2_15" localSheetId="4">#REF!</definedName>
    <definedName name="Excel_BuiltIn_Print_Area_2_15" localSheetId="9">#REF!</definedName>
    <definedName name="Excel_BuiltIn_Print_Area_2_15">#REF!</definedName>
    <definedName name="Excel_BuiltIn_Print_Area_2_5" localSheetId="10">#REF!</definedName>
    <definedName name="Excel_BuiltIn_Print_Area_2_5" localSheetId="11">#REF!</definedName>
    <definedName name="Excel_BuiltIn_Print_Area_2_5" localSheetId="12">#REF!</definedName>
    <definedName name="Excel_BuiltIn_Print_Area_2_5" localSheetId="15">#REF!</definedName>
    <definedName name="Excel_BuiltIn_Print_Area_2_5" localSheetId="2">#REF!</definedName>
    <definedName name="Excel_BuiltIn_Print_Area_2_5" localSheetId="3">#REF!</definedName>
    <definedName name="Excel_BuiltIn_Print_Area_2_5" localSheetId="9">#REF!</definedName>
    <definedName name="Excel_BuiltIn_Print_Area_2_5">#REF!</definedName>
    <definedName name="Excel_BuiltIn_Print_Area_2_6" localSheetId="10">#REF!</definedName>
    <definedName name="Excel_BuiltIn_Print_Area_2_6" localSheetId="11">#REF!</definedName>
    <definedName name="Excel_BuiltIn_Print_Area_2_6" localSheetId="12">#REF!</definedName>
    <definedName name="Excel_BuiltIn_Print_Area_2_6" localSheetId="15">#REF!</definedName>
    <definedName name="Excel_BuiltIn_Print_Area_2_6" localSheetId="2">#REF!</definedName>
    <definedName name="Excel_BuiltIn_Print_Area_2_6" localSheetId="3">#REF!</definedName>
    <definedName name="Excel_BuiltIn_Print_Area_2_6" localSheetId="9">#REF!</definedName>
    <definedName name="Excel_BuiltIn_Print_Area_2_6">#REF!</definedName>
    <definedName name="Excel_BuiltIn_Print_Titles_6">#REF!</definedName>
    <definedName name="fff" localSheetId="12">#REF!</definedName>
    <definedName name="fff" localSheetId="4">#REF!</definedName>
    <definedName name="fff" localSheetId="9">#REF!</definedName>
    <definedName name="fff">#REF!</definedName>
    <definedName name="melléklet" localSheetId="12">SUM(#REF!)-#REF!-#REF!-#REF!</definedName>
    <definedName name="melléklet" localSheetId="4">SUM(#REF!)-#REF!-#REF!-#REF!</definedName>
    <definedName name="melléklet" localSheetId="9">SUM(#REF!)-#REF!-#REF!-#REF!</definedName>
    <definedName name="melléklet">SUM(#REF!)-#REF!-#REF!-#REF!</definedName>
    <definedName name="_xlnm.Print_Area" localSheetId="0">'1. sz. melléklet'!$A$2:$J$62</definedName>
    <definedName name="_xlnm.Print_Area" localSheetId="10">'10. sz. melléklet'!$B$1:$E$183</definedName>
    <definedName name="_xlnm.Print_Area" localSheetId="11">'11. sz. melléklet '!$A$1:$E$99</definedName>
    <definedName name="_xlnm.Print_Area" localSheetId="12">'12. sz. melléklet'!$A$1:$F$44</definedName>
    <definedName name="_xlnm.Print_Area" localSheetId="15">'14. sz. melléklet'!$A$1:$H$37</definedName>
    <definedName name="_xlnm.Print_Area" localSheetId="17">'16. melléklet'!$A$1:$N$120</definedName>
    <definedName name="_xlnm.Print_Area" localSheetId="19">'18. sz. melléklet - Tartalék'!$A$2:$D$34</definedName>
    <definedName name="_xlnm.Print_Area" localSheetId="1">'2. sz. melléklet'!$A$1:$H$78</definedName>
    <definedName name="_xlnm.Print_Area" localSheetId="2">'3. sz. melléklet'!$A$1:$M$62</definedName>
    <definedName name="_xlnm.Print_Area" localSheetId="3">'4.sz. melléklet'!$C$1:$O$39</definedName>
    <definedName name="_xlnm.Print_Area" localSheetId="5">'5. sz.  melléklet-Közös Hivatal'!$A$1:$R$147</definedName>
    <definedName name="_xlnm.Print_Area" localSheetId="4">'5. sz. melléklet - Önkormányzat'!$A$5:$S$411</definedName>
    <definedName name="_xlnm.Print_Area" localSheetId="7">'7. sz. melléklet'!$A$1:$E$141</definedName>
    <definedName name="_xlnm.Print_Area" localSheetId="9">'9. sz. melléklet'!$A$1:$D$45</definedName>
    <definedName name="Print_Area_0" localSheetId="12">'12. sz. melléklet'!$A$1:$D$40</definedName>
    <definedName name="Print_Area_0" localSheetId="9">'9. sz. melléklet'!$A$2:$D$41</definedName>
    <definedName name="SHARED_FORMULA_1_10_1_10_2" localSheetId="10">SUM(#REF!,#REF!,#REF!,#REF!,#REF!,#REF!)</definedName>
    <definedName name="SHARED_FORMULA_1_10_1_10_2" localSheetId="11">SUM(#REF!,#REF!,#REF!,#REF!,#REF!,#REF!)</definedName>
    <definedName name="SHARED_FORMULA_1_10_1_10_2" localSheetId="12">SUM(#REF!,#REF!,#REF!,#REF!,#REF!,#REF!)</definedName>
    <definedName name="SHARED_FORMULA_1_10_1_10_2" localSheetId="4">SUM(#REF!,#REF!,#REF!,#REF!,#REF!,#REF!)</definedName>
    <definedName name="SHARED_FORMULA_1_10_1_10_2" localSheetId="9">SUM(#REF!,#REF!,#REF!,#REF!,#REF!,#REF!)</definedName>
    <definedName name="SHARED_FORMULA_1_10_1_10_2">SUM(#REF!,#REF!,#REF!,#REF!,#REF!,#REF!)</definedName>
    <definedName name="SHARED_FORMULA_1_26_1_26_2" localSheetId="10">SUM(#REF!,#REF!,#REF!)</definedName>
    <definedName name="SHARED_FORMULA_1_26_1_26_2" localSheetId="11">SUM(#REF!,#REF!,#REF!)</definedName>
    <definedName name="SHARED_FORMULA_1_26_1_26_2" localSheetId="12">SUM(#REF!,#REF!,#REF!)</definedName>
    <definedName name="SHARED_FORMULA_1_26_1_26_2" localSheetId="4">SUM(#REF!,#REF!,#REF!)</definedName>
    <definedName name="SHARED_FORMULA_1_26_1_26_2" localSheetId="9">SUM(#REF!,#REF!,#REF!)</definedName>
    <definedName name="SHARED_FORMULA_1_26_1_26_2">SUM(#REF!,#REF!,#REF!)</definedName>
    <definedName name="SHARED_FORMULA_1_38_1_38_8" localSheetId="10">SUM(#REF!)</definedName>
    <definedName name="SHARED_FORMULA_1_38_1_38_8" localSheetId="11">SUM(#REF!)</definedName>
    <definedName name="SHARED_FORMULA_1_38_1_38_8" localSheetId="12">SUM(#REF!)</definedName>
    <definedName name="SHARED_FORMULA_1_38_1_38_8" localSheetId="4">SUM(#REF!)</definedName>
    <definedName name="SHARED_FORMULA_1_38_1_38_8" localSheetId="9">SUM(#REF!)</definedName>
    <definedName name="SHARED_FORMULA_1_38_1_38_8">SUM(#REF!)</definedName>
    <definedName name="SHARED_FORMULA_1_42_1_42_8" localSheetId="10">SUM(#REF!,#REF!)</definedName>
    <definedName name="SHARED_FORMULA_1_42_1_42_8" localSheetId="11">SUM(#REF!,#REF!)</definedName>
    <definedName name="SHARED_FORMULA_1_42_1_42_8" localSheetId="12">SUM(#REF!,#REF!)</definedName>
    <definedName name="SHARED_FORMULA_1_42_1_42_8" localSheetId="4">SUM(#REF!,#REF!)</definedName>
    <definedName name="SHARED_FORMULA_1_42_1_42_8" localSheetId="9">SUM(#REF!,#REF!)</definedName>
    <definedName name="SHARED_FORMULA_1_42_1_42_8">SUM(#REF!,#REF!)</definedName>
    <definedName name="SHARED_FORMULA_10_41_10_41_2" localSheetId="10">SUM(#REF!+#REF!+#REF!)</definedName>
    <definedName name="SHARED_FORMULA_10_41_10_41_2" localSheetId="11">SUM(#REF!+#REF!+#REF!)</definedName>
    <definedName name="SHARED_FORMULA_10_41_10_41_2" localSheetId="12">SUM(#REF!+#REF!+#REF!)</definedName>
    <definedName name="SHARED_FORMULA_10_41_10_41_2" localSheetId="4">SUM(#REF!+#REF!+#REF!)</definedName>
    <definedName name="SHARED_FORMULA_10_41_10_41_2" localSheetId="9">SUM(#REF!+#REF!+#REF!)</definedName>
    <definedName name="SHARED_FORMULA_10_41_10_41_2">SUM(#REF!+#REF!+#REF!)</definedName>
    <definedName name="SHARED_FORMULA_10_5_10_5_2" localSheetId="10">SUM(#REF!+#REF!+#REF!)</definedName>
    <definedName name="SHARED_FORMULA_10_5_10_5_2" localSheetId="11">SUM(#REF!+#REF!+#REF!)</definedName>
    <definedName name="SHARED_FORMULA_10_5_10_5_2" localSheetId="12">SUM(#REF!+#REF!+#REF!)</definedName>
    <definedName name="SHARED_FORMULA_10_5_10_5_2" localSheetId="4">SUM(#REF!+#REF!+#REF!)</definedName>
    <definedName name="SHARED_FORMULA_10_5_10_5_2" localSheetId="9">SUM(#REF!+#REF!+#REF!)</definedName>
    <definedName name="SHARED_FORMULA_10_5_10_5_2">SUM(#REF!+#REF!+#REF!)</definedName>
    <definedName name="SHARED_FORMULA_11_40_11_40_2" localSheetId="10">SUM(#REF!+#REF!+#REF!)</definedName>
    <definedName name="SHARED_FORMULA_11_40_11_40_2" localSheetId="11">SUM(#REF!+#REF!+#REF!)</definedName>
    <definedName name="SHARED_FORMULA_11_40_11_40_2" localSheetId="12">SUM(#REF!+#REF!+#REF!)</definedName>
    <definedName name="SHARED_FORMULA_11_40_11_40_2" localSheetId="4">SUM(#REF!+#REF!+#REF!)</definedName>
    <definedName name="SHARED_FORMULA_11_40_11_40_2" localSheetId="9">SUM(#REF!+#REF!+#REF!)</definedName>
    <definedName name="SHARED_FORMULA_11_40_11_40_2">SUM(#REF!+#REF!+#REF!)</definedName>
    <definedName name="SHARED_FORMULA_11_5_11_5_2" localSheetId="10">SUM(#REF!+#REF!+#REF!)</definedName>
    <definedName name="SHARED_FORMULA_11_5_11_5_2" localSheetId="11">SUM(#REF!+#REF!+#REF!)</definedName>
    <definedName name="SHARED_FORMULA_11_5_11_5_2" localSheetId="12">SUM(#REF!+#REF!+#REF!)</definedName>
    <definedName name="SHARED_FORMULA_11_5_11_5_2" localSheetId="4">SUM(#REF!+#REF!+#REF!)</definedName>
    <definedName name="SHARED_FORMULA_11_5_11_5_2" localSheetId="9">SUM(#REF!+#REF!+#REF!)</definedName>
    <definedName name="SHARED_FORMULA_11_5_11_5_2">SUM(#REF!+#REF!+#REF!)</definedName>
    <definedName name="SHARED_FORMULA_12_13_12_13_3" localSheetId="10">SUM(#REF!+#REF!+#REF!)</definedName>
    <definedName name="SHARED_FORMULA_12_13_12_13_3" localSheetId="11">SUM(#REF!+#REF!+#REF!)</definedName>
    <definedName name="SHARED_FORMULA_12_13_12_13_3" localSheetId="12">SUM(#REF!+#REF!+#REF!)</definedName>
    <definedName name="SHARED_FORMULA_12_13_12_13_3" localSheetId="4">SUM(#REF!+#REF!+#REF!)</definedName>
    <definedName name="SHARED_FORMULA_12_13_12_13_3" localSheetId="9">SUM(#REF!+#REF!+#REF!)</definedName>
    <definedName name="SHARED_FORMULA_12_13_12_13_3">SUM(#REF!+#REF!+#REF!)</definedName>
    <definedName name="SHARED_FORMULA_12_133_12_133_5" localSheetId="10">SUM(#REF!)-#REF!-#REF!-#REF!</definedName>
    <definedName name="SHARED_FORMULA_12_133_12_133_5" localSheetId="11">SUM(#REF!)-#REF!-#REF!-#REF!</definedName>
    <definedName name="SHARED_FORMULA_12_133_12_133_5" localSheetId="12">SUM(#REF!)-#REF!-#REF!-#REF!</definedName>
    <definedName name="SHARED_FORMULA_12_133_12_133_5" localSheetId="4">SUM(#REF!)-#REF!-#REF!-#REF!</definedName>
    <definedName name="SHARED_FORMULA_12_133_12_133_5" localSheetId="9">SUM(#REF!)-#REF!-#REF!-#REF!</definedName>
    <definedName name="SHARED_FORMULA_12_133_12_133_5">SUM(#REF!)-#REF!-#REF!-#REF!</definedName>
    <definedName name="SHARED_FORMULA_12_40_12_40_2" localSheetId="10">SUM(#REF!+#REF!+#REF!)</definedName>
    <definedName name="SHARED_FORMULA_12_40_12_40_2" localSheetId="11">SUM(#REF!+#REF!+#REF!)</definedName>
    <definedName name="SHARED_FORMULA_12_40_12_40_2" localSheetId="12">SUM(#REF!+#REF!+#REF!)</definedName>
    <definedName name="SHARED_FORMULA_12_40_12_40_2" localSheetId="4">SUM(#REF!+#REF!+#REF!)</definedName>
    <definedName name="SHARED_FORMULA_12_40_12_40_2" localSheetId="9">SUM(#REF!+#REF!+#REF!)</definedName>
    <definedName name="SHARED_FORMULA_12_40_12_40_2">SUM(#REF!+#REF!+#REF!)</definedName>
    <definedName name="SHARED_FORMULA_12_5_12_5_2" localSheetId="10">SUM(#REF!+#REF!+#REF!)</definedName>
    <definedName name="SHARED_FORMULA_12_5_12_5_2" localSheetId="11">SUM(#REF!+#REF!+#REF!)</definedName>
    <definedName name="SHARED_FORMULA_12_5_12_5_2" localSheetId="12">SUM(#REF!+#REF!+#REF!)</definedName>
    <definedName name="SHARED_FORMULA_12_5_12_5_2" localSheetId="4">SUM(#REF!+#REF!+#REF!)</definedName>
    <definedName name="SHARED_FORMULA_12_5_12_5_2" localSheetId="9">SUM(#REF!+#REF!+#REF!)</definedName>
    <definedName name="SHARED_FORMULA_12_5_12_5_2">SUM(#REF!+#REF!+#REF!)</definedName>
    <definedName name="SHARED_FORMULA_12_5_12_5_3" localSheetId="10">SUM(#REF!+#REF!+#REF!)</definedName>
    <definedName name="SHARED_FORMULA_12_5_12_5_3" localSheetId="11">SUM(#REF!+#REF!+#REF!)</definedName>
    <definedName name="SHARED_FORMULA_12_5_12_5_3" localSheetId="12">SUM(#REF!+#REF!+#REF!)</definedName>
    <definedName name="SHARED_FORMULA_12_5_12_5_3" localSheetId="4">SUM(#REF!+#REF!+#REF!)</definedName>
    <definedName name="SHARED_FORMULA_12_5_12_5_3" localSheetId="9">SUM(#REF!+#REF!+#REF!)</definedName>
    <definedName name="SHARED_FORMULA_12_5_12_5_3">SUM(#REF!+#REF!+#REF!)</definedName>
    <definedName name="SHARED_FORMULA_12_6_12_6_0" localSheetId="10">#REF!/#REF!*100</definedName>
    <definedName name="SHARED_FORMULA_12_6_12_6_0" localSheetId="11">#REF!/#REF!*100</definedName>
    <definedName name="SHARED_FORMULA_12_6_12_6_0" localSheetId="12">#REF!/#REF!*100</definedName>
    <definedName name="SHARED_FORMULA_12_6_12_6_0" localSheetId="9">#REF!/#REF!*100</definedName>
    <definedName name="SHARED_FORMULA_12_6_12_6_0">#REF!/#REF!*100</definedName>
    <definedName name="SHARED_FORMULA_13_105_13_105_5" localSheetId="10">SUM(#REF!)-#REF!</definedName>
    <definedName name="SHARED_FORMULA_13_105_13_105_5" localSheetId="11">SUM(#REF!)-#REF!</definedName>
    <definedName name="SHARED_FORMULA_13_105_13_105_5" localSheetId="12">SUM(#REF!)-#REF!</definedName>
    <definedName name="SHARED_FORMULA_13_105_13_105_5" localSheetId="4">SUM(#REF!)-#REF!</definedName>
    <definedName name="SHARED_FORMULA_13_105_13_105_5" localSheetId="9">SUM(#REF!)-#REF!</definedName>
    <definedName name="SHARED_FORMULA_13_105_13_105_5">SUM(#REF!)-#REF!</definedName>
    <definedName name="SHARED_FORMULA_13_3_13_3_5" localSheetId="10">SUM(#REF!)-#REF!</definedName>
    <definedName name="SHARED_FORMULA_13_3_13_3_5" localSheetId="11">SUM(#REF!)-#REF!</definedName>
    <definedName name="SHARED_FORMULA_13_3_13_3_5" localSheetId="12">SUM(#REF!)-#REF!</definedName>
    <definedName name="SHARED_FORMULA_13_3_13_3_5" localSheetId="4">SUM(#REF!)-#REF!</definedName>
    <definedName name="SHARED_FORMULA_13_3_13_3_5" localSheetId="9">SUM(#REF!)-#REF!</definedName>
    <definedName name="SHARED_FORMULA_13_3_13_3_5">SUM(#REF!)-#REF!</definedName>
    <definedName name="SHARED_FORMULA_13_41_13_41_5" localSheetId="10">SUM(#REF!)-#REF!</definedName>
    <definedName name="SHARED_FORMULA_13_41_13_41_5" localSheetId="11">SUM(#REF!)-#REF!</definedName>
    <definedName name="SHARED_FORMULA_13_41_13_41_5" localSheetId="12">SUM(#REF!)-#REF!</definedName>
    <definedName name="SHARED_FORMULA_13_41_13_41_5" localSheetId="4">SUM(#REF!)-#REF!</definedName>
    <definedName name="SHARED_FORMULA_13_41_13_41_5" localSheetId="9">SUM(#REF!)-#REF!</definedName>
    <definedName name="SHARED_FORMULA_13_41_13_41_5">SUM(#REF!)-#REF!</definedName>
    <definedName name="SHARED_FORMULA_13_73_13_73_5" localSheetId="10">SUM(#REF!)-#REF!</definedName>
    <definedName name="SHARED_FORMULA_13_73_13_73_5" localSheetId="11">SUM(#REF!)-#REF!</definedName>
    <definedName name="SHARED_FORMULA_13_73_13_73_5" localSheetId="12">SUM(#REF!)-#REF!</definedName>
    <definedName name="SHARED_FORMULA_13_73_13_73_5" localSheetId="9">SUM(#REF!)-#REF!</definedName>
    <definedName name="SHARED_FORMULA_13_73_13_73_5">SUM(#REF!)-#REF!</definedName>
    <definedName name="SHARED_FORMULA_13_9_13_9_3" localSheetId="10">SUM(#REF!+#REF!+#REF!)</definedName>
    <definedName name="SHARED_FORMULA_13_9_13_9_3" localSheetId="11">SUM(#REF!+#REF!+#REF!)</definedName>
    <definedName name="SHARED_FORMULA_13_9_13_9_3" localSheetId="12">SUM(#REF!+#REF!+#REF!)</definedName>
    <definedName name="SHARED_FORMULA_13_9_13_9_3" localSheetId="4">SUM(#REF!+#REF!+#REF!)</definedName>
    <definedName name="SHARED_FORMULA_13_9_13_9_3" localSheetId="9">SUM(#REF!+#REF!+#REF!)</definedName>
    <definedName name="SHARED_FORMULA_13_9_13_9_3">SUM(#REF!+#REF!+#REF!)</definedName>
    <definedName name="SHARED_FORMULA_14_102_14_102_5" localSheetId="10">#REF!</definedName>
    <definedName name="SHARED_FORMULA_14_102_14_102_5" localSheetId="11">#REF!</definedName>
    <definedName name="SHARED_FORMULA_14_102_14_102_5" localSheetId="12">#REF!</definedName>
    <definedName name="SHARED_FORMULA_14_102_14_102_5" localSheetId="9">#REF!</definedName>
    <definedName name="SHARED_FORMULA_14_102_14_102_5">#REF!</definedName>
    <definedName name="SHARED_FORMULA_14_121_14_121_5" localSheetId="10">#REF!+#REF!+#REF!+#REF!</definedName>
    <definedName name="SHARED_FORMULA_14_121_14_121_5" localSheetId="11">#REF!+#REF!+#REF!+#REF!</definedName>
    <definedName name="SHARED_FORMULA_14_121_14_121_5" localSheetId="12">#REF!+#REF!+#REF!+#REF!</definedName>
    <definedName name="SHARED_FORMULA_14_121_14_121_5" localSheetId="4">#REF!+#REF!+#REF!+#REF!</definedName>
    <definedName name="SHARED_FORMULA_14_121_14_121_5" localSheetId="9">#REF!+#REF!+#REF!+#REF!</definedName>
    <definedName name="SHARED_FORMULA_14_121_14_121_5">#REF!+#REF!+#REF!+#REF!</definedName>
    <definedName name="SHARED_FORMULA_14_131_14_131_5" localSheetId="10">#REF!+#REF!+#REF!+#REF!+#REF!+#REF!+#REF!+#REF!+#REF!+#REF!+#REF!+#REF!+#REF!+#REF!+#REF!+#REF!+#REF!+#REF!+#REF!+#REF!+#REF!+#REF!+#REF!</definedName>
    <definedName name="SHARED_FORMULA_14_131_14_131_5" localSheetId="11">#REF!+#REF!+#REF!+#REF!+#REF!+#REF!+#REF!+#REF!+#REF!+#REF!+#REF!+#REF!+#REF!+#REF!+#REF!+#REF!+#REF!+#REF!+#REF!+#REF!+#REF!+#REF!+#REF!</definedName>
    <definedName name="SHARED_FORMULA_14_131_14_131_5" localSheetId="12">#REF!+#REF!+#REF!+#REF!+#REF!+#REF!+#REF!+#REF!+#REF!+#REF!+#REF!+#REF!+#REF!+#REF!+#REF!+#REF!+#REF!+#REF!+#REF!+#REF!+#REF!+#REF!+#REF!</definedName>
    <definedName name="SHARED_FORMULA_14_131_14_131_5" localSheetId="4">#REF!+#REF!+#REF!+#REF!+#REF!+#REF!+#REF!+#REF!+#REF!+#REF!+#REF!+#REF!+#REF!+#REF!+#REF!+#REF!+#REF!+#REF!+#REF!+#REF!+#REF!+#REF!+#REF!</definedName>
    <definedName name="SHARED_FORMULA_14_131_14_131_5" localSheetId="9">#REF!+#REF!+#REF!+#REF!+#REF!+#REF!+#REF!+#REF!+#REF!+#REF!+#REF!+#REF!+#REF!+#REF!+#REF!+#REF!+#REF!+#REF!+#REF!+#REF!+#REF!+#REF!+#REF!</definedName>
    <definedName name="SHARED_FORMULA_14_131_14_131_5">#REF!+#REF!+#REF!+#REF!+#REF!+#REF!+#REF!+#REF!+#REF!+#REF!+#REF!+#REF!+#REF!+#REF!+#REF!+#REF!+#REF!+#REF!+#REF!+#REF!+#REF!+#REF!+#REF!</definedName>
    <definedName name="SHARED_FORMULA_14_150_14_150_5" localSheetId="10">#REF!+#REF!</definedName>
    <definedName name="SHARED_FORMULA_14_150_14_150_5" localSheetId="11">#REF!+#REF!</definedName>
    <definedName name="SHARED_FORMULA_14_150_14_150_5" localSheetId="12">#REF!+#REF!</definedName>
    <definedName name="SHARED_FORMULA_14_150_14_150_5" localSheetId="9">#REF!+#REF!</definedName>
    <definedName name="SHARED_FORMULA_14_150_14_150_5">#REF!+#REF!</definedName>
    <definedName name="SHARED_FORMULA_14_151_14_151_5" localSheetId="10">#REF!-#REF!</definedName>
    <definedName name="SHARED_FORMULA_14_151_14_151_5" localSheetId="11">#REF!-#REF!</definedName>
    <definedName name="SHARED_FORMULA_14_151_14_151_5" localSheetId="12">#REF!-#REF!</definedName>
    <definedName name="SHARED_FORMULA_14_151_14_151_5" localSheetId="9">#REF!-#REF!</definedName>
    <definedName name="SHARED_FORMULA_14_151_14_151_5">#REF!-#REF!</definedName>
    <definedName name="SHARED_FORMULA_14_71_14_71_5" localSheetId="10">#REF!+#REF!+#REF!+#REF!</definedName>
    <definedName name="SHARED_FORMULA_14_71_14_71_5" localSheetId="11">#REF!+#REF!+#REF!+#REF!</definedName>
    <definedName name="SHARED_FORMULA_14_71_14_71_5" localSheetId="12">#REF!+#REF!+#REF!+#REF!</definedName>
    <definedName name="SHARED_FORMULA_14_71_14_71_5" localSheetId="4">#REF!+#REF!+#REF!+#REF!</definedName>
    <definedName name="SHARED_FORMULA_14_71_14_71_5" localSheetId="9">#REF!+#REF!+#REF!+#REF!</definedName>
    <definedName name="SHARED_FORMULA_14_71_14_71_5">#REF!+#REF!+#REF!+#REF!</definedName>
    <definedName name="SHARED_FORMULA_14_72_14_72_5" localSheetId="10">#REF!+#REF!+#REF!+#REF!</definedName>
    <definedName name="SHARED_FORMULA_14_72_14_72_5" localSheetId="11">#REF!+#REF!+#REF!+#REF!</definedName>
    <definedName name="SHARED_FORMULA_14_72_14_72_5" localSheetId="12">#REF!+#REF!+#REF!+#REF!</definedName>
    <definedName name="SHARED_FORMULA_14_72_14_72_5" localSheetId="9">#REF!+#REF!+#REF!+#REF!</definedName>
    <definedName name="SHARED_FORMULA_14_72_14_72_5">#REF!+#REF!+#REF!+#REF!</definedName>
    <definedName name="SHARED_FORMULA_14_73_14_73_5" localSheetId="10">#REF!+#REF!+#REF!+#REF!</definedName>
    <definedName name="SHARED_FORMULA_14_73_14_73_5" localSheetId="11">#REF!+#REF!+#REF!+#REF!</definedName>
    <definedName name="SHARED_FORMULA_14_73_14_73_5" localSheetId="12">#REF!+#REF!+#REF!+#REF!</definedName>
    <definedName name="SHARED_FORMULA_14_73_14_73_5" localSheetId="9">#REF!+#REF!+#REF!+#REF!</definedName>
    <definedName name="SHARED_FORMULA_14_73_14_73_5">#REF!+#REF!+#REF!+#REF!</definedName>
    <definedName name="SHARED_FORMULA_14_74_14_74_5" localSheetId="10">#REF!+#REF!+#REF!+#REF!</definedName>
    <definedName name="SHARED_FORMULA_14_74_14_74_5" localSheetId="11">#REF!+#REF!+#REF!+#REF!</definedName>
    <definedName name="SHARED_FORMULA_14_74_14_74_5" localSheetId="12">#REF!+#REF!+#REF!+#REF!</definedName>
    <definedName name="SHARED_FORMULA_14_74_14_74_5" localSheetId="9">#REF!+#REF!+#REF!+#REF!</definedName>
    <definedName name="SHARED_FORMULA_14_74_14_74_5">#REF!+#REF!+#REF!+#REF!</definedName>
    <definedName name="SHARED_FORMULA_14_75_14_75_5" localSheetId="10">#REF!+#REF!+#REF!+#REF!</definedName>
    <definedName name="SHARED_FORMULA_14_75_14_75_5" localSheetId="11">#REF!+#REF!+#REF!+#REF!</definedName>
    <definedName name="SHARED_FORMULA_14_75_14_75_5" localSheetId="12">#REF!+#REF!+#REF!+#REF!</definedName>
    <definedName name="SHARED_FORMULA_14_75_14_75_5" localSheetId="9">#REF!+#REF!+#REF!+#REF!</definedName>
    <definedName name="SHARED_FORMULA_14_75_14_75_5">#REF!+#REF!+#REF!+#REF!</definedName>
    <definedName name="SHARED_FORMULA_14_86_14_86_5" localSheetId="10">#REF!+#REF!</definedName>
    <definedName name="SHARED_FORMULA_14_86_14_86_5" localSheetId="11">#REF!+#REF!</definedName>
    <definedName name="SHARED_FORMULA_14_86_14_86_5" localSheetId="12">#REF!+#REF!</definedName>
    <definedName name="SHARED_FORMULA_14_86_14_86_5" localSheetId="9">#REF!+#REF!</definedName>
    <definedName name="SHARED_FORMULA_14_86_14_86_5">#REF!+#REF!</definedName>
    <definedName name="SHARED_FORMULA_14_9_14_9_3" localSheetId="10">SUM(#REF!+#REF!+#REF!)</definedName>
    <definedName name="SHARED_FORMULA_14_9_14_9_3" localSheetId="11">SUM(#REF!+#REF!+#REF!)</definedName>
    <definedName name="SHARED_FORMULA_14_9_14_9_3" localSheetId="12">SUM(#REF!+#REF!+#REF!)</definedName>
    <definedName name="SHARED_FORMULA_14_9_14_9_3" localSheetId="9">SUM(#REF!+#REF!+#REF!)</definedName>
    <definedName name="SHARED_FORMULA_14_9_14_9_3">SUM(#REF!+#REF!+#REF!)</definedName>
    <definedName name="SHARED_FORMULA_16_112_16_112_5" localSheetId="10">#REF!</definedName>
    <definedName name="SHARED_FORMULA_16_112_16_112_5" localSheetId="11">#REF!</definedName>
    <definedName name="SHARED_FORMULA_16_112_16_112_5" localSheetId="12">#REF!</definedName>
    <definedName name="SHARED_FORMULA_16_112_16_112_5" localSheetId="9">#REF!</definedName>
    <definedName name="SHARED_FORMULA_16_112_16_112_5">#REF!</definedName>
    <definedName name="SHARED_FORMULA_17_108_17_108_5" localSheetId="10">#REF!</definedName>
    <definedName name="SHARED_FORMULA_17_108_17_108_5" localSheetId="11">#REF!</definedName>
    <definedName name="SHARED_FORMULA_17_108_17_108_5" localSheetId="12">#REF!</definedName>
    <definedName name="SHARED_FORMULA_17_108_17_108_5" localSheetId="9">#REF!</definedName>
    <definedName name="SHARED_FORMULA_17_108_17_108_5">#REF!</definedName>
    <definedName name="SHARED_FORMULA_17_117_17_117_5" localSheetId="10">#REF!</definedName>
    <definedName name="SHARED_FORMULA_17_117_17_117_5" localSheetId="11">#REF!</definedName>
    <definedName name="SHARED_FORMULA_17_117_17_117_5" localSheetId="12">#REF!</definedName>
    <definedName name="SHARED_FORMULA_17_117_17_117_5" localSheetId="9">#REF!</definedName>
    <definedName name="SHARED_FORMULA_17_117_17_117_5">#REF!</definedName>
    <definedName name="SHARED_FORMULA_17_127_17_127_5" localSheetId="10">#REF!</definedName>
    <definedName name="SHARED_FORMULA_17_127_17_127_5" localSheetId="11">#REF!</definedName>
    <definedName name="SHARED_FORMULA_17_127_17_127_5" localSheetId="12">#REF!</definedName>
    <definedName name="SHARED_FORMULA_17_127_17_127_5" localSheetId="9">#REF!</definedName>
    <definedName name="SHARED_FORMULA_17_127_17_127_5">#REF!</definedName>
    <definedName name="SHARED_FORMULA_17_22_17_22_5" localSheetId="10">#REF!</definedName>
    <definedName name="SHARED_FORMULA_17_22_17_22_5" localSheetId="11">#REF!</definedName>
    <definedName name="SHARED_FORMULA_17_22_17_22_5" localSheetId="12">#REF!</definedName>
    <definedName name="SHARED_FORMULA_17_22_17_22_5" localSheetId="9">#REF!</definedName>
    <definedName name="SHARED_FORMULA_17_22_17_22_5">#REF!</definedName>
    <definedName name="SHARED_FORMULA_17_27_17_27_5" localSheetId="10">#REF!</definedName>
    <definedName name="SHARED_FORMULA_17_27_17_27_5" localSheetId="11">#REF!</definedName>
    <definedName name="SHARED_FORMULA_17_27_17_27_5" localSheetId="12">#REF!</definedName>
    <definedName name="SHARED_FORMULA_17_27_17_27_5" localSheetId="9">#REF!</definedName>
    <definedName name="SHARED_FORMULA_17_27_17_27_5">#REF!</definedName>
    <definedName name="SHARED_FORMULA_17_32_17_32_5" localSheetId="10">#REF!</definedName>
    <definedName name="SHARED_FORMULA_17_32_17_32_5" localSheetId="11">#REF!</definedName>
    <definedName name="SHARED_FORMULA_17_32_17_32_5" localSheetId="12">#REF!</definedName>
    <definedName name="SHARED_FORMULA_17_32_17_32_5" localSheetId="9">#REF!</definedName>
    <definedName name="SHARED_FORMULA_17_32_17_32_5">#REF!</definedName>
    <definedName name="SHARED_FORMULA_17_37_17_37_5" localSheetId="10">#REF!</definedName>
    <definedName name="SHARED_FORMULA_17_37_17_37_5" localSheetId="11">#REF!</definedName>
    <definedName name="SHARED_FORMULA_17_37_17_37_5" localSheetId="12">#REF!</definedName>
    <definedName name="SHARED_FORMULA_17_37_17_37_5" localSheetId="9">#REF!</definedName>
    <definedName name="SHARED_FORMULA_17_37_17_37_5">#REF!</definedName>
    <definedName name="SHARED_FORMULA_17_4_17_4_5" localSheetId="10">#REF!</definedName>
    <definedName name="SHARED_FORMULA_17_4_17_4_5" localSheetId="11">#REF!</definedName>
    <definedName name="SHARED_FORMULA_17_4_17_4_5" localSheetId="12">#REF!</definedName>
    <definedName name="SHARED_FORMULA_17_4_17_4_5" localSheetId="9">#REF!</definedName>
    <definedName name="SHARED_FORMULA_17_4_17_4_5">#REF!</definedName>
    <definedName name="SHARED_FORMULA_17_43_17_43_5" localSheetId="10">#REF!</definedName>
    <definedName name="SHARED_FORMULA_17_43_17_43_5" localSheetId="11">#REF!</definedName>
    <definedName name="SHARED_FORMULA_17_43_17_43_5" localSheetId="12">#REF!</definedName>
    <definedName name="SHARED_FORMULA_17_43_17_43_5" localSheetId="9">#REF!</definedName>
    <definedName name="SHARED_FORMULA_17_43_17_43_5">#REF!</definedName>
    <definedName name="SHARED_FORMULA_17_47_17_47_5" localSheetId="10">#REF!</definedName>
    <definedName name="SHARED_FORMULA_17_47_17_47_5" localSheetId="11">#REF!</definedName>
    <definedName name="SHARED_FORMULA_17_47_17_47_5" localSheetId="12">#REF!</definedName>
    <definedName name="SHARED_FORMULA_17_47_17_47_5" localSheetId="9">#REF!</definedName>
    <definedName name="SHARED_FORMULA_17_47_17_47_5">#REF!</definedName>
    <definedName name="SHARED_FORMULA_17_52_17_52_5" localSheetId="10">#REF!</definedName>
    <definedName name="SHARED_FORMULA_17_52_17_52_5" localSheetId="11">#REF!</definedName>
    <definedName name="SHARED_FORMULA_17_52_17_52_5" localSheetId="12">#REF!</definedName>
    <definedName name="SHARED_FORMULA_17_52_17_52_5" localSheetId="9">#REF!</definedName>
    <definedName name="SHARED_FORMULA_17_52_17_52_5">#REF!</definedName>
    <definedName name="SHARED_FORMULA_17_57_17_57_5" localSheetId="10">#REF!</definedName>
    <definedName name="SHARED_FORMULA_17_57_17_57_5" localSheetId="11">#REF!</definedName>
    <definedName name="SHARED_FORMULA_17_57_17_57_5" localSheetId="12">#REF!</definedName>
    <definedName name="SHARED_FORMULA_17_57_17_57_5" localSheetId="9">#REF!</definedName>
    <definedName name="SHARED_FORMULA_17_57_17_57_5">#REF!</definedName>
    <definedName name="SHARED_FORMULA_17_62_17_62_5" localSheetId="10">#REF!</definedName>
    <definedName name="SHARED_FORMULA_17_62_17_62_5" localSheetId="11">#REF!</definedName>
    <definedName name="SHARED_FORMULA_17_62_17_62_5" localSheetId="12">#REF!</definedName>
    <definedName name="SHARED_FORMULA_17_62_17_62_5" localSheetId="9">#REF!</definedName>
    <definedName name="SHARED_FORMULA_17_62_17_62_5">#REF!</definedName>
    <definedName name="SHARED_FORMULA_17_67_17_67_5" localSheetId="10">#REF!</definedName>
    <definedName name="SHARED_FORMULA_17_67_17_67_5" localSheetId="11">#REF!</definedName>
    <definedName name="SHARED_FORMULA_17_67_17_67_5" localSheetId="12">#REF!</definedName>
    <definedName name="SHARED_FORMULA_17_67_17_67_5" localSheetId="9">#REF!</definedName>
    <definedName name="SHARED_FORMULA_17_67_17_67_5">#REF!</definedName>
    <definedName name="SHARED_FORMULA_17_77_17_77_5" localSheetId="10">#REF!</definedName>
    <definedName name="SHARED_FORMULA_17_77_17_77_5" localSheetId="11">#REF!</definedName>
    <definedName name="SHARED_FORMULA_17_77_17_77_5" localSheetId="12">#REF!</definedName>
    <definedName name="SHARED_FORMULA_17_77_17_77_5" localSheetId="9">#REF!</definedName>
    <definedName name="SHARED_FORMULA_17_77_17_77_5">#REF!</definedName>
    <definedName name="SHARED_FORMULA_17_82_17_82_5" localSheetId="10">#REF!</definedName>
    <definedName name="SHARED_FORMULA_17_82_17_82_5" localSheetId="11">#REF!</definedName>
    <definedName name="SHARED_FORMULA_17_82_17_82_5" localSheetId="12">#REF!</definedName>
    <definedName name="SHARED_FORMULA_17_82_17_82_5" localSheetId="9">#REF!</definedName>
    <definedName name="SHARED_FORMULA_17_82_17_82_5">#REF!</definedName>
    <definedName name="SHARED_FORMULA_17_9_17_9_5" localSheetId="10">#REF!</definedName>
    <definedName name="SHARED_FORMULA_17_9_17_9_5" localSheetId="11">#REF!</definedName>
    <definedName name="SHARED_FORMULA_17_9_17_9_5" localSheetId="12">#REF!</definedName>
    <definedName name="SHARED_FORMULA_17_9_17_9_5" localSheetId="9">#REF!</definedName>
    <definedName name="SHARED_FORMULA_17_9_17_9_5">#REF!</definedName>
    <definedName name="SHARED_FORMULA_17_92_17_92_5" localSheetId="10">#REF!</definedName>
    <definedName name="SHARED_FORMULA_17_92_17_92_5" localSheetId="11">#REF!</definedName>
    <definedName name="SHARED_FORMULA_17_92_17_92_5" localSheetId="12">#REF!</definedName>
    <definedName name="SHARED_FORMULA_17_92_17_92_5" localSheetId="9">#REF!</definedName>
    <definedName name="SHARED_FORMULA_17_92_17_92_5">#REF!</definedName>
    <definedName name="SHARED_FORMULA_17_97_17_97_5" localSheetId="10">#REF!</definedName>
    <definedName name="SHARED_FORMULA_17_97_17_97_5" localSheetId="11">#REF!</definedName>
    <definedName name="SHARED_FORMULA_17_97_17_97_5" localSheetId="12">#REF!</definedName>
    <definedName name="SHARED_FORMULA_17_97_17_97_5" localSheetId="9">#REF!</definedName>
    <definedName name="SHARED_FORMULA_17_97_17_97_5">#REF!</definedName>
    <definedName name="SHARED_FORMULA_2_102_2_102_5" localSheetId="10">#REF!</definedName>
    <definedName name="SHARED_FORMULA_2_102_2_102_5" localSheetId="11">#REF!</definedName>
    <definedName name="SHARED_FORMULA_2_102_2_102_5" localSheetId="12">#REF!</definedName>
    <definedName name="SHARED_FORMULA_2_102_2_102_5" localSheetId="9">#REF!</definedName>
    <definedName name="SHARED_FORMULA_2_102_2_102_5">#REF!</definedName>
    <definedName name="SHARED_FORMULA_2_107_2_107_5" localSheetId="10">#REF!</definedName>
    <definedName name="SHARED_FORMULA_2_107_2_107_5" localSheetId="11">#REF!</definedName>
    <definedName name="SHARED_FORMULA_2_107_2_107_5" localSheetId="12">#REF!</definedName>
    <definedName name="SHARED_FORMULA_2_107_2_107_5" localSheetId="9">#REF!</definedName>
    <definedName name="SHARED_FORMULA_2_107_2_107_5">#REF!</definedName>
    <definedName name="SHARED_FORMULA_2_112_2_112_5" localSheetId="10">#REF!</definedName>
    <definedName name="SHARED_FORMULA_2_112_2_112_5" localSheetId="11">#REF!</definedName>
    <definedName name="SHARED_FORMULA_2_112_2_112_5" localSheetId="12">#REF!</definedName>
    <definedName name="SHARED_FORMULA_2_112_2_112_5" localSheetId="9">#REF!</definedName>
    <definedName name="SHARED_FORMULA_2_112_2_112_5">#REF!</definedName>
    <definedName name="SHARED_FORMULA_2_121_2_121_5" localSheetId="10">#REF!+#REF!+#REF!+#REF!</definedName>
    <definedName name="SHARED_FORMULA_2_121_2_121_5" localSheetId="11">#REF!+#REF!+#REF!+#REF!</definedName>
    <definedName name="SHARED_FORMULA_2_121_2_121_5" localSheetId="12">#REF!+#REF!+#REF!+#REF!</definedName>
    <definedName name="SHARED_FORMULA_2_121_2_121_5" localSheetId="4">#REF!+#REF!+#REF!+#REF!</definedName>
    <definedName name="SHARED_FORMULA_2_121_2_121_5" localSheetId="9">#REF!+#REF!+#REF!+#REF!</definedName>
    <definedName name="SHARED_FORMULA_2_121_2_121_5">#REF!+#REF!+#REF!+#REF!</definedName>
    <definedName name="SHARED_FORMULA_2_122_2_122_5" localSheetId="10">#REF!+#REF!+#REF!+#REF!</definedName>
    <definedName name="SHARED_FORMULA_2_122_2_122_5" localSheetId="11">#REF!+#REF!+#REF!+#REF!</definedName>
    <definedName name="SHARED_FORMULA_2_122_2_122_5" localSheetId="12">#REF!+#REF!+#REF!+#REF!</definedName>
    <definedName name="SHARED_FORMULA_2_122_2_122_5" localSheetId="4">#REF!+#REF!+#REF!+#REF!</definedName>
    <definedName name="SHARED_FORMULA_2_122_2_122_5" localSheetId="9">#REF!+#REF!+#REF!+#REF!</definedName>
    <definedName name="SHARED_FORMULA_2_122_2_122_5">#REF!+#REF!+#REF!+#REF!</definedName>
    <definedName name="SHARED_FORMULA_2_123_2_123_5" localSheetId="10">#REF!+#REF!+#REF!+#REF!</definedName>
    <definedName name="SHARED_FORMULA_2_123_2_123_5" localSheetId="11">#REF!+#REF!+#REF!+#REF!</definedName>
    <definedName name="SHARED_FORMULA_2_123_2_123_5" localSheetId="12">#REF!+#REF!+#REF!+#REF!</definedName>
    <definedName name="SHARED_FORMULA_2_123_2_123_5" localSheetId="4">#REF!+#REF!+#REF!+#REF!</definedName>
    <definedName name="SHARED_FORMULA_2_123_2_123_5" localSheetId="9">#REF!+#REF!+#REF!+#REF!</definedName>
    <definedName name="SHARED_FORMULA_2_123_2_123_5">#REF!+#REF!+#REF!+#REF!</definedName>
    <definedName name="SHARED_FORMULA_2_124_2_124_5" localSheetId="10">#REF!+#REF!+#REF!+#REF!</definedName>
    <definedName name="SHARED_FORMULA_2_124_2_124_5" localSheetId="11">#REF!+#REF!+#REF!+#REF!</definedName>
    <definedName name="SHARED_FORMULA_2_124_2_124_5" localSheetId="12">#REF!+#REF!+#REF!+#REF!</definedName>
    <definedName name="SHARED_FORMULA_2_124_2_124_5" localSheetId="9">#REF!+#REF!+#REF!+#REF!</definedName>
    <definedName name="SHARED_FORMULA_2_124_2_124_5">#REF!+#REF!+#REF!+#REF!</definedName>
    <definedName name="SHARED_FORMULA_2_125_2_125_5" localSheetId="10">#REF!+#REF!+#REF!+#REF!</definedName>
    <definedName name="SHARED_FORMULA_2_125_2_125_5" localSheetId="11">#REF!+#REF!+#REF!+#REF!</definedName>
    <definedName name="SHARED_FORMULA_2_125_2_125_5" localSheetId="12">#REF!+#REF!+#REF!+#REF!</definedName>
    <definedName name="SHARED_FORMULA_2_125_2_125_5" localSheetId="9">#REF!+#REF!+#REF!+#REF!</definedName>
    <definedName name="SHARED_FORMULA_2_125_2_125_5">#REF!+#REF!+#REF!+#REF!</definedName>
    <definedName name="SHARED_FORMULA_2_127_2_127_5" localSheetId="10">#REF!</definedName>
    <definedName name="SHARED_FORMULA_2_127_2_127_5" localSheetId="11">#REF!</definedName>
    <definedName name="SHARED_FORMULA_2_127_2_127_5" localSheetId="12">#REF!</definedName>
    <definedName name="SHARED_FORMULA_2_127_2_127_5" localSheetId="9">#REF!</definedName>
    <definedName name="SHARED_FORMULA_2_127_2_127_5">#REF!</definedName>
    <definedName name="SHARED_FORMULA_2_131_2_131_5" localSheetId="10">#REF!+#REF!+#REF!+#REF!+#REF!+#REF!+#REF!+#REF!+#REF!+#REF!+#REF!+#REF!+#REF!+#REF!+#REF!+#REF!+#REF!+#REF!+#REF!+#REF!+#REF!+#REF!+#REF!</definedName>
    <definedName name="SHARED_FORMULA_2_131_2_131_5" localSheetId="11">#REF!+#REF!+#REF!+#REF!+#REF!+#REF!+#REF!+#REF!+#REF!+#REF!+#REF!+#REF!+#REF!+#REF!+#REF!+#REF!+#REF!+#REF!+#REF!+#REF!+#REF!+#REF!+#REF!</definedName>
    <definedName name="SHARED_FORMULA_2_131_2_131_5" localSheetId="12">#REF!+#REF!+#REF!+#REF!+#REF!+#REF!+#REF!+#REF!+#REF!+#REF!+#REF!+#REF!+#REF!+#REF!+#REF!+#REF!+#REF!+#REF!+#REF!+#REF!+#REF!+#REF!+#REF!</definedName>
    <definedName name="SHARED_FORMULA_2_131_2_131_5" localSheetId="4">#REF!+#REF!+#REF!+#REF!+#REF!+#REF!+#REF!+#REF!+#REF!+#REF!+#REF!+#REF!+#REF!+#REF!+#REF!+#REF!+#REF!+#REF!+#REF!+#REF!+#REF!+#REF!+#REF!</definedName>
    <definedName name="SHARED_FORMULA_2_131_2_131_5" localSheetId="9">#REF!+#REF!+#REF!+#REF!+#REF!+#REF!+#REF!+#REF!+#REF!+#REF!+#REF!+#REF!+#REF!+#REF!+#REF!+#REF!+#REF!+#REF!+#REF!+#REF!+#REF!+#REF!+#REF!</definedName>
    <definedName name="SHARED_FORMULA_2_131_2_131_5">#REF!+#REF!+#REF!+#REF!+#REF!+#REF!+#REF!+#REF!+#REF!+#REF!+#REF!+#REF!+#REF!+#REF!+#REF!+#REF!+#REF!+#REF!+#REF!+#REF!+#REF!+#REF!+#REF!</definedName>
    <definedName name="SHARED_FORMULA_2_132_2_132_5" localSheetId="10">#REF!+#REF!+#REF!+#REF!+#REF!+#REF!+#REF!+#REF!+#REF!+#REF!+#REF!+#REF!+#REF!+#REF!+#REF!+#REF!+#REF!+#REF!+#REF!+#REF!+#REF!+#REF!+#REF!</definedName>
    <definedName name="SHARED_FORMULA_2_132_2_132_5" localSheetId="11">#REF!+#REF!+#REF!+#REF!+#REF!+#REF!+#REF!+#REF!+#REF!+#REF!+#REF!+#REF!+#REF!+#REF!+#REF!+#REF!+#REF!+#REF!+#REF!+#REF!+#REF!+#REF!+#REF!</definedName>
    <definedName name="SHARED_FORMULA_2_132_2_132_5" localSheetId="12">#REF!+#REF!+#REF!+#REF!+#REF!+#REF!+#REF!+#REF!+#REF!+#REF!+#REF!+#REF!+#REF!+#REF!+#REF!+#REF!+#REF!+#REF!+#REF!+#REF!+#REF!+#REF!+#REF!</definedName>
    <definedName name="SHARED_FORMULA_2_132_2_132_5" localSheetId="4">#REF!+#REF!+#REF!+#REF!+#REF!+#REF!+#REF!+#REF!+#REF!+#REF!+#REF!+#REF!+#REF!+#REF!+#REF!+#REF!+#REF!+#REF!+#REF!+#REF!+#REF!+#REF!+#REF!</definedName>
    <definedName name="SHARED_FORMULA_2_132_2_132_5" localSheetId="9">#REF!+#REF!+#REF!+#REF!+#REF!+#REF!+#REF!+#REF!+#REF!+#REF!+#REF!+#REF!+#REF!+#REF!+#REF!+#REF!+#REF!+#REF!+#REF!+#REF!+#REF!+#REF!+#REF!</definedName>
    <definedName name="SHARED_FORMULA_2_132_2_132_5">#REF!+#REF!+#REF!+#REF!+#REF!+#REF!+#REF!+#REF!+#REF!+#REF!+#REF!+#REF!+#REF!+#REF!+#REF!+#REF!+#REF!+#REF!+#REF!+#REF!+#REF!+#REF!+#REF!</definedName>
    <definedName name="SHARED_FORMULA_2_134_2_134_5" localSheetId="10">#REF!+#REF!+#REF!+#REF!+#REF!+#REF!+#REF!+#REF!+#REF!+#REF!+#REF!+#REF!+#REF!+#REF!+#REF!+#REF!+#REF!+#REF!+#REF!+#REF!+#REF!+#REF!+#REF!</definedName>
    <definedName name="SHARED_FORMULA_2_134_2_134_5" localSheetId="11">#REF!+#REF!+#REF!+#REF!+#REF!+#REF!+#REF!+#REF!+#REF!+#REF!+#REF!+#REF!+#REF!+#REF!+#REF!+#REF!+#REF!+#REF!+#REF!+#REF!+#REF!+#REF!+#REF!</definedName>
    <definedName name="SHARED_FORMULA_2_134_2_134_5" localSheetId="12">#REF!+#REF!+#REF!+#REF!+#REF!+#REF!+#REF!+#REF!+#REF!+#REF!+#REF!+#REF!+#REF!+#REF!+#REF!+#REF!+#REF!+#REF!+#REF!+#REF!+#REF!+#REF!+#REF!</definedName>
    <definedName name="SHARED_FORMULA_2_134_2_134_5" localSheetId="9">#REF!+#REF!+#REF!+#REF!+#REF!+#REF!+#REF!+#REF!+#REF!+#REF!+#REF!+#REF!+#REF!+#REF!+#REF!+#REF!+#REF!+#REF!+#REF!+#REF!+#REF!+#REF!+#REF!</definedName>
    <definedName name="SHARED_FORMULA_2_134_2_134_5">#REF!+#REF!+#REF!+#REF!+#REF!+#REF!+#REF!+#REF!+#REF!+#REF!+#REF!+#REF!+#REF!+#REF!+#REF!+#REF!+#REF!+#REF!+#REF!+#REF!+#REF!+#REF!+#REF!</definedName>
    <definedName name="SHARED_FORMULA_2_137_2_137_5" localSheetId="10">#REF!+#REF!+#REF!+#REF!+#REF!+#REF!+#REF!+#REF!+#REF!+#REF!+#REF!+#REF!+#REF!+#REF!+#REF!+#REF!+#REF!+#REF!+#REF!+#REF!+#REF!+#REF!+#REF!</definedName>
    <definedName name="SHARED_FORMULA_2_137_2_137_5" localSheetId="11">#REF!+#REF!+#REF!+#REF!+#REF!+#REF!+#REF!+#REF!+#REF!+#REF!+#REF!+#REF!+#REF!+#REF!+#REF!+#REF!+#REF!+#REF!+#REF!+#REF!+#REF!+#REF!+#REF!</definedName>
    <definedName name="SHARED_FORMULA_2_137_2_137_5" localSheetId="12">#REF!+#REF!+#REF!+#REF!+#REF!+#REF!+#REF!+#REF!+#REF!+#REF!+#REF!+#REF!+#REF!+#REF!+#REF!+#REF!+#REF!+#REF!+#REF!+#REF!+#REF!+#REF!+#REF!</definedName>
    <definedName name="SHARED_FORMULA_2_137_2_137_5" localSheetId="9">#REF!+#REF!+#REF!+#REF!+#REF!+#REF!+#REF!+#REF!+#REF!+#REF!+#REF!+#REF!+#REF!+#REF!+#REF!+#REF!+#REF!+#REF!+#REF!+#REF!+#REF!+#REF!+#REF!</definedName>
    <definedName name="SHARED_FORMULA_2_137_2_137_5">#REF!+#REF!+#REF!+#REF!+#REF!+#REF!+#REF!+#REF!+#REF!+#REF!+#REF!+#REF!+#REF!+#REF!+#REF!+#REF!+#REF!+#REF!+#REF!+#REF!+#REF!+#REF!+#REF!</definedName>
    <definedName name="SHARED_FORMULA_2_14_2_14_5" localSheetId="10">#REF!</definedName>
    <definedName name="SHARED_FORMULA_2_14_2_14_5" localSheetId="11">#REF!</definedName>
    <definedName name="SHARED_FORMULA_2_14_2_14_5" localSheetId="12">#REF!</definedName>
    <definedName name="SHARED_FORMULA_2_14_2_14_5" localSheetId="9">#REF!</definedName>
    <definedName name="SHARED_FORMULA_2_14_2_14_5">#REF!</definedName>
    <definedName name="SHARED_FORMULA_2_140_2_140_5" localSheetId="10">#REF!+#REF!+#REF!+#REF!+#REF!+#REF!+#REF!+#REF!+#REF!+#REF!+#REF!+#REF!+#REF!+#REF!+#REF!+#REF!+#REF!+#REF!+#REF!+#REF!+#REF!+#REF!</definedName>
    <definedName name="SHARED_FORMULA_2_140_2_140_5" localSheetId="11">#REF!+#REF!+#REF!+#REF!+#REF!+#REF!+#REF!+#REF!+#REF!+#REF!+#REF!+#REF!+#REF!+#REF!+#REF!+#REF!+#REF!+#REF!+#REF!+#REF!+#REF!+#REF!</definedName>
    <definedName name="SHARED_FORMULA_2_140_2_140_5" localSheetId="12">#REF!+#REF!+#REF!+#REF!+#REF!+#REF!+#REF!+#REF!+#REF!+#REF!+#REF!+#REF!+#REF!+#REF!+#REF!+#REF!+#REF!+#REF!+#REF!+#REF!+#REF!+#REF!</definedName>
    <definedName name="SHARED_FORMULA_2_140_2_140_5" localSheetId="9">#REF!+#REF!+#REF!+#REF!+#REF!+#REF!+#REF!+#REF!+#REF!+#REF!+#REF!+#REF!+#REF!+#REF!+#REF!+#REF!+#REF!+#REF!+#REF!+#REF!+#REF!+#REF!</definedName>
    <definedName name="SHARED_FORMULA_2_140_2_140_5">#REF!+#REF!+#REF!+#REF!+#REF!+#REF!+#REF!+#REF!+#REF!+#REF!+#REF!+#REF!+#REF!+#REF!+#REF!+#REF!+#REF!+#REF!+#REF!+#REF!+#REF!+#REF!</definedName>
    <definedName name="SHARED_FORMULA_2_141_2_141_5" localSheetId="10">#REF!+#REF!+#REF!+#REF!+#REF!+#REF!+#REF!+#REF!+#REF!+#REF!+#REF!+#REF!+#REF!+#REF!+#REF!+#REF!+#REF!+#REF!+#REF!+#REF!+#REF!+#REF!</definedName>
    <definedName name="SHARED_FORMULA_2_141_2_141_5" localSheetId="11">#REF!+#REF!+#REF!+#REF!+#REF!+#REF!+#REF!+#REF!+#REF!+#REF!+#REF!+#REF!+#REF!+#REF!+#REF!+#REF!+#REF!+#REF!+#REF!+#REF!+#REF!+#REF!</definedName>
    <definedName name="SHARED_FORMULA_2_141_2_141_5" localSheetId="12">#REF!+#REF!+#REF!+#REF!+#REF!+#REF!+#REF!+#REF!+#REF!+#REF!+#REF!+#REF!+#REF!+#REF!+#REF!+#REF!+#REF!+#REF!+#REF!+#REF!+#REF!+#REF!</definedName>
    <definedName name="SHARED_FORMULA_2_141_2_141_5" localSheetId="9">#REF!+#REF!+#REF!+#REF!+#REF!+#REF!+#REF!+#REF!+#REF!+#REF!+#REF!+#REF!+#REF!+#REF!+#REF!+#REF!+#REF!+#REF!+#REF!+#REF!+#REF!+#REF!</definedName>
    <definedName name="SHARED_FORMULA_2_141_2_141_5">#REF!+#REF!+#REF!+#REF!+#REF!+#REF!+#REF!+#REF!+#REF!+#REF!+#REF!+#REF!+#REF!+#REF!+#REF!+#REF!+#REF!+#REF!+#REF!+#REF!+#REF!+#REF!</definedName>
    <definedName name="SHARED_FORMULA_2_142_2_142_5" localSheetId="10">#REF!+#REF!+#REF!+#REF!+#REF!+#REF!+#REF!+#REF!+#REF!+#REF!+#REF!+#REF!+#REF!+#REF!+#REF!+#REF!+#REF!+#REF!+#REF!+#REF!+#REF!+#REF!</definedName>
    <definedName name="SHARED_FORMULA_2_142_2_142_5" localSheetId="11">#REF!+#REF!+#REF!+#REF!+#REF!+#REF!+#REF!+#REF!+#REF!+#REF!+#REF!+#REF!+#REF!+#REF!+#REF!+#REF!+#REF!+#REF!+#REF!+#REF!+#REF!+#REF!</definedName>
    <definedName name="SHARED_FORMULA_2_142_2_142_5" localSheetId="12">#REF!+#REF!+#REF!+#REF!+#REF!+#REF!+#REF!+#REF!+#REF!+#REF!+#REF!+#REF!+#REF!+#REF!+#REF!+#REF!+#REF!+#REF!+#REF!+#REF!+#REF!+#REF!</definedName>
    <definedName name="SHARED_FORMULA_2_142_2_142_5" localSheetId="9">#REF!+#REF!+#REF!+#REF!+#REF!+#REF!+#REF!+#REF!+#REF!+#REF!+#REF!+#REF!+#REF!+#REF!+#REF!+#REF!+#REF!+#REF!+#REF!+#REF!+#REF!+#REF!</definedName>
    <definedName name="SHARED_FORMULA_2_142_2_142_5">#REF!+#REF!+#REF!+#REF!+#REF!+#REF!+#REF!+#REF!+#REF!+#REF!+#REF!+#REF!+#REF!+#REF!+#REF!+#REF!+#REF!+#REF!+#REF!+#REF!+#REF!+#REF!</definedName>
    <definedName name="SHARED_FORMULA_2_143_2_143_5" localSheetId="10">#REF!+#REF!+#REF!+#REF!+#REF!+#REF!+#REF!+#REF!+#REF!+#REF!+#REF!+#REF!+#REF!+#REF!+#REF!+#REF!+#REF!+#REF!+#REF!+#REF!+#REF!+#REF!</definedName>
    <definedName name="SHARED_FORMULA_2_143_2_143_5" localSheetId="11">#REF!+#REF!+#REF!+#REF!+#REF!+#REF!+#REF!+#REF!+#REF!+#REF!+#REF!+#REF!+#REF!+#REF!+#REF!+#REF!+#REF!+#REF!+#REF!+#REF!+#REF!+#REF!</definedName>
    <definedName name="SHARED_FORMULA_2_143_2_143_5" localSheetId="12">#REF!+#REF!+#REF!+#REF!+#REF!+#REF!+#REF!+#REF!+#REF!+#REF!+#REF!+#REF!+#REF!+#REF!+#REF!+#REF!+#REF!+#REF!+#REF!+#REF!+#REF!+#REF!</definedName>
    <definedName name="SHARED_FORMULA_2_143_2_143_5" localSheetId="9">#REF!+#REF!+#REF!+#REF!+#REF!+#REF!+#REF!+#REF!+#REF!+#REF!+#REF!+#REF!+#REF!+#REF!+#REF!+#REF!+#REF!+#REF!+#REF!+#REF!+#REF!+#REF!</definedName>
    <definedName name="SHARED_FORMULA_2_143_2_143_5">#REF!+#REF!+#REF!+#REF!+#REF!+#REF!+#REF!+#REF!+#REF!+#REF!+#REF!+#REF!+#REF!+#REF!+#REF!+#REF!+#REF!+#REF!+#REF!+#REF!+#REF!+#REF!</definedName>
    <definedName name="SHARED_FORMULA_2_144_2_144_5" localSheetId="10">#REF!+#REF!+#REF!+#REF!+#REF!+#REF!+#REF!+#REF!+#REF!+#REF!+#REF!+#REF!+#REF!+#REF!+#REF!+#REF!+#REF!+#REF!+#REF!+#REF!+#REF!+#REF!</definedName>
    <definedName name="SHARED_FORMULA_2_144_2_144_5" localSheetId="11">#REF!+#REF!+#REF!+#REF!+#REF!+#REF!+#REF!+#REF!+#REF!+#REF!+#REF!+#REF!+#REF!+#REF!+#REF!+#REF!+#REF!+#REF!+#REF!+#REF!+#REF!+#REF!</definedName>
    <definedName name="SHARED_FORMULA_2_144_2_144_5" localSheetId="12">#REF!+#REF!+#REF!+#REF!+#REF!+#REF!+#REF!+#REF!+#REF!+#REF!+#REF!+#REF!+#REF!+#REF!+#REF!+#REF!+#REF!+#REF!+#REF!+#REF!+#REF!+#REF!</definedName>
    <definedName name="SHARED_FORMULA_2_144_2_144_5" localSheetId="9">#REF!+#REF!+#REF!+#REF!+#REF!+#REF!+#REF!+#REF!+#REF!+#REF!+#REF!+#REF!+#REF!+#REF!+#REF!+#REF!+#REF!+#REF!+#REF!+#REF!+#REF!+#REF!</definedName>
    <definedName name="SHARED_FORMULA_2_144_2_144_5">#REF!+#REF!+#REF!+#REF!+#REF!+#REF!+#REF!+#REF!+#REF!+#REF!+#REF!+#REF!+#REF!+#REF!+#REF!+#REF!+#REF!+#REF!+#REF!+#REF!+#REF!+#REF!</definedName>
    <definedName name="SHARED_FORMULA_2_145_2_145_5" localSheetId="10">#REF!+#REF!+#REF!+#REF!+#REF!+#REF!+#REF!+#REF!+#REF!+#REF!+#REF!+#REF!+#REF!+#REF!+#REF!+#REF!+#REF!+#REF!+#REF!+#REF!+#REF!+#REF!</definedName>
    <definedName name="SHARED_FORMULA_2_145_2_145_5" localSheetId="11">#REF!+#REF!+#REF!+#REF!+#REF!+#REF!+#REF!+#REF!+#REF!+#REF!+#REF!+#REF!+#REF!+#REF!+#REF!+#REF!+#REF!+#REF!+#REF!+#REF!+#REF!+#REF!</definedName>
    <definedName name="SHARED_FORMULA_2_145_2_145_5" localSheetId="12">#REF!+#REF!+#REF!+#REF!+#REF!+#REF!+#REF!+#REF!+#REF!+#REF!+#REF!+#REF!+#REF!+#REF!+#REF!+#REF!+#REF!+#REF!+#REF!+#REF!+#REF!+#REF!</definedName>
    <definedName name="SHARED_FORMULA_2_145_2_145_5" localSheetId="9">#REF!+#REF!+#REF!+#REF!+#REF!+#REF!+#REF!+#REF!+#REF!+#REF!+#REF!+#REF!+#REF!+#REF!+#REF!+#REF!+#REF!+#REF!+#REF!+#REF!+#REF!+#REF!</definedName>
    <definedName name="SHARED_FORMULA_2_145_2_145_5">#REF!+#REF!+#REF!+#REF!+#REF!+#REF!+#REF!+#REF!+#REF!+#REF!+#REF!+#REF!+#REF!+#REF!+#REF!+#REF!+#REF!+#REF!+#REF!+#REF!+#REF!+#REF!</definedName>
    <definedName name="SHARED_FORMULA_2_146_2_146_5" localSheetId="10">#REF!-#REF!</definedName>
    <definedName name="SHARED_FORMULA_2_146_2_146_5" localSheetId="11">#REF!-#REF!</definedName>
    <definedName name="SHARED_FORMULA_2_146_2_146_5" localSheetId="12">#REF!-#REF!</definedName>
    <definedName name="SHARED_FORMULA_2_146_2_146_5" localSheetId="9">#REF!-#REF!</definedName>
    <definedName name="SHARED_FORMULA_2_146_2_146_5">#REF!-#REF!</definedName>
    <definedName name="SHARED_FORMULA_2_22_2_22_5" localSheetId="10">#REF!</definedName>
    <definedName name="SHARED_FORMULA_2_22_2_22_5" localSheetId="11">#REF!</definedName>
    <definedName name="SHARED_FORMULA_2_22_2_22_5" localSheetId="12">#REF!</definedName>
    <definedName name="SHARED_FORMULA_2_22_2_22_5" localSheetId="9">#REF!</definedName>
    <definedName name="SHARED_FORMULA_2_22_2_22_5">#REF!</definedName>
    <definedName name="SHARED_FORMULA_2_27_2_27_5" localSheetId="10">#REF!</definedName>
    <definedName name="SHARED_FORMULA_2_27_2_27_5" localSheetId="11">#REF!</definedName>
    <definedName name="SHARED_FORMULA_2_27_2_27_5" localSheetId="12">#REF!</definedName>
    <definedName name="SHARED_FORMULA_2_27_2_27_5" localSheetId="9">#REF!</definedName>
    <definedName name="SHARED_FORMULA_2_27_2_27_5">#REF!</definedName>
    <definedName name="SHARED_FORMULA_2_32_2_32_5" localSheetId="10">#REF!</definedName>
    <definedName name="SHARED_FORMULA_2_32_2_32_5" localSheetId="11">#REF!</definedName>
    <definedName name="SHARED_FORMULA_2_32_2_32_5" localSheetId="12">#REF!</definedName>
    <definedName name="SHARED_FORMULA_2_32_2_32_5" localSheetId="9">#REF!</definedName>
    <definedName name="SHARED_FORMULA_2_32_2_32_5">#REF!</definedName>
    <definedName name="SHARED_FORMULA_2_37_2_37_5" localSheetId="10">#REF!</definedName>
    <definedName name="SHARED_FORMULA_2_37_2_37_5" localSheetId="11">#REF!</definedName>
    <definedName name="SHARED_FORMULA_2_37_2_37_5" localSheetId="12">#REF!</definedName>
    <definedName name="SHARED_FORMULA_2_37_2_37_5" localSheetId="9">#REF!</definedName>
    <definedName name="SHARED_FORMULA_2_37_2_37_5">#REF!</definedName>
    <definedName name="SHARED_FORMULA_2_4_2_4_5" localSheetId="10">#REF!</definedName>
    <definedName name="SHARED_FORMULA_2_4_2_4_5" localSheetId="11">#REF!</definedName>
    <definedName name="SHARED_FORMULA_2_4_2_4_5" localSheetId="12">#REF!</definedName>
    <definedName name="SHARED_FORMULA_2_4_2_4_5" localSheetId="9">#REF!</definedName>
    <definedName name="SHARED_FORMULA_2_4_2_4_5">#REF!</definedName>
    <definedName name="SHARED_FORMULA_2_42_2_42_5" localSheetId="10">#REF!</definedName>
    <definedName name="SHARED_FORMULA_2_42_2_42_5" localSheetId="11">#REF!</definedName>
    <definedName name="SHARED_FORMULA_2_42_2_42_5" localSheetId="12">#REF!</definedName>
    <definedName name="SHARED_FORMULA_2_42_2_42_5" localSheetId="9">#REF!</definedName>
    <definedName name="SHARED_FORMULA_2_42_2_42_5">#REF!</definedName>
    <definedName name="SHARED_FORMULA_2_44_2_44_5" localSheetId="10">#REF!</definedName>
    <definedName name="SHARED_FORMULA_2_44_2_44_5" localSheetId="11">#REF!</definedName>
    <definedName name="SHARED_FORMULA_2_44_2_44_5" localSheetId="12">#REF!</definedName>
    <definedName name="SHARED_FORMULA_2_44_2_44_5" localSheetId="9">#REF!</definedName>
    <definedName name="SHARED_FORMULA_2_44_2_44_5">#REF!</definedName>
    <definedName name="SHARED_FORMULA_2_47_2_47_5" localSheetId="10">#REF!</definedName>
    <definedName name="SHARED_FORMULA_2_47_2_47_5" localSheetId="11">#REF!</definedName>
    <definedName name="SHARED_FORMULA_2_47_2_47_5" localSheetId="12">#REF!</definedName>
    <definedName name="SHARED_FORMULA_2_47_2_47_5" localSheetId="9">#REF!</definedName>
    <definedName name="SHARED_FORMULA_2_47_2_47_5">#REF!</definedName>
    <definedName name="SHARED_FORMULA_2_48_2_48_5" localSheetId="10">#REF!</definedName>
    <definedName name="SHARED_FORMULA_2_48_2_48_5" localSheetId="11">#REF!</definedName>
    <definedName name="SHARED_FORMULA_2_48_2_48_5" localSheetId="12">#REF!</definedName>
    <definedName name="SHARED_FORMULA_2_48_2_48_5" localSheetId="9">#REF!</definedName>
    <definedName name="SHARED_FORMULA_2_48_2_48_5">#REF!</definedName>
    <definedName name="SHARED_FORMULA_2_52_2_52_5" localSheetId="10">#REF!</definedName>
    <definedName name="SHARED_FORMULA_2_52_2_52_5" localSheetId="11">#REF!</definedName>
    <definedName name="SHARED_FORMULA_2_52_2_52_5" localSheetId="12">#REF!</definedName>
    <definedName name="SHARED_FORMULA_2_52_2_52_5" localSheetId="9">#REF!</definedName>
    <definedName name="SHARED_FORMULA_2_52_2_52_5">#REF!</definedName>
    <definedName name="SHARED_FORMULA_2_57_2_57_5" localSheetId="10">#REF!</definedName>
    <definedName name="SHARED_FORMULA_2_57_2_57_5" localSheetId="11">#REF!</definedName>
    <definedName name="SHARED_FORMULA_2_57_2_57_5" localSheetId="12">#REF!</definedName>
    <definedName name="SHARED_FORMULA_2_57_2_57_5" localSheetId="9">#REF!</definedName>
    <definedName name="SHARED_FORMULA_2_57_2_57_5">#REF!</definedName>
    <definedName name="SHARED_FORMULA_2_67_2_67_5" localSheetId="10">#REF!</definedName>
    <definedName name="SHARED_FORMULA_2_67_2_67_5" localSheetId="11">#REF!</definedName>
    <definedName name="SHARED_FORMULA_2_67_2_67_5" localSheetId="12">#REF!</definedName>
    <definedName name="SHARED_FORMULA_2_67_2_67_5" localSheetId="9">#REF!</definedName>
    <definedName name="SHARED_FORMULA_2_67_2_67_5">#REF!</definedName>
    <definedName name="SHARED_FORMULA_2_71_2_71_5" localSheetId="10">#REF!+#REF!+#REF!+#REF!</definedName>
    <definedName name="SHARED_FORMULA_2_71_2_71_5" localSheetId="11">#REF!+#REF!+#REF!+#REF!</definedName>
    <definedName name="SHARED_FORMULA_2_71_2_71_5" localSheetId="12">#REF!+#REF!+#REF!+#REF!</definedName>
    <definedName name="SHARED_FORMULA_2_71_2_71_5" localSheetId="9">#REF!+#REF!+#REF!+#REF!</definedName>
    <definedName name="SHARED_FORMULA_2_71_2_71_5">#REF!+#REF!+#REF!+#REF!</definedName>
    <definedName name="SHARED_FORMULA_2_72_2_72_5" localSheetId="10">#REF!+#REF!+#REF!+#REF!</definedName>
    <definedName name="SHARED_FORMULA_2_72_2_72_5" localSheetId="11">#REF!+#REF!+#REF!+#REF!</definedName>
    <definedName name="SHARED_FORMULA_2_72_2_72_5" localSheetId="12">#REF!+#REF!+#REF!+#REF!</definedName>
    <definedName name="SHARED_FORMULA_2_72_2_72_5" localSheetId="9">#REF!+#REF!+#REF!+#REF!</definedName>
    <definedName name="SHARED_FORMULA_2_72_2_72_5">#REF!+#REF!+#REF!+#REF!</definedName>
    <definedName name="SHARED_FORMULA_2_73_2_73_5" localSheetId="10">#REF!+#REF!+#REF!+#REF!</definedName>
    <definedName name="SHARED_FORMULA_2_73_2_73_5" localSheetId="11">#REF!+#REF!+#REF!+#REF!</definedName>
    <definedName name="SHARED_FORMULA_2_73_2_73_5" localSheetId="12">#REF!+#REF!+#REF!+#REF!</definedName>
    <definedName name="SHARED_FORMULA_2_73_2_73_5" localSheetId="9">#REF!+#REF!+#REF!+#REF!</definedName>
    <definedName name="SHARED_FORMULA_2_73_2_73_5">#REF!+#REF!+#REF!+#REF!</definedName>
    <definedName name="SHARED_FORMULA_2_74_2_74_5" localSheetId="10">#REF!+#REF!+#REF!+#REF!</definedName>
    <definedName name="SHARED_FORMULA_2_74_2_74_5" localSheetId="11">#REF!+#REF!+#REF!+#REF!</definedName>
    <definedName name="SHARED_FORMULA_2_74_2_74_5" localSheetId="12">#REF!+#REF!+#REF!+#REF!</definedName>
    <definedName name="SHARED_FORMULA_2_74_2_74_5" localSheetId="9">#REF!+#REF!+#REF!+#REF!</definedName>
    <definedName name="SHARED_FORMULA_2_74_2_74_5">#REF!+#REF!+#REF!+#REF!</definedName>
    <definedName name="SHARED_FORMULA_2_75_2_75_5" localSheetId="10">#REF!+#REF!+#REF!+#REF!</definedName>
    <definedName name="SHARED_FORMULA_2_75_2_75_5" localSheetId="11">#REF!+#REF!+#REF!+#REF!</definedName>
    <definedName name="SHARED_FORMULA_2_75_2_75_5" localSheetId="12">#REF!+#REF!+#REF!+#REF!</definedName>
    <definedName name="SHARED_FORMULA_2_75_2_75_5" localSheetId="9">#REF!+#REF!+#REF!+#REF!</definedName>
    <definedName name="SHARED_FORMULA_2_75_2_75_5">#REF!+#REF!+#REF!+#REF!</definedName>
    <definedName name="SHARED_FORMULA_2_82_2_82_5" localSheetId="10">#REF!</definedName>
    <definedName name="SHARED_FORMULA_2_82_2_82_5" localSheetId="11">#REF!</definedName>
    <definedName name="SHARED_FORMULA_2_82_2_82_5" localSheetId="12">#REF!</definedName>
    <definedName name="SHARED_FORMULA_2_82_2_82_5" localSheetId="9">#REF!</definedName>
    <definedName name="SHARED_FORMULA_2_82_2_82_5">#REF!</definedName>
    <definedName name="SHARED_FORMULA_2_86_2_86_5" localSheetId="10">#REF!+#REF!</definedName>
    <definedName name="SHARED_FORMULA_2_86_2_86_5" localSheetId="11">#REF!+#REF!</definedName>
    <definedName name="SHARED_FORMULA_2_86_2_86_5" localSheetId="12">#REF!+#REF!</definedName>
    <definedName name="SHARED_FORMULA_2_86_2_86_5" localSheetId="9">#REF!+#REF!</definedName>
    <definedName name="SHARED_FORMULA_2_86_2_86_5">#REF!+#REF!</definedName>
    <definedName name="SHARED_FORMULA_2_87_2_87_5" localSheetId="10">#REF!+#REF!</definedName>
    <definedName name="SHARED_FORMULA_2_87_2_87_5" localSheetId="11">#REF!+#REF!</definedName>
    <definedName name="SHARED_FORMULA_2_87_2_87_5" localSheetId="12">#REF!+#REF!</definedName>
    <definedName name="SHARED_FORMULA_2_87_2_87_5" localSheetId="9">#REF!+#REF!</definedName>
    <definedName name="SHARED_FORMULA_2_87_2_87_5">#REF!+#REF!</definedName>
    <definedName name="SHARED_FORMULA_2_88_2_88_5" localSheetId="10">#REF!+#REF!</definedName>
    <definedName name="SHARED_FORMULA_2_88_2_88_5" localSheetId="11">#REF!+#REF!</definedName>
    <definedName name="SHARED_FORMULA_2_88_2_88_5" localSheetId="12">#REF!+#REF!</definedName>
    <definedName name="SHARED_FORMULA_2_88_2_88_5" localSheetId="9">#REF!+#REF!</definedName>
    <definedName name="SHARED_FORMULA_2_88_2_88_5">#REF!+#REF!</definedName>
    <definedName name="SHARED_FORMULA_2_89_2_89_5" localSheetId="10">#REF!+#REF!</definedName>
    <definedName name="SHARED_FORMULA_2_89_2_89_5" localSheetId="11">#REF!+#REF!</definedName>
    <definedName name="SHARED_FORMULA_2_89_2_89_5" localSheetId="12">#REF!+#REF!</definedName>
    <definedName name="SHARED_FORMULA_2_89_2_89_5" localSheetId="9">#REF!+#REF!</definedName>
    <definedName name="SHARED_FORMULA_2_89_2_89_5">#REF!+#REF!</definedName>
    <definedName name="SHARED_FORMULA_2_9_2_9_5" localSheetId="10">#REF!</definedName>
    <definedName name="SHARED_FORMULA_2_9_2_9_5" localSheetId="11">#REF!</definedName>
    <definedName name="SHARED_FORMULA_2_9_2_9_5" localSheetId="12">#REF!</definedName>
    <definedName name="SHARED_FORMULA_2_9_2_9_5" localSheetId="9">#REF!</definedName>
    <definedName name="SHARED_FORMULA_2_9_2_9_5">#REF!</definedName>
    <definedName name="SHARED_FORMULA_2_90_2_90_5" localSheetId="10">#REF!+#REF!</definedName>
    <definedName name="SHARED_FORMULA_2_90_2_90_5" localSheetId="11">#REF!+#REF!</definedName>
    <definedName name="SHARED_FORMULA_2_90_2_90_5" localSheetId="12">#REF!+#REF!</definedName>
    <definedName name="SHARED_FORMULA_2_90_2_90_5" localSheetId="9">#REF!+#REF!</definedName>
    <definedName name="SHARED_FORMULA_2_90_2_90_5">#REF!+#REF!</definedName>
    <definedName name="SHARED_FORMULA_2_92_2_92_5" localSheetId="10">#REF!</definedName>
    <definedName name="SHARED_FORMULA_2_92_2_92_5" localSheetId="11">#REF!</definedName>
    <definedName name="SHARED_FORMULA_2_92_2_92_5" localSheetId="12">#REF!</definedName>
    <definedName name="SHARED_FORMULA_2_92_2_92_5" localSheetId="9">#REF!</definedName>
    <definedName name="SHARED_FORMULA_2_92_2_92_5">#REF!</definedName>
    <definedName name="SHARED_FORMULA_2_97_2_97_5" localSheetId="10">#REF!</definedName>
    <definedName name="SHARED_FORMULA_2_97_2_97_5" localSheetId="11">#REF!</definedName>
    <definedName name="SHARED_FORMULA_2_97_2_97_5" localSheetId="12">#REF!</definedName>
    <definedName name="SHARED_FORMULA_2_97_2_97_5" localSheetId="9">#REF!</definedName>
    <definedName name="SHARED_FORMULA_2_97_2_97_5">#REF!</definedName>
    <definedName name="SHARED_FORMULA_20_10_20_10_5" localSheetId="10">#REF!</definedName>
    <definedName name="SHARED_FORMULA_20_10_20_10_5" localSheetId="11">#REF!</definedName>
    <definedName name="SHARED_FORMULA_20_10_20_10_5" localSheetId="12">#REF!</definedName>
    <definedName name="SHARED_FORMULA_20_10_20_10_5" localSheetId="9">#REF!</definedName>
    <definedName name="SHARED_FORMULA_20_10_20_10_5">#REF!</definedName>
    <definedName name="SHARED_FORMULA_20_102_20_102_5" localSheetId="10">#REF!</definedName>
    <definedName name="SHARED_FORMULA_20_102_20_102_5" localSheetId="11">#REF!</definedName>
    <definedName name="SHARED_FORMULA_20_102_20_102_5" localSheetId="12">#REF!</definedName>
    <definedName name="SHARED_FORMULA_20_102_20_102_5" localSheetId="9">#REF!</definedName>
    <definedName name="SHARED_FORMULA_20_102_20_102_5">#REF!</definedName>
    <definedName name="SHARED_FORMULA_20_112_20_112_5" localSheetId="10">#REF!</definedName>
    <definedName name="SHARED_FORMULA_20_112_20_112_5" localSheetId="11">#REF!</definedName>
    <definedName name="SHARED_FORMULA_20_112_20_112_5" localSheetId="12">#REF!</definedName>
    <definedName name="SHARED_FORMULA_20_112_20_112_5" localSheetId="9">#REF!</definedName>
    <definedName name="SHARED_FORMULA_20_112_20_112_5">#REF!</definedName>
    <definedName name="SHARED_FORMULA_20_117_20_117_5" localSheetId="10">#REF!</definedName>
    <definedName name="SHARED_FORMULA_20_117_20_117_5" localSheetId="11">#REF!</definedName>
    <definedName name="SHARED_FORMULA_20_117_20_117_5" localSheetId="12">#REF!</definedName>
    <definedName name="SHARED_FORMULA_20_117_20_117_5" localSheetId="9">#REF!</definedName>
    <definedName name="SHARED_FORMULA_20_117_20_117_5">#REF!</definedName>
    <definedName name="SHARED_FORMULA_20_121_20_121_5" localSheetId="10">#REF!+#REF!+#REF!+#REF!</definedName>
    <definedName name="SHARED_FORMULA_20_121_20_121_5" localSheetId="11">#REF!+#REF!+#REF!+#REF!</definedName>
    <definedName name="SHARED_FORMULA_20_121_20_121_5" localSheetId="12">#REF!+#REF!+#REF!+#REF!</definedName>
    <definedName name="SHARED_FORMULA_20_121_20_121_5" localSheetId="9">#REF!+#REF!+#REF!+#REF!</definedName>
    <definedName name="SHARED_FORMULA_20_121_20_121_5">#REF!+#REF!+#REF!+#REF!</definedName>
    <definedName name="SHARED_FORMULA_20_127_20_127_5" localSheetId="10">#REF!</definedName>
    <definedName name="SHARED_FORMULA_20_127_20_127_5" localSheetId="11">#REF!</definedName>
    <definedName name="SHARED_FORMULA_20_127_20_127_5" localSheetId="12">#REF!</definedName>
    <definedName name="SHARED_FORMULA_20_127_20_127_5" localSheetId="9">#REF!</definedName>
    <definedName name="SHARED_FORMULA_20_127_20_127_5">#REF!</definedName>
    <definedName name="SHARED_FORMULA_20_131_20_131_5" localSheetId="10">#REF!+#REF!+#REF!+#REF!+#REF!+#REF!+#REF!+#REF!+#REF!+#REF!+#REF!+#REF!+#REF!+#REF!+#REF!+#REF!+#REF!+#REF!+#REF!+#REF!+#REF!+#REF!+#REF!</definedName>
    <definedName name="SHARED_FORMULA_20_131_20_131_5" localSheetId="11">#REF!+#REF!+#REF!+#REF!+#REF!+#REF!+#REF!+#REF!+#REF!+#REF!+#REF!+#REF!+#REF!+#REF!+#REF!+#REF!+#REF!+#REF!+#REF!+#REF!+#REF!+#REF!+#REF!</definedName>
    <definedName name="SHARED_FORMULA_20_131_20_131_5" localSheetId="12">#REF!+#REF!+#REF!+#REF!+#REF!+#REF!+#REF!+#REF!+#REF!+#REF!+#REF!+#REF!+#REF!+#REF!+#REF!+#REF!+#REF!+#REF!+#REF!+#REF!+#REF!+#REF!+#REF!</definedName>
    <definedName name="SHARED_FORMULA_20_131_20_131_5" localSheetId="9">#REF!+#REF!+#REF!+#REF!+#REF!+#REF!+#REF!+#REF!+#REF!+#REF!+#REF!+#REF!+#REF!+#REF!+#REF!+#REF!+#REF!+#REF!+#REF!+#REF!+#REF!+#REF!+#REF!</definedName>
    <definedName name="SHARED_FORMULA_20_131_20_131_5">#REF!+#REF!+#REF!+#REF!+#REF!+#REF!+#REF!+#REF!+#REF!+#REF!+#REF!+#REF!+#REF!+#REF!+#REF!+#REF!+#REF!+#REF!+#REF!+#REF!+#REF!+#REF!+#REF!</definedName>
    <definedName name="SHARED_FORMULA_20_14_20_14_5" localSheetId="10">#REF!</definedName>
    <definedName name="SHARED_FORMULA_20_14_20_14_5" localSheetId="11">#REF!</definedName>
    <definedName name="SHARED_FORMULA_20_14_20_14_5" localSheetId="12">#REF!</definedName>
    <definedName name="SHARED_FORMULA_20_14_20_14_5" localSheetId="9">#REF!</definedName>
    <definedName name="SHARED_FORMULA_20_14_20_14_5">#REF!</definedName>
    <definedName name="SHARED_FORMULA_20_141_20_141_5" localSheetId="10">#REF!+#REF!+#REF!+#REF!+#REF!+#REF!+#REF!+#REF!+#REF!+#REF!+#REF!+#REF!+#REF!+#REF!+#REF!+#REF!+#REF!+#REF!+#REF!+#REF!+#REF!+#REF!</definedName>
    <definedName name="SHARED_FORMULA_20_141_20_141_5" localSheetId="11">#REF!+#REF!+#REF!+#REF!+#REF!+#REF!+#REF!+#REF!+#REF!+#REF!+#REF!+#REF!+#REF!+#REF!+#REF!+#REF!+#REF!+#REF!+#REF!+#REF!+#REF!+#REF!</definedName>
    <definedName name="SHARED_FORMULA_20_141_20_141_5" localSheetId="12">#REF!+#REF!+#REF!+#REF!+#REF!+#REF!+#REF!+#REF!+#REF!+#REF!+#REF!+#REF!+#REF!+#REF!+#REF!+#REF!+#REF!+#REF!+#REF!+#REF!+#REF!+#REF!</definedName>
    <definedName name="SHARED_FORMULA_20_141_20_141_5" localSheetId="9">#REF!+#REF!+#REF!+#REF!+#REF!+#REF!+#REF!+#REF!+#REF!+#REF!+#REF!+#REF!+#REF!+#REF!+#REF!+#REF!+#REF!+#REF!+#REF!+#REF!+#REF!+#REF!</definedName>
    <definedName name="SHARED_FORMULA_20_141_20_141_5">#REF!+#REF!+#REF!+#REF!+#REF!+#REF!+#REF!+#REF!+#REF!+#REF!+#REF!+#REF!+#REF!+#REF!+#REF!+#REF!+#REF!+#REF!+#REF!+#REF!+#REF!+#REF!</definedName>
    <definedName name="SHARED_FORMULA_20_19_20_19_5" localSheetId="10">#REF!</definedName>
    <definedName name="SHARED_FORMULA_20_19_20_19_5" localSheetId="11">#REF!</definedName>
    <definedName name="SHARED_FORMULA_20_19_20_19_5" localSheetId="12">#REF!</definedName>
    <definedName name="SHARED_FORMULA_20_19_20_19_5" localSheetId="9">#REF!</definedName>
    <definedName name="SHARED_FORMULA_20_19_20_19_5">#REF!</definedName>
    <definedName name="SHARED_FORMULA_20_22_20_22_5" localSheetId="10">#REF!</definedName>
    <definedName name="SHARED_FORMULA_20_22_20_22_5" localSheetId="11">#REF!</definedName>
    <definedName name="SHARED_FORMULA_20_22_20_22_5" localSheetId="12">#REF!</definedName>
    <definedName name="SHARED_FORMULA_20_22_20_22_5" localSheetId="9">#REF!</definedName>
    <definedName name="SHARED_FORMULA_20_22_20_22_5">#REF!</definedName>
    <definedName name="SHARED_FORMULA_20_27_20_27_5" localSheetId="10">#REF!</definedName>
    <definedName name="SHARED_FORMULA_20_27_20_27_5" localSheetId="11">#REF!</definedName>
    <definedName name="SHARED_FORMULA_20_27_20_27_5" localSheetId="12">#REF!</definedName>
    <definedName name="SHARED_FORMULA_20_27_20_27_5" localSheetId="9">#REF!</definedName>
    <definedName name="SHARED_FORMULA_20_27_20_27_5">#REF!</definedName>
    <definedName name="SHARED_FORMULA_20_33_20_33_5" localSheetId="10">#REF!</definedName>
    <definedName name="SHARED_FORMULA_20_33_20_33_5" localSheetId="11">#REF!</definedName>
    <definedName name="SHARED_FORMULA_20_33_20_33_5" localSheetId="12">#REF!</definedName>
    <definedName name="SHARED_FORMULA_20_33_20_33_5" localSheetId="9">#REF!</definedName>
    <definedName name="SHARED_FORMULA_20_33_20_33_5">#REF!</definedName>
    <definedName name="SHARED_FORMULA_20_37_20_37_5" localSheetId="10">#REF!</definedName>
    <definedName name="SHARED_FORMULA_20_37_20_37_5" localSheetId="11">#REF!</definedName>
    <definedName name="SHARED_FORMULA_20_37_20_37_5" localSheetId="12">#REF!</definedName>
    <definedName name="SHARED_FORMULA_20_37_20_37_5" localSheetId="9">#REF!</definedName>
    <definedName name="SHARED_FORMULA_20_37_20_37_5">#REF!</definedName>
    <definedName name="SHARED_FORMULA_20_42_20_42_5" localSheetId="10">#REF!</definedName>
    <definedName name="SHARED_FORMULA_20_42_20_42_5" localSheetId="11">#REF!</definedName>
    <definedName name="SHARED_FORMULA_20_42_20_42_5" localSheetId="12">#REF!</definedName>
    <definedName name="SHARED_FORMULA_20_42_20_42_5" localSheetId="9">#REF!</definedName>
    <definedName name="SHARED_FORMULA_20_42_20_42_5">#REF!</definedName>
    <definedName name="SHARED_FORMULA_20_57_20_57_5" localSheetId="10">#REF!</definedName>
    <definedName name="SHARED_FORMULA_20_57_20_57_5" localSheetId="11">#REF!</definedName>
    <definedName name="SHARED_FORMULA_20_57_20_57_5" localSheetId="12">#REF!</definedName>
    <definedName name="SHARED_FORMULA_20_57_20_57_5" localSheetId="9">#REF!</definedName>
    <definedName name="SHARED_FORMULA_20_57_20_57_5">#REF!</definedName>
    <definedName name="SHARED_FORMULA_20_63_20_63_5" localSheetId="10">#REF!</definedName>
    <definedName name="SHARED_FORMULA_20_63_20_63_5" localSheetId="11">#REF!</definedName>
    <definedName name="SHARED_FORMULA_20_63_20_63_5" localSheetId="12">#REF!</definedName>
    <definedName name="SHARED_FORMULA_20_63_20_63_5" localSheetId="9">#REF!</definedName>
    <definedName name="SHARED_FORMULA_20_63_20_63_5">#REF!</definedName>
    <definedName name="SHARED_FORMULA_20_67_20_67_5" localSheetId="10">#REF!</definedName>
    <definedName name="SHARED_FORMULA_20_67_20_67_5" localSheetId="11">#REF!</definedName>
    <definedName name="SHARED_FORMULA_20_67_20_67_5" localSheetId="12">#REF!</definedName>
    <definedName name="SHARED_FORMULA_20_67_20_67_5" localSheetId="9">#REF!</definedName>
    <definedName name="SHARED_FORMULA_20_67_20_67_5">#REF!</definedName>
    <definedName name="SHARED_FORMULA_20_78_20_78_5" localSheetId="10">#REF!</definedName>
    <definedName name="SHARED_FORMULA_20_78_20_78_5" localSheetId="11">#REF!</definedName>
    <definedName name="SHARED_FORMULA_20_78_20_78_5" localSheetId="12">#REF!</definedName>
    <definedName name="SHARED_FORMULA_20_78_20_78_5" localSheetId="9">#REF!</definedName>
    <definedName name="SHARED_FORMULA_20_78_20_78_5">#REF!</definedName>
    <definedName name="SHARED_FORMULA_20_82_20_82_5" localSheetId="10">#REF!</definedName>
    <definedName name="SHARED_FORMULA_20_82_20_82_5" localSheetId="11">#REF!</definedName>
    <definedName name="SHARED_FORMULA_20_82_20_82_5" localSheetId="12">#REF!</definedName>
    <definedName name="SHARED_FORMULA_20_82_20_82_5" localSheetId="9">#REF!</definedName>
    <definedName name="SHARED_FORMULA_20_82_20_82_5">#REF!</definedName>
    <definedName name="SHARED_FORMULA_20_86_20_86_5" localSheetId="10">#REF!+#REF!</definedName>
    <definedName name="SHARED_FORMULA_20_86_20_86_5" localSheetId="11">#REF!+#REF!</definedName>
    <definedName name="SHARED_FORMULA_20_86_20_86_5" localSheetId="12">#REF!+#REF!</definedName>
    <definedName name="SHARED_FORMULA_20_86_20_86_5" localSheetId="9">#REF!+#REF!</definedName>
    <definedName name="SHARED_FORMULA_20_86_20_86_5">#REF!+#REF!</definedName>
    <definedName name="SHARED_FORMULA_20_92_20_92_5" localSheetId="10">#REF!</definedName>
    <definedName name="SHARED_FORMULA_20_92_20_92_5" localSheetId="11">#REF!</definedName>
    <definedName name="SHARED_FORMULA_20_92_20_92_5" localSheetId="12">#REF!</definedName>
    <definedName name="SHARED_FORMULA_20_92_20_92_5" localSheetId="9">#REF!</definedName>
    <definedName name="SHARED_FORMULA_20_92_20_92_5">#REF!</definedName>
    <definedName name="SHARED_FORMULA_23_3_23_3_5" localSheetId="10">SUM(#REF!)-#REF!</definedName>
    <definedName name="SHARED_FORMULA_23_3_23_3_5" localSheetId="11">SUM(#REF!)-#REF!</definedName>
    <definedName name="SHARED_FORMULA_23_3_23_3_5" localSheetId="12">SUM(#REF!)-#REF!</definedName>
    <definedName name="SHARED_FORMULA_23_3_23_3_5" localSheetId="4">SUM(#REF!)-#REF!</definedName>
    <definedName name="SHARED_FORMULA_23_3_23_3_5" localSheetId="9">SUM(#REF!)-#REF!</definedName>
    <definedName name="SHARED_FORMULA_23_3_23_3_5">SUM(#REF!)-#REF!</definedName>
    <definedName name="SHARED_FORMULA_23_32_23_32_5" localSheetId="10">SUM(#REF!)-#REF!</definedName>
    <definedName name="SHARED_FORMULA_23_32_23_32_5" localSheetId="11">SUM(#REF!)-#REF!</definedName>
    <definedName name="SHARED_FORMULA_23_32_23_32_5" localSheetId="12">SUM(#REF!)-#REF!</definedName>
    <definedName name="SHARED_FORMULA_23_32_23_32_5" localSheetId="4">SUM(#REF!)-#REF!</definedName>
    <definedName name="SHARED_FORMULA_23_32_23_32_5" localSheetId="9">SUM(#REF!)-#REF!</definedName>
    <definedName name="SHARED_FORMULA_23_32_23_32_5">SUM(#REF!)-#REF!</definedName>
    <definedName name="SHARED_FORMULA_23_64_23_64_5" localSheetId="10">SUM(#REF!)-#REF!</definedName>
    <definedName name="SHARED_FORMULA_23_64_23_64_5" localSheetId="11">SUM(#REF!)-#REF!</definedName>
    <definedName name="SHARED_FORMULA_23_64_23_64_5" localSheetId="12">SUM(#REF!)-#REF!</definedName>
    <definedName name="SHARED_FORMULA_23_64_23_64_5" localSheetId="4">SUM(#REF!)-#REF!</definedName>
    <definedName name="SHARED_FORMULA_23_64_23_64_5" localSheetId="9">SUM(#REF!)-#REF!</definedName>
    <definedName name="SHARED_FORMULA_23_64_23_64_5">SUM(#REF!)-#REF!</definedName>
    <definedName name="SHARED_FORMULA_23_96_23_96_5" localSheetId="10">SUM(#REF!)-#REF!</definedName>
    <definedName name="SHARED_FORMULA_23_96_23_96_5" localSheetId="11">SUM(#REF!)-#REF!</definedName>
    <definedName name="SHARED_FORMULA_23_96_23_96_5" localSheetId="12">SUM(#REF!)-#REF!</definedName>
    <definedName name="SHARED_FORMULA_23_96_23_96_5" localSheetId="9">SUM(#REF!)-#REF!</definedName>
    <definedName name="SHARED_FORMULA_23_96_23_96_5">SUM(#REF!)-#REF!</definedName>
    <definedName name="SHARED_FORMULA_25_131_25_131_5" localSheetId="10">SUM(#REF!)-#REF!</definedName>
    <definedName name="SHARED_FORMULA_25_131_25_131_5" localSheetId="11">SUM(#REF!)-#REF!</definedName>
    <definedName name="SHARED_FORMULA_25_131_25_131_5" localSheetId="12">SUM(#REF!)-#REF!</definedName>
    <definedName name="SHARED_FORMULA_25_131_25_131_5" localSheetId="9">SUM(#REF!)-#REF!</definedName>
    <definedName name="SHARED_FORMULA_25_131_25_131_5">SUM(#REF!)-#REF!</definedName>
    <definedName name="SHARED_FORMULA_3_10_3_10_3" localSheetId="10">SUM(#REF!)</definedName>
    <definedName name="SHARED_FORMULA_3_10_3_10_3" localSheetId="11">SUM(#REF!)</definedName>
    <definedName name="SHARED_FORMULA_3_10_3_10_3" localSheetId="12">SUM(#REF!)</definedName>
    <definedName name="SHARED_FORMULA_3_10_3_10_3" localSheetId="9">SUM(#REF!)</definedName>
    <definedName name="SHARED_FORMULA_3_10_3_10_3">SUM(#REF!)</definedName>
    <definedName name="SHARED_FORMULA_3_308_3_308_4" localSheetId="10">SUM(#REF!+#REF!+#REF!)</definedName>
    <definedName name="SHARED_FORMULA_3_308_3_308_4" localSheetId="11">SUM(#REF!+#REF!+#REF!)</definedName>
    <definedName name="SHARED_FORMULA_3_308_3_308_4" localSheetId="12">SUM(#REF!+#REF!+#REF!)</definedName>
    <definedName name="SHARED_FORMULA_3_308_3_308_4" localSheetId="4">SUM(#REF!+#REF!+#REF!)</definedName>
    <definedName name="SHARED_FORMULA_3_308_3_308_4" localSheetId="9">SUM(#REF!+#REF!+#REF!)</definedName>
    <definedName name="SHARED_FORMULA_3_308_3_308_4">SUM(#REF!+#REF!+#REF!)</definedName>
    <definedName name="SHARED_FORMULA_3_309_3_309_4" localSheetId="10">#REF!+#REF!+#REF!</definedName>
    <definedName name="SHARED_FORMULA_3_309_3_309_4" localSheetId="11">#REF!+#REF!+#REF!</definedName>
    <definedName name="SHARED_FORMULA_3_309_3_309_4" localSheetId="12">#REF!+#REF!+#REF!</definedName>
    <definedName name="SHARED_FORMULA_3_309_3_309_4" localSheetId="4">#REF!+#REF!+#REF!</definedName>
    <definedName name="SHARED_FORMULA_3_309_3_309_4" localSheetId="9">#REF!+#REF!+#REF!</definedName>
    <definedName name="SHARED_FORMULA_3_309_3_309_4">#REF!+#REF!+#REF!</definedName>
    <definedName name="SHARED_FORMULA_3_312_3_312_4" localSheetId="10">SUM(#REF!+#REF!+#REF!)</definedName>
    <definedName name="SHARED_FORMULA_3_312_3_312_4" localSheetId="11">SUM(#REF!+#REF!+#REF!)</definedName>
    <definedName name="SHARED_FORMULA_3_312_3_312_4" localSheetId="12">SUM(#REF!+#REF!+#REF!)</definedName>
    <definedName name="SHARED_FORMULA_3_312_3_312_4" localSheetId="4">SUM(#REF!+#REF!+#REF!)</definedName>
    <definedName name="SHARED_FORMULA_3_312_3_312_4" localSheetId="9">SUM(#REF!+#REF!+#REF!)</definedName>
    <definedName name="SHARED_FORMULA_3_312_3_312_4">SUM(#REF!+#REF!+#REF!)</definedName>
    <definedName name="SHARED_FORMULA_3_32_3_32_2" localSheetId="10">SUM(#REF!)</definedName>
    <definedName name="SHARED_FORMULA_3_32_3_32_2" localSheetId="11">SUM(#REF!)</definedName>
    <definedName name="SHARED_FORMULA_3_32_3_32_2" localSheetId="12">SUM(#REF!)</definedName>
    <definedName name="SHARED_FORMULA_3_32_3_32_2" localSheetId="9">SUM(#REF!)</definedName>
    <definedName name="SHARED_FORMULA_3_32_3_32_2">SUM(#REF!)</definedName>
    <definedName name="SHARED_FORMULA_3_320_3_320_4" localSheetId="10">SUM(#REF!+#REF!+#REF!+#REF!)</definedName>
    <definedName name="SHARED_FORMULA_3_320_3_320_4" localSheetId="11">SUM(#REF!+#REF!+#REF!+#REF!)</definedName>
    <definedName name="SHARED_FORMULA_3_320_3_320_4" localSheetId="12">SUM(#REF!+#REF!+#REF!+#REF!)</definedName>
    <definedName name="SHARED_FORMULA_3_320_3_320_4" localSheetId="4">SUM(#REF!+#REF!+#REF!+#REF!)</definedName>
    <definedName name="SHARED_FORMULA_3_320_3_320_4" localSheetId="9">SUM(#REF!+#REF!+#REF!+#REF!)</definedName>
    <definedName name="SHARED_FORMULA_3_320_3_320_4">SUM(#REF!+#REF!+#REF!+#REF!)</definedName>
    <definedName name="SHARED_FORMULA_3_321_3_321_4" localSheetId="10">SUM(#REF!+#REF!+#REF!+#REF!)</definedName>
    <definedName name="SHARED_FORMULA_3_321_3_321_4" localSheetId="11">SUM(#REF!+#REF!+#REF!+#REF!)</definedName>
    <definedName name="SHARED_FORMULA_3_321_3_321_4" localSheetId="12">SUM(#REF!+#REF!+#REF!+#REF!)</definedName>
    <definedName name="SHARED_FORMULA_3_321_3_321_4" localSheetId="4">SUM(#REF!+#REF!+#REF!+#REF!)</definedName>
    <definedName name="SHARED_FORMULA_3_321_3_321_4" localSheetId="9">SUM(#REF!+#REF!+#REF!+#REF!)</definedName>
    <definedName name="SHARED_FORMULA_3_321_3_321_4">SUM(#REF!+#REF!+#REF!+#REF!)</definedName>
    <definedName name="SHARED_FORMULA_3_37_3_37_2" localSheetId="10">SUM(#REF!)</definedName>
    <definedName name="SHARED_FORMULA_3_37_3_37_2" localSheetId="11">SUM(#REF!)</definedName>
    <definedName name="SHARED_FORMULA_3_37_3_37_2" localSheetId="12">SUM(#REF!)</definedName>
    <definedName name="SHARED_FORMULA_3_37_3_37_2" localSheetId="9">SUM(#REF!)</definedName>
    <definedName name="SHARED_FORMULA_3_37_3_37_2">SUM(#REF!)</definedName>
    <definedName name="SHARED_FORMULA_3_47_3_47_2" localSheetId="10">SUM(#REF!)</definedName>
    <definedName name="SHARED_FORMULA_3_47_3_47_2" localSheetId="11">SUM(#REF!)</definedName>
    <definedName name="SHARED_FORMULA_3_47_3_47_2">SUM(#REF!)</definedName>
    <definedName name="SHARED_FORMULA_3_59_3_59_5" localSheetId="10">#REF!</definedName>
    <definedName name="SHARED_FORMULA_3_59_3_59_5" localSheetId="11">#REF!</definedName>
    <definedName name="SHARED_FORMULA_3_59_3_59_5" localSheetId="12">#REF!</definedName>
    <definedName name="SHARED_FORMULA_3_59_3_59_5" localSheetId="9">#REF!</definedName>
    <definedName name="SHARED_FORMULA_3_59_3_59_5">#REF!</definedName>
    <definedName name="SHARED_FORMULA_3_77_3_77_5" localSheetId="10">#REF!</definedName>
    <definedName name="SHARED_FORMULA_3_77_3_77_5" localSheetId="11">#REF!</definedName>
    <definedName name="SHARED_FORMULA_3_77_3_77_5" localSheetId="12">#REF!</definedName>
    <definedName name="SHARED_FORMULA_3_77_3_77_5" localSheetId="9">#REF!</definedName>
    <definedName name="SHARED_FORMULA_3_77_3_77_5">#REF!</definedName>
    <definedName name="SHARED_FORMULA_3_94_3_94_5" localSheetId="10">#REF!</definedName>
    <definedName name="SHARED_FORMULA_3_94_3_94_5" localSheetId="11">#REF!</definedName>
    <definedName name="SHARED_FORMULA_3_94_3_94_5" localSheetId="12">#REF!</definedName>
    <definedName name="SHARED_FORMULA_3_94_3_94_5" localSheetId="9">#REF!</definedName>
    <definedName name="SHARED_FORMULA_3_94_3_94_5">#REF!</definedName>
    <definedName name="SHARED_FORMULA_4_133_4_133_5" localSheetId="10">SUM(#REF!)-#REF!-#REF!-#REF!</definedName>
    <definedName name="SHARED_FORMULA_4_133_4_133_5" localSheetId="11">SUM(#REF!)-#REF!-#REF!-#REF!</definedName>
    <definedName name="SHARED_FORMULA_4_133_4_133_5" localSheetId="12">SUM(#REF!)-#REF!-#REF!-#REF!</definedName>
    <definedName name="SHARED_FORMULA_4_133_4_133_5" localSheetId="4">SUM(#REF!)-#REF!-#REF!-#REF!</definedName>
    <definedName name="SHARED_FORMULA_4_133_4_133_5" localSheetId="9">SUM(#REF!)-#REF!-#REF!-#REF!</definedName>
    <definedName name="SHARED_FORMULA_4_133_4_133_5">SUM(#REF!)-#REF!-#REF!-#REF!</definedName>
    <definedName name="SHARED_FORMULA_4_136_4_136_4" localSheetId="10">SUM(#REF!)</definedName>
    <definedName name="SHARED_FORMULA_4_136_4_136_4" localSheetId="11">SUM(#REF!)</definedName>
    <definedName name="SHARED_FORMULA_4_136_4_136_4" localSheetId="12">SUM(#REF!)</definedName>
    <definedName name="SHARED_FORMULA_4_136_4_136_4" localSheetId="4">SUM(#REF!)</definedName>
    <definedName name="SHARED_FORMULA_4_136_4_136_4" localSheetId="9">SUM(#REF!)</definedName>
    <definedName name="SHARED_FORMULA_4_136_4_136_4">SUM(#REF!)</definedName>
    <definedName name="SHARED_FORMULA_4_200_4_200_4" localSheetId="10">SUM(#REF!)</definedName>
    <definedName name="SHARED_FORMULA_4_200_4_200_4" localSheetId="11">SUM(#REF!)</definedName>
    <definedName name="SHARED_FORMULA_4_200_4_200_4" localSheetId="12">SUM(#REF!)</definedName>
    <definedName name="SHARED_FORMULA_4_200_4_200_4" localSheetId="9">SUM(#REF!)</definedName>
    <definedName name="SHARED_FORMULA_4_200_4_200_4">SUM(#REF!)</definedName>
    <definedName name="SHARED_FORMULA_4_264_4_264_4" localSheetId="10">SUM(#REF!)</definedName>
    <definedName name="SHARED_FORMULA_4_264_4_264_4" localSheetId="11">SUM(#REF!)</definedName>
    <definedName name="SHARED_FORMULA_4_264_4_264_4" localSheetId="12">SUM(#REF!)</definedName>
    <definedName name="SHARED_FORMULA_4_264_4_264_4" localSheetId="9">SUM(#REF!)</definedName>
    <definedName name="SHARED_FORMULA_4_264_4_264_4">SUM(#REF!)</definedName>
    <definedName name="SHARED_FORMULA_4_322_4_322_4" localSheetId="10">SUM(#REF!,#REF!,#REF!)</definedName>
    <definedName name="SHARED_FORMULA_4_322_4_322_4" localSheetId="11">SUM(#REF!,#REF!,#REF!)</definedName>
    <definedName name="SHARED_FORMULA_4_322_4_322_4" localSheetId="12">SUM(#REF!,#REF!,#REF!)</definedName>
    <definedName name="SHARED_FORMULA_4_322_4_322_4" localSheetId="4">SUM(#REF!,#REF!,#REF!)</definedName>
    <definedName name="SHARED_FORMULA_4_322_4_322_4" localSheetId="9">SUM(#REF!,#REF!,#REF!)</definedName>
    <definedName name="SHARED_FORMULA_4_322_4_322_4">SUM(#REF!,#REF!,#REF!)</definedName>
    <definedName name="SHARED_FORMULA_4_43_4_43_3" localSheetId="10">SUM(#REF!,#REF!,#REF!,#REF!,#REF!,#REF!,#REF!,#REF!,#REF!,#REF!,#REF!,#REF!,#REF!,#REF!)</definedName>
    <definedName name="SHARED_FORMULA_4_43_4_43_3" localSheetId="11">SUM(#REF!,#REF!,#REF!,#REF!,#REF!,#REF!,#REF!,#REF!,#REF!,#REF!,#REF!,#REF!,#REF!,#REF!)</definedName>
    <definedName name="SHARED_FORMULA_4_43_4_43_3" localSheetId="12">SUM(#REF!,#REF!,#REF!,#REF!,#REF!,#REF!,#REF!,#REF!,#REF!,#REF!,#REF!,#REF!,#REF!,#REF!)</definedName>
    <definedName name="SHARED_FORMULA_4_43_4_43_3" localSheetId="4">SUM(#REF!,#REF!,#REF!,#REF!,#REF!,#REF!,#REF!,#REF!,#REF!,#REF!,#REF!,#REF!,#REF!,#REF!)</definedName>
    <definedName name="SHARED_FORMULA_4_43_4_43_3" localSheetId="9">SUM(#REF!,#REF!,#REF!,#REF!,#REF!,#REF!,#REF!,#REF!,#REF!,#REF!,#REF!,#REF!,#REF!,#REF!)</definedName>
    <definedName name="SHARED_FORMULA_4_43_4_43_3">SUM(#REF!,#REF!,#REF!,#REF!,#REF!,#REF!,#REF!,#REF!,#REF!,#REF!,#REF!,#REF!,#REF!,#REF!)</definedName>
    <definedName name="SHARED_FORMULA_4_58_4_58_2" localSheetId="10">SUM(#REF!,#REF!,#REF!,#REF!,#REF!,#REF!,#REF!,#REF!,#REF!,#REF!,#REF!)</definedName>
    <definedName name="SHARED_FORMULA_4_58_4_58_2" localSheetId="11">SUM(#REF!,#REF!,#REF!,#REF!,#REF!,#REF!,#REF!,#REF!,#REF!,#REF!,#REF!)</definedName>
    <definedName name="SHARED_FORMULA_4_58_4_58_2" localSheetId="12">SUM(#REF!,#REF!,#REF!,#REF!,#REF!,#REF!,#REF!,#REF!,#REF!,#REF!,#REF!)</definedName>
    <definedName name="SHARED_FORMULA_4_58_4_58_2" localSheetId="4">SUM(#REF!,#REF!,#REF!,#REF!,#REF!,#REF!,#REF!,#REF!,#REF!,#REF!,#REF!)</definedName>
    <definedName name="SHARED_FORMULA_4_58_4_58_2" localSheetId="9">SUM(#REF!,#REF!,#REF!,#REF!,#REF!,#REF!,#REF!,#REF!,#REF!,#REF!,#REF!)</definedName>
    <definedName name="SHARED_FORMULA_4_58_4_58_2">SUM(#REF!,#REF!,#REF!,#REF!,#REF!,#REF!,#REF!,#REF!,#REF!,#REF!,#REF!)</definedName>
    <definedName name="SHARED_FORMULA_4_73_4_73_4" localSheetId="10">SUM(#REF!)</definedName>
    <definedName name="SHARED_FORMULA_4_73_4_73_4" localSheetId="11">SUM(#REF!)</definedName>
    <definedName name="SHARED_FORMULA_4_73_4_73_4">SUM(#REF!)</definedName>
    <definedName name="SHARED_FORMULA_4_8_4_8_4" localSheetId="10">SUM(#REF!)</definedName>
    <definedName name="SHARED_FORMULA_4_8_4_8_4" localSheetId="11">SUM(#REF!)</definedName>
    <definedName name="SHARED_FORMULA_4_8_4_8_4">SUM(#REF!)</definedName>
    <definedName name="SHARED_FORMULA_4_9_4_9_3" localSheetId="10">SUM(#REF!)</definedName>
    <definedName name="SHARED_FORMULA_4_9_4_9_3" localSheetId="11">SUM(#REF!)</definedName>
    <definedName name="SHARED_FORMULA_4_9_4_9_3">SUM(#REF!)</definedName>
    <definedName name="SHARED_FORMULA_5_108_5_108_5" localSheetId="10">#REF!</definedName>
    <definedName name="SHARED_FORMULA_5_108_5_108_5" localSheetId="11">#REF!</definedName>
    <definedName name="SHARED_FORMULA_5_108_5_108_5" localSheetId="12">#REF!</definedName>
    <definedName name="SHARED_FORMULA_5_108_5_108_5" localSheetId="9">#REF!</definedName>
    <definedName name="SHARED_FORMULA_5_108_5_108_5">#REF!</definedName>
    <definedName name="SHARED_FORMULA_5_109_5_109_5" localSheetId="10">#REF!</definedName>
    <definedName name="SHARED_FORMULA_5_109_5_109_5" localSheetId="11">#REF!</definedName>
    <definedName name="SHARED_FORMULA_5_109_5_109_5" localSheetId="12">#REF!</definedName>
    <definedName name="SHARED_FORMULA_5_109_5_109_5" localSheetId="9">#REF!</definedName>
    <definedName name="SHARED_FORMULA_5_109_5_109_5">#REF!</definedName>
    <definedName name="SHARED_FORMULA_5_129_5_129_5" localSheetId="10">#REF!</definedName>
    <definedName name="SHARED_FORMULA_5_129_5_129_5" localSheetId="11">#REF!</definedName>
    <definedName name="SHARED_FORMULA_5_129_5_129_5" localSheetId="12">#REF!</definedName>
    <definedName name="SHARED_FORMULA_5_129_5_129_5" localSheetId="9">#REF!</definedName>
    <definedName name="SHARED_FORMULA_5_129_5_129_5">#REF!</definedName>
    <definedName name="SHARED_FORMULA_5_19_5_19_5" localSheetId="10">#REF!</definedName>
    <definedName name="SHARED_FORMULA_5_19_5_19_5" localSheetId="11">#REF!</definedName>
    <definedName name="SHARED_FORMULA_5_19_5_19_5" localSheetId="12">#REF!</definedName>
    <definedName name="SHARED_FORMULA_5_19_5_19_5" localSheetId="9">#REF!</definedName>
    <definedName name="SHARED_FORMULA_5_19_5_19_5">#REF!</definedName>
    <definedName name="SHARED_FORMULA_5_28_5_28_5" localSheetId="10">#REF!</definedName>
    <definedName name="SHARED_FORMULA_5_28_5_28_5" localSheetId="11">#REF!</definedName>
    <definedName name="SHARED_FORMULA_5_28_5_28_5" localSheetId="12">#REF!</definedName>
    <definedName name="SHARED_FORMULA_5_28_5_28_5" localSheetId="9">#REF!</definedName>
    <definedName name="SHARED_FORMULA_5_28_5_28_5">#REF!</definedName>
    <definedName name="SHARED_FORMULA_5_288_5_288_4" localSheetId="10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11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12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4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9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9_5_289_4" localSheetId="10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11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12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4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9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35_5_35_5" localSheetId="10">#REF!</definedName>
    <definedName name="SHARED_FORMULA_5_35_5_35_5" localSheetId="11">#REF!</definedName>
    <definedName name="SHARED_FORMULA_5_35_5_35_5" localSheetId="12">#REF!</definedName>
    <definedName name="SHARED_FORMULA_5_35_5_35_5" localSheetId="9">#REF!</definedName>
    <definedName name="SHARED_FORMULA_5_35_5_35_5">#REF!</definedName>
    <definedName name="SHARED_FORMULA_5_69_5_69_5" localSheetId="10">#REF!</definedName>
    <definedName name="SHARED_FORMULA_5_69_5_69_5" localSheetId="11">#REF!</definedName>
    <definedName name="SHARED_FORMULA_5_69_5_69_5" localSheetId="12">#REF!</definedName>
    <definedName name="SHARED_FORMULA_5_69_5_69_5" localSheetId="9">#REF!</definedName>
    <definedName name="SHARED_FORMULA_5_69_5_69_5">#REF!</definedName>
    <definedName name="SHARED_FORMULA_5_7_5_7_5" localSheetId="10">#REF!</definedName>
    <definedName name="SHARED_FORMULA_5_7_5_7_5" localSheetId="11">#REF!</definedName>
    <definedName name="SHARED_FORMULA_5_7_5_7_5" localSheetId="12">#REF!</definedName>
    <definedName name="SHARED_FORMULA_5_7_5_7_5" localSheetId="9">#REF!</definedName>
    <definedName name="SHARED_FORMULA_5_7_5_7_5">#REF!</definedName>
    <definedName name="SHARED_FORMULA_6_5_6_5_0" localSheetId="10">#REF!/#REF!*100</definedName>
    <definedName name="SHARED_FORMULA_6_5_6_5_0" localSheetId="11">#REF!/#REF!*100</definedName>
    <definedName name="SHARED_FORMULA_6_5_6_5_0" localSheetId="12">#REF!/#REF!*100</definedName>
    <definedName name="SHARED_FORMULA_6_5_6_5_0" localSheetId="9">#REF!/#REF!*100</definedName>
    <definedName name="SHARED_FORMULA_6_5_6_5_0">#REF!/#REF!*100</definedName>
    <definedName name="SHARED_FORMULA_7_62_7_62_5" localSheetId="10">#REF!</definedName>
    <definedName name="SHARED_FORMULA_7_62_7_62_5" localSheetId="11">#REF!</definedName>
    <definedName name="SHARED_FORMULA_7_62_7_62_5" localSheetId="12">#REF!</definedName>
    <definedName name="SHARED_FORMULA_7_62_7_62_5" localSheetId="9">#REF!</definedName>
    <definedName name="SHARED_FORMULA_7_62_7_62_5">#REF!</definedName>
    <definedName name="SHARED_FORMULA_7_82_7_82_5" localSheetId="10">#REF!</definedName>
    <definedName name="SHARED_FORMULA_7_82_7_82_5" localSheetId="11">#REF!</definedName>
    <definedName name="SHARED_FORMULA_7_82_7_82_5" localSheetId="12">#REF!</definedName>
    <definedName name="SHARED_FORMULA_7_82_7_82_5" localSheetId="9">#REF!</definedName>
    <definedName name="SHARED_FORMULA_7_82_7_82_5">#REF!</definedName>
    <definedName name="SHARED_FORMULA_7_93_7_93_5" localSheetId="10">#REF!</definedName>
    <definedName name="SHARED_FORMULA_7_93_7_93_5" localSheetId="11">#REF!</definedName>
    <definedName name="SHARED_FORMULA_7_93_7_93_5" localSheetId="12">#REF!</definedName>
    <definedName name="SHARED_FORMULA_7_93_7_93_5" localSheetId="9">#REF!</definedName>
    <definedName name="SHARED_FORMULA_7_93_7_93_5">#REF!</definedName>
    <definedName name="SHARED_FORMULA_8_48_8_48_5" localSheetId="10">#REF!</definedName>
    <definedName name="SHARED_FORMULA_8_48_8_48_5" localSheetId="11">#REF!</definedName>
    <definedName name="SHARED_FORMULA_8_48_8_48_5" localSheetId="12">#REF!</definedName>
    <definedName name="SHARED_FORMULA_8_48_8_48_5" localSheetId="9">#REF!</definedName>
    <definedName name="SHARED_FORMULA_8_48_8_48_5">#REF!</definedName>
    <definedName name="SHARED_FORMULA_9_112_9_112_5" localSheetId="10">#REF!</definedName>
    <definedName name="SHARED_FORMULA_9_112_9_112_5" localSheetId="11">#REF!</definedName>
    <definedName name="SHARED_FORMULA_9_112_9_112_5" localSheetId="12">#REF!</definedName>
    <definedName name="SHARED_FORMULA_9_112_9_112_5" localSheetId="9">#REF!</definedName>
    <definedName name="SHARED_FORMULA_9_112_9_112_5">#REF!</definedName>
    <definedName name="SHARED_FORMULA_9_118_9_118_5" localSheetId="10">#REF!</definedName>
    <definedName name="SHARED_FORMULA_9_118_9_118_5" localSheetId="11">#REF!</definedName>
    <definedName name="SHARED_FORMULA_9_118_9_118_5" localSheetId="12">#REF!</definedName>
    <definedName name="SHARED_FORMULA_9_118_9_118_5" localSheetId="9">#REF!</definedName>
    <definedName name="SHARED_FORMULA_9_118_9_118_5">#REF!</definedName>
    <definedName name="SHARED_FORMULA_9_44_9_44_5" localSheetId="10">#REF!</definedName>
    <definedName name="SHARED_FORMULA_9_44_9_44_5" localSheetId="11">#REF!</definedName>
    <definedName name="SHARED_FORMULA_9_44_9_44_5" localSheetId="12">#REF!</definedName>
    <definedName name="SHARED_FORMULA_9_44_9_44_5" localSheetId="9">#REF!</definedName>
    <definedName name="SHARED_FORMULA_9_44_9_44_5">#REF!</definedName>
    <definedName name="SHARED_FORMULA_9_53_9_53_5" localSheetId="10">#REF!</definedName>
    <definedName name="SHARED_FORMULA_9_53_9_53_5" localSheetId="11">#REF!</definedName>
    <definedName name="SHARED_FORMULA_9_53_9_53_5" localSheetId="12">#REF!</definedName>
    <definedName name="SHARED_FORMULA_9_53_9_53_5" localSheetId="9">#REF!</definedName>
    <definedName name="SHARED_FORMULA_9_53_9_53_5">#REF!</definedName>
    <definedName name="SHARED_FORMULA_9_77_9_77_5" localSheetId="10">#REF!</definedName>
    <definedName name="SHARED_FORMULA_9_77_9_77_5" localSheetId="11">#REF!</definedName>
    <definedName name="SHARED_FORMULA_9_77_9_77_5" localSheetId="12">#REF!</definedName>
    <definedName name="SHARED_FORMULA_9_77_9_77_5" localSheetId="9">#REF!</definedName>
    <definedName name="SHARED_FORMULA_9_77_9_77_5">#REF!</definedName>
    <definedName name="SHARED_FORMULA_9_98_9_98_5" localSheetId="10">#REF!</definedName>
    <definedName name="SHARED_FORMULA_9_98_9_98_5" localSheetId="11">#REF!</definedName>
    <definedName name="SHARED_FORMULA_9_98_9_98_5" localSheetId="12">#REF!</definedName>
    <definedName name="SHARED_FORMULA_9_98_9_98_5" localSheetId="9">#REF!</definedName>
    <definedName name="SHARED_FORMULA_9_98_9_98_5">#REF!</definedName>
    <definedName name="x" localSheetId="12">#REF!</definedName>
    <definedName name="x" localSheetId="9">#REF!</definedName>
    <definedName name="x">#REF!</definedName>
    <definedName name="_xlnm.Print_Titles" localSheetId="4">'5. sz. melléklet - Önkormányzat'!$7:$9</definedName>
    <definedName name="_xlnm.Print_Titles" localSheetId="5">'5. sz.  melléklet-Közös Hivatal'!$3:$5</definedName>
    <definedName name="_xlnm.Print_Titles" localSheetId="6">'6. sz. melléklet'!$3:$4</definedName>
    <definedName name="_xlnm.Print_Titles" localSheetId="7">'7. sz. melléklet'!$4:$4</definedName>
    <definedName name="_xlnm.Print_Titles" localSheetId="8">'8. sz. melléklet'!$4:$4</definedName>
    <definedName name="_xlnm.Print_Titles" localSheetId="10">'10. sz. melléklet'!$3:$3</definedName>
    <definedName name="_xlnm.Print_Titles" localSheetId="17">'16. melléklet'!$4:$5</definedName>
  </definedNames>
  <calcPr calcId="152511"/>
</workbook>
</file>

<file path=xl/sharedStrings.xml><?xml version="1.0" encoding="utf-8"?>
<sst xmlns="http://schemas.openxmlformats.org/spreadsheetml/2006/main" count="2776" uniqueCount="1199">
  <si>
    <t xml:space="preserve"> Tata Város Önkormányzatának 2016. évi közgazdasági mérlege (E Ft-ban)</t>
  </si>
  <si>
    <t>Bevételi előirányzat</t>
  </si>
  <si>
    <t>Kiadási előirányzat</t>
  </si>
  <si>
    <t>Megnevezés</t>
  </si>
  <si>
    <t>Eredeti</t>
  </si>
  <si>
    <t xml:space="preserve">Eredeti </t>
  </si>
  <si>
    <t>Állami támogatás</t>
  </si>
  <si>
    <t>Személyi juttatások</t>
  </si>
  <si>
    <t>Működési célú támogatások (államháztartáson belülről)</t>
  </si>
  <si>
    <t>Vissza nem térítendő támogatások</t>
  </si>
  <si>
    <t>Munkaadókat terhelő járulékok és szociális hozzájárulási adó</t>
  </si>
  <si>
    <t>Közhatalmi bevételek</t>
  </si>
  <si>
    <t>Dologi kiadások</t>
  </si>
  <si>
    <t>Vagyoni típusú adók</t>
  </si>
  <si>
    <t>Termékek és szolgáltatások</t>
  </si>
  <si>
    <t>Ellátottak pénzbeli juttatásai</t>
  </si>
  <si>
    <t>Fogyasztási adó</t>
  </si>
  <si>
    <t>Késedelmi pótlék</t>
  </si>
  <si>
    <t>Egyéb működési kiadások</t>
  </si>
  <si>
    <t>Bírság</t>
  </si>
  <si>
    <t>Visszatérítendő támogatások és kölcsönök</t>
  </si>
  <si>
    <t>Egyéb működési célú támogatások (vissza nem térítendő)</t>
  </si>
  <si>
    <t>Működési bevételek</t>
  </si>
  <si>
    <t>Működési tartalékok</t>
  </si>
  <si>
    <t>Áru és készletértékesítés (a döntést követő 3 hónap utáni föld- és ingatlan értékesítés)</t>
  </si>
  <si>
    <t xml:space="preserve"> - Általános tartalék</t>
  </si>
  <si>
    <t>Szolgáltatások ellenértéke</t>
  </si>
  <si>
    <t>Közvetített szolgáltatások ellenértéke</t>
  </si>
  <si>
    <t xml:space="preserve"> - Működési céltartalék</t>
  </si>
  <si>
    <t>Tulajdonosi bevételek</t>
  </si>
  <si>
    <t>Ellátási díjak</t>
  </si>
  <si>
    <t>ÁFA bevétel</t>
  </si>
  <si>
    <t>Beruházási kiadások</t>
  </si>
  <si>
    <t>Kamatbevétel</t>
  </si>
  <si>
    <t>Felújítási kiadások</t>
  </si>
  <si>
    <t>Felhalmozási bevételek</t>
  </si>
  <si>
    <t>Ingatlan értékesítés</t>
  </si>
  <si>
    <t>Egyéb felhalmozási kiadások</t>
  </si>
  <si>
    <t>Működési célú átvett pénzeszközök (államháztartáson kívülről)</t>
  </si>
  <si>
    <t>Egyéb felhalmozási célú támogatások (vissza nem térítendő)</t>
  </si>
  <si>
    <t>Felhalmozási tartalékok</t>
  </si>
  <si>
    <t xml:space="preserve"> - Felhalmozási tartalék</t>
  </si>
  <si>
    <t>- Felhalmozási céltartalék</t>
  </si>
  <si>
    <t>KÖLTSÉGVETÉSI BEVÉTELEK ÖSSZESEN:</t>
  </si>
  <si>
    <t>KÖLTSÉGVETÉSI KIADÁSOK ÖSSZESEN:</t>
  </si>
  <si>
    <t xml:space="preserve">Költségvetési egyenleg: </t>
  </si>
  <si>
    <t>Hiteltörlesztés</t>
  </si>
  <si>
    <t>Hitelfelvétel megkötött szerződés alapján</t>
  </si>
  <si>
    <t>Előző évi költségvetési maradványának igénybevétele</t>
  </si>
  <si>
    <t>Irányítószervi támogatás folyósítás</t>
  </si>
  <si>
    <t>Irányító szervi támogatás folyósítása</t>
  </si>
  <si>
    <t>FINANSZÍROZÁSI BEVÉTELEK ÖSSZESEN:</t>
  </si>
  <si>
    <t>FINANSZÍROZÁSI KIADÁSOK ÖSSZESEN:</t>
  </si>
  <si>
    <t>BEVÉTELEK MINDÖSSZESEN</t>
  </si>
  <si>
    <t>KIADÁSOK MINDÖSSZESEN</t>
  </si>
  <si>
    <t>2016. évi működési célú bevételek és kiadások mérlege (E Ft-ban)</t>
  </si>
  <si>
    <t>Járulékok</t>
  </si>
  <si>
    <t>Egyéb működési kiadás</t>
  </si>
  <si>
    <t>Visszatérítendő támogatás és kölcsön</t>
  </si>
  <si>
    <t>Egyéb működési célú támogatás (vissza nem térítendő)</t>
  </si>
  <si>
    <t>Áru- és készletértékesítés (a döntést követő 3 hónap utáni föld- és ingatlan értékesítés)</t>
  </si>
  <si>
    <t>Felhalmozási kiadásokra átcsoportosított (-)</t>
  </si>
  <si>
    <t>Költségvetési bevételek összesen:</t>
  </si>
  <si>
    <t>Költségvetési kiadások összesen:</t>
  </si>
  <si>
    <t>Irányítószervi támogatás folyósítása</t>
  </si>
  <si>
    <t>Irányítószervi támogatás</t>
  </si>
  <si>
    <t>Finanszírozási bevételek</t>
  </si>
  <si>
    <t>Finanszírozási kiadások</t>
  </si>
  <si>
    <t>Mindösszesen:</t>
  </si>
  <si>
    <t>2016. évi felhalmozási célú bevételek és kiadások mérlege (E Ft-ban)</t>
  </si>
  <si>
    <t>Beruházás</t>
  </si>
  <si>
    <t xml:space="preserve">Ingatlanok értékesítése </t>
  </si>
  <si>
    <t>Felújítás</t>
  </si>
  <si>
    <t>Egyéb felhalmozási kiadás</t>
  </si>
  <si>
    <t>Működési bevételekből átcsoportosított</t>
  </si>
  <si>
    <t xml:space="preserve"> - Felhalmozási céltartalék</t>
  </si>
  <si>
    <t>Hiány finanszírozása belső forrásból:</t>
  </si>
  <si>
    <t>Hiány finanszírozása külső forrásból:</t>
  </si>
  <si>
    <t>Mindösszesen bevételek:</t>
  </si>
  <si>
    <t>Mindösszesen kiadások:</t>
  </si>
  <si>
    <t>Tata Város Önkormányzata és az általa irányított költségvetési szervek 2016. évi bevételei forrásonként ( E Ft-ban)</t>
  </si>
  <si>
    <t>Önkormányzat</t>
  </si>
  <si>
    <t>Tatai Közös Önkormányzati Hivatal</t>
  </si>
  <si>
    <t>Intézmények Gazdasági Hivatala és a hozzá tartozó Intézményei</t>
  </si>
  <si>
    <t>Összesen</t>
  </si>
  <si>
    <t>Működési célú támogatások államháztartáson belülről</t>
  </si>
  <si>
    <t>Közhatalmi bevétel</t>
  </si>
  <si>
    <t xml:space="preserve"> - Építményadó</t>
  </si>
  <si>
    <t xml:space="preserve"> - Telekadó</t>
  </si>
  <si>
    <t>Termékek és szolgáltatások adói</t>
  </si>
  <si>
    <t xml:space="preserve"> - Iparűzési adó</t>
  </si>
  <si>
    <t xml:space="preserve"> - Gépjárműadó</t>
  </si>
  <si>
    <t xml:space="preserve"> - Idegenforgalmi adó</t>
  </si>
  <si>
    <t xml:space="preserve"> - Talajterhelési díj</t>
  </si>
  <si>
    <t>- Jövedéki adó (szesz)</t>
  </si>
  <si>
    <t>Bírságok</t>
  </si>
  <si>
    <t>Szolgáltatások ellenértéke (temető fenntartási hozzájárulás, sírhelydíj, nevezési díj)</t>
  </si>
  <si>
    <t>Tulajdonosi bevételek (használatba adásból, üzemeltetésbe adásból származó bevételek, stb.)</t>
  </si>
  <si>
    <t xml:space="preserve"> - ebből lakbér</t>
  </si>
  <si>
    <t>Visszatérítendő támogatások és kölcsönök (igénylés és visszatérülés)</t>
  </si>
  <si>
    <t>Felhalmozási célú átvett pénzeszközök (államháztartáson kívülről)</t>
  </si>
  <si>
    <t>KÖLTSÉGVETÉSI BEVÉTELEK ÖSSZESEN</t>
  </si>
  <si>
    <t>Irányító szervi támogatás</t>
  </si>
  <si>
    <t>FINANSZÍROZÁSI BEVÉTELEK ÖSSZESEN</t>
  </si>
  <si>
    <t xml:space="preserve">Tata Város Önkormányzata és az általa irányított költségvetési szervek 2016. évi kiadásai </t>
  </si>
  <si>
    <t>Kiadások</t>
  </si>
  <si>
    <t>Munkaadót terhelő járulékok és szociális hozzájárulási adó</t>
  </si>
  <si>
    <t>Beruházás (ÁFA-val )</t>
  </si>
  <si>
    <t>Felújítás (ÁFA-val )</t>
  </si>
  <si>
    <t xml:space="preserve">Felhalmozási tartalékok </t>
  </si>
  <si>
    <t>KÖLTSÉGVETÉSI KIADÁSOK ÖSSZESEN</t>
  </si>
  <si>
    <t>FINANSZÍROZÁSI KIADÁSOK ÖSSZESEN</t>
  </si>
  <si>
    <t>Bevétel</t>
  </si>
  <si>
    <t>Kiadás</t>
  </si>
  <si>
    <t>Működési kiadások</t>
  </si>
  <si>
    <t>Felhalmozási kiadások</t>
  </si>
  <si>
    <t>Dologi</t>
  </si>
  <si>
    <t>Ellátottak pénzbeli juttatása</t>
  </si>
  <si>
    <t>Hitel- és kölcsön törlesztés</t>
  </si>
  <si>
    <t>Költségvetési szerveknek folyósított támogatás</t>
  </si>
  <si>
    <t>Állam (igazgatás)</t>
  </si>
  <si>
    <t>Kötelező</t>
  </si>
  <si>
    <t>Nem kötelező</t>
  </si>
  <si>
    <t>Támogatási célú finanszírozási műveletek</t>
  </si>
  <si>
    <t>Közterület rendjének fenntartása</t>
  </si>
  <si>
    <t>Egyéb szociális pénzbeli és természetbeni ellátások, támogatások</t>
  </si>
  <si>
    <t>Kötelező összesen:</t>
  </si>
  <si>
    <t>Nem kötelező összesen:</t>
  </si>
  <si>
    <t>Állam (igazgatás) összesen:</t>
  </si>
  <si>
    <t>M.adókat terh. jár. és szochó</t>
  </si>
  <si>
    <t>Tata</t>
  </si>
  <si>
    <t>011130</t>
  </si>
  <si>
    <t>Önkormányzatok és önkormányzati hivatalok jogalkotás és általános igazgatási tevékenysége</t>
  </si>
  <si>
    <t>011220</t>
  </si>
  <si>
    <t>Adó-, vám és jövedéki igazgatás</t>
  </si>
  <si>
    <t>016030</t>
  </si>
  <si>
    <t>Állampolgársági ügyek - Anyakönyv</t>
  </si>
  <si>
    <t>018030</t>
  </si>
  <si>
    <t>031030</t>
  </si>
  <si>
    <t>044310</t>
  </si>
  <si>
    <t>Építés hatósági ügyek</t>
  </si>
  <si>
    <t>061030</t>
  </si>
  <si>
    <t>Lakáshoz jutást segítő támogatások</t>
  </si>
  <si>
    <t>066020</t>
  </si>
  <si>
    <t>Város- községgazdálkodási szolgáltatások</t>
  </si>
  <si>
    <t>081071</t>
  </si>
  <si>
    <t>Üdülői szálláshely szolgáltatás és étkeztetés</t>
  </si>
  <si>
    <t>107060</t>
  </si>
  <si>
    <t>109010</t>
  </si>
  <si>
    <t>Szociális Igazgatás</t>
  </si>
  <si>
    <t>104051</t>
  </si>
  <si>
    <t>Rendszeres gyermekvédelmi támogatás</t>
  </si>
  <si>
    <t>Tata összesen</t>
  </si>
  <si>
    <t>Neszmélyi Kirendeltség</t>
  </si>
  <si>
    <t>Neszmélyi Kirendeltség összesen:</t>
  </si>
  <si>
    <t>Dunaalmási Kirendeltség</t>
  </si>
  <si>
    <t>Dunaalmási Kirendeltség összesen:</t>
  </si>
  <si>
    <t>Dunaszentmiklósi Kirendeltség</t>
  </si>
  <si>
    <t>Dunaszentmiklósi Kirendeltség összesen:</t>
  </si>
  <si>
    <t>Községek összesen:</t>
  </si>
  <si>
    <t>Intézmények Gazdasági Hivatalához tartozó  önállóan működő intézmények 2016. évi költségvetése</t>
  </si>
  <si>
    <t>Költségvetési alcím megnevezése</t>
  </si>
  <si>
    <t>Feladat jellege</t>
  </si>
  <si>
    <t>Működési támogatások</t>
  </si>
  <si>
    <t>Pénzmaradvány</t>
  </si>
  <si>
    <t>Saját bevételek</t>
  </si>
  <si>
    <t>Kiadások összesen</t>
  </si>
  <si>
    <t>ÁFA</t>
  </si>
  <si>
    <t>Személyi juttatás</t>
  </si>
  <si>
    <t>M.adókat terhelő jár.</t>
  </si>
  <si>
    <t>Dologiból ellátottakra vonatkozó élelmiszer beszerzés és vásárolt élelmezés</t>
  </si>
  <si>
    <t>Fürdő utcai Óvoda</t>
  </si>
  <si>
    <t>Geszti Óvoda</t>
  </si>
  <si>
    <t>Tatai Geszti Óvoda Agostyáni Tagintézménye</t>
  </si>
  <si>
    <t>Bartók B. utcai Óvoda</t>
  </si>
  <si>
    <t>Kertvárosi Óvoda</t>
  </si>
  <si>
    <t>Kincseskert Óvoda</t>
  </si>
  <si>
    <t>Szivárvány Tagintézménye</t>
  </si>
  <si>
    <t>Vaszary J. Általános Iskola</t>
  </si>
  <si>
    <t>Vaszary - Logopédiai Intézet</t>
  </si>
  <si>
    <t>Vaszary-Jázmin Tagint.</t>
  </si>
  <si>
    <t>Vaszary összesen</t>
  </si>
  <si>
    <t>Kőkúti Általános Iskola</t>
  </si>
  <si>
    <t>Kőkúti Általános Iskola - Fazekas U. Tagintézmény</t>
  </si>
  <si>
    <t>Kőkúti összesen</t>
  </si>
  <si>
    <t>Zeneiskola</t>
  </si>
  <si>
    <t>Diákotthon</t>
  </si>
  <si>
    <t>Bláthy</t>
  </si>
  <si>
    <t>Intézmények Gazdasági Hivatala</t>
  </si>
  <si>
    <t>Önként vállalt feladat</t>
  </si>
  <si>
    <t>Iskolák és IGH összesen</t>
  </si>
  <si>
    <t>Kuny Domokos Múzeum</t>
  </si>
  <si>
    <t>Könyvtár</t>
  </si>
  <si>
    <t>Egészségügyi Alapellátó Intézmény</t>
  </si>
  <si>
    <t>Mindösszesen</t>
  </si>
  <si>
    <t>IGH feladatkörébe tartozó kötelező feladatok</t>
  </si>
  <si>
    <t>Kötelező összesen</t>
  </si>
  <si>
    <t>IGH feladatkörébe tartozó önként vállalt  feladatok</t>
  </si>
  <si>
    <t>2016. évi beruházási kiadások feladatonként (ÁFA-val)</t>
  </si>
  <si>
    <t xml:space="preserve">E Ft-ban </t>
  </si>
  <si>
    <t>Pályázatok és azokhoz kapcsolódó feladatok</t>
  </si>
  <si>
    <t>Kossuth téren közterületi szobor felállítása NKA-AN2000N6284</t>
  </si>
  <si>
    <t>Egyéb 2016. évi igények</t>
  </si>
  <si>
    <t xml:space="preserve">Fényes fürdő területén fejlesztések végrehajtása </t>
  </si>
  <si>
    <t>Kosárlabda csarnok és műfüves focipálya megközelítését szolgáló út kivitelezése</t>
  </si>
  <si>
    <t xml:space="preserve">Kazincbarcikai tömböknél parkoló kialakítása </t>
  </si>
  <si>
    <t>Parkoló építés</t>
  </si>
  <si>
    <t>Neugebirg út kialakítása</t>
  </si>
  <si>
    <t>Tata-Dunaalmás kerékpárút közvilágítás</t>
  </si>
  <si>
    <t>Naplókert utca közvilágítás építés</t>
  </si>
  <si>
    <t>Kodály téri közvilágítás építése</t>
  </si>
  <si>
    <t xml:space="preserve">Térfigyelő kamerarendszer kiépítése </t>
  </si>
  <si>
    <t>Tata-Agostyán 21140 hrsz.-ú telek</t>
  </si>
  <si>
    <t>053010</t>
  </si>
  <si>
    <t>Visszatérő forrásokkal kapcsolatos kiadások</t>
  </si>
  <si>
    <t>Újhegy kisajátítás</t>
  </si>
  <si>
    <t>Agostyán, Kert utca kisajátítás</t>
  </si>
  <si>
    <t>Bercsényi u. 7. ingatlan vételár áthúzódó részlet</t>
  </si>
  <si>
    <t>Digitális alaptérkép</t>
  </si>
  <si>
    <t>Fürdő utcai támfal építése</t>
  </si>
  <si>
    <t>Tatai székhely</t>
  </si>
  <si>
    <t>Építésügyi hatósági feladatok ellátásához eszköz beszerzés</t>
  </si>
  <si>
    <t>Jármű beszerzés</t>
  </si>
  <si>
    <t>Balatonfüredi üdülőbe konyhai felszerelés</t>
  </si>
  <si>
    <t>Balatonvilágosi hivatali üdülőbe hűtő, egyéb konyhai felszerelés</t>
  </si>
  <si>
    <t>Információbiztonsági beruházás, eszközbeszerzés</t>
  </si>
  <si>
    <t>Informatikai beruházások</t>
  </si>
  <si>
    <t>Tárgyi eszköz beszerzés</t>
  </si>
  <si>
    <t>Intézmények Gazdasági Hivatala és a hozzá tartozó költségvetési szervek</t>
  </si>
  <si>
    <t>Tatai Fürdő utcai Óvoda - eszköz beszerzés</t>
  </si>
  <si>
    <t>Vaszary János Általános Iskola Jázmin utcai tagintézménye - Interaktív tábla</t>
  </si>
  <si>
    <t>Tatai Egészségügyi Alapellátó Intézmény - Tárgyi eszköz beszerzés</t>
  </si>
  <si>
    <t>Intézmények Gazdasági Hivatala - Eszközbeszerzés</t>
  </si>
  <si>
    <t>E Ft-ban</t>
  </si>
  <si>
    <t>Önkormányzati bérlakások felújítása</t>
  </si>
  <si>
    <t>Önkormányzati nem lakás célú helyiségek felújítása</t>
  </si>
  <si>
    <t>Tata Város Önkormányzata által folyósított 2016. évi ellátottak pénzbeli és természetbeni juttatásának részletezése</t>
  </si>
  <si>
    <t>(E Ft-ban)</t>
  </si>
  <si>
    <t>Tatai fiatalok életkezdési támogatásához</t>
  </si>
  <si>
    <t>Rendkívüli települési támogatás</t>
  </si>
  <si>
    <t>- Pénzbeni</t>
  </si>
  <si>
    <t>- Természetbeni</t>
  </si>
  <si>
    <t>Arany János Tehetséggondozó Programban részt vevő tanulók támogatása</t>
  </si>
  <si>
    <t>Pénzbeni és természetbeni települési támogatás</t>
  </si>
  <si>
    <t xml:space="preserve"> - 18. életévét betöltött tartósan beteg hozzátartozójának ápolását, gondozását végző személy részére</t>
  </si>
  <si>
    <t xml:space="preserve"> - Gyógyszer kiadások támogatásához</t>
  </si>
  <si>
    <t xml:space="preserve"> - Lakhatási kiadásokhoz kapcsolódó tartozást felhalmozó személyek részére</t>
  </si>
  <si>
    <t>Rászorultságtól függő pénzbeli szociális, gyermekvédelmi ellátások összesen</t>
  </si>
  <si>
    <t>Önkormányzati saját hatáskörben adott természetbeni ellátás (HPV védőoltás)</t>
  </si>
  <si>
    <t>Köztemetés</t>
  </si>
  <si>
    <t>KNYKK tanulóbérlet</t>
  </si>
  <si>
    <t>Természetben nyújtott ellátások összesen</t>
  </si>
  <si>
    <t>Önkormányzat által folyósított szociális, gyermekvédelmi ellátások összesen:</t>
  </si>
  <si>
    <t>Tata Város Önkormányzata és a Tatai Közös Önkormányzati Hivatal által adott visszatérítendő és vissza nem térítendő támogatások 2016. évi alakulása</t>
  </si>
  <si>
    <t>ÖNKORMÁNYZAT</t>
  </si>
  <si>
    <t>Működési célú támogatások államháztartáson belülre (vissza nem térítendő)</t>
  </si>
  <si>
    <t>084060</t>
  </si>
  <si>
    <t>084070</t>
  </si>
  <si>
    <t>Bursa Hungarica ösztöndíjakra</t>
  </si>
  <si>
    <t>Rendőrségnek</t>
  </si>
  <si>
    <t>Működési célú támogatások államháztartáson kívülre (vissza nem térítendő)</t>
  </si>
  <si>
    <t>084032</t>
  </si>
  <si>
    <t>Juniorka Alapítványi Óvoda támogatása</t>
  </si>
  <si>
    <t>Juniorka Alapítványi Bölcsőde támogatása</t>
  </si>
  <si>
    <t>Tatai Városgazda Nonprofit Kft. támogatása</t>
  </si>
  <si>
    <t>082092</t>
  </si>
  <si>
    <t>Tatai Városkapu Zrt. általános támogatása</t>
  </si>
  <si>
    <t>Szakmai Képzésért Közalapítvány támogatása</t>
  </si>
  <si>
    <t>TAC támogatása</t>
  </si>
  <si>
    <t>Vaszary János Általános Iskola Alapítványának matematika versenyre és táborra</t>
  </si>
  <si>
    <t>047460</t>
  </si>
  <si>
    <t>Magyar Vöröskereszt tatai szervezetének</t>
  </si>
  <si>
    <t>Szociális Háló Közalapítvány támogatása</t>
  </si>
  <si>
    <t>Kenderke Alapfokú Művészeti Iskola Fürkész Programjának támogatása</t>
  </si>
  <si>
    <t>Pötörke Néptánc Egyesület támogatása</t>
  </si>
  <si>
    <t>TIT KEM Egyesületének támogatása</t>
  </si>
  <si>
    <t>Concerto Kft.-nek Tatai Barokk Fesztivál támogatása</t>
  </si>
  <si>
    <t>Concerto Kft.-nek Nemzetközi Zenei Mesterkurzus támogatása</t>
  </si>
  <si>
    <t>Tatai Mecénás Közalapítvány támogatása</t>
  </si>
  <si>
    <t>Polgárőrségnek</t>
  </si>
  <si>
    <t>Cirmos Cica Közhasznú Alapítvány támogatása</t>
  </si>
  <si>
    <t>Középnyugat-magyarországi Közlekedési Központ Zrt. részére szerződés alapján 353/2010.(XI.24.) Tata Kt. határozat</t>
  </si>
  <si>
    <t>Kis- és középvállalkozások munkahelyteremtő támogatása</t>
  </si>
  <si>
    <t>Hódy Sport Egyesületnek</t>
  </si>
  <si>
    <t>Vívó Sport Egyesületnek</t>
  </si>
  <si>
    <t>Tatai Sportegyesületnek</t>
  </si>
  <si>
    <t>Tata és Környéke Turisztikai Egyesület (Turisztikai Desztináció Menedzsment) támogatása 270/2009. (VIII.12.) Tata Kt. határozat (KDOP-2.2.1/A)</t>
  </si>
  <si>
    <t>Tatai Városi Nyugdíjasklub támogatása</t>
  </si>
  <si>
    <t>Jászai Mari Színház színházbérlet vásárlás</t>
  </si>
  <si>
    <t>Magyar Autóklubnak közlekedésbiztonsági oktatás a város általános iskoláiban</t>
  </si>
  <si>
    <t>Működési célú támogatások (vissza nem térítendő) összesen:</t>
  </si>
  <si>
    <t>Működési célú visszatérítendő támogatások, kölcsönök nyújtása államháztartáson belülre</t>
  </si>
  <si>
    <t>Működési célú visszatérítendő támogatások, kölcsönök nyújtása államháztartáson kívülre</t>
  </si>
  <si>
    <t>Víz-Zene-Virág Fesztivál Egyesületnek rövid távú kölcsön nyújtása</t>
  </si>
  <si>
    <t>Működési célú visszatérítendő támogatások, kölcsönök nyújtása összesen:</t>
  </si>
  <si>
    <t>Működési célú támogatások (visszatérítendő és vissza nem térítendő) mindösszesen:</t>
  </si>
  <si>
    <t>Felhalmozási célú támogatások államháztartáson belülre (vissza nem térítendő)</t>
  </si>
  <si>
    <t>Felhalmozási célú támogatások államháztartáson kívülre (vissza nem térítendő)</t>
  </si>
  <si>
    <t>NEP</t>
  </si>
  <si>
    <t>Zöld Beruházási Rendszer</t>
  </si>
  <si>
    <t>Összekötő folyosó a Kőkúti csarnokok között 171/2015 (IV.29.) Tata Kt. Határozat</t>
  </si>
  <si>
    <t xml:space="preserve">Értékvédelmi feladatok támogatása </t>
  </si>
  <si>
    <t>KEM Mentőalapítvány (Tatai mentőállomás)</t>
  </si>
  <si>
    <t>Mozgáskorlátozottak KEM Egyesületének</t>
  </si>
  <si>
    <t>Medicopter Alapítványnak</t>
  </si>
  <si>
    <t>Peter Cerny Alapítványnak</t>
  </si>
  <si>
    <t>Felhalmozási célú támogatások (vissza nem térítendő) összesen:</t>
  </si>
  <si>
    <t>Felhalmozási célú támogatás államháztartáson kívülre visszatérítendő</t>
  </si>
  <si>
    <t>Felhalmozási célú támogatások (visszatérítendő és vissza nem térítendő) mindösszesen:</t>
  </si>
  <si>
    <t>ÖNKORMÁNYZATI TÁMOGATÁSOK (VISSZATÉRÍTENDŐ ÉS VISSZA NEM TÉRÍTENDŐ) MINDÖSSZESEN:</t>
  </si>
  <si>
    <t>TATAI KÖZÖS ÖNKORMÁNYZATI HIVATAL</t>
  </si>
  <si>
    <t>Működési célú vissza nem térítendő támogatás államháztartáson belülre</t>
  </si>
  <si>
    <t>Felhalmozási célú visszatérítendő támogatások, kölcsönök nyújtása államháztartáson kívülre</t>
  </si>
  <si>
    <t>Munkáltatói kölcsön nyújtása</t>
  </si>
  <si>
    <t>KÖZÖS ÖNKORMÁNYZATI HIVATALI TÁMOGATÁSOK (VISSZATÉRÍTENDŐ ÉS VISSZA NEM TÉRÍTENDŐ) MINDÖSSZESEN:</t>
  </si>
  <si>
    <t>MŰKÖDÉSI VÉGLEGES</t>
  </si>
  <si>
    <t>össz</t>
  </si>
  <si>
    <t>Működési kölcsön</t>
  </si>
  <si>
    <t>FELH. VÉGLEGES</t>
  </si>
  <si>
    <t>ÖSSZ</t>
  </si>
  <si>
    <t>2016. évi kapott visszatérítendő és vissza nem térítendő támogatások és pénzeszközátvételek alakulása Tata Város Önkormányzatánál és a Tatai Közös Önkormányzati Hivatalnál</t>
  </si>
  <si>
    <t>Működési célú támogatások államháztartáson belülről (vissza nem térítendő)</t>
  </si>
  <si>
    <t>Munkaügyi Központtól közfoglalkoztatás, téli közfoglalkoztatás, egyéb támogatására</t>
  </si>
  <si>
    <t>Működési célú visszatérítendő támogatások, kölcsönök visszatérülése államháztartáson belülről</t>
  </si>
  <si>
    <t>Működési célú támogatások államháztartáson kívülről (vissza nem térítendő)</t>
  </si>
  <si>
    <t>Működési célú visszatérítendő támogatások, kölcsönök visszatérülése államháztartáson kívülről</t>
  </si>
  <si>
    <t>Víz-Zene-Virág Fesztivál Egyesületnek nyújtott rövid lejáratú kölcsön visszafizetése</t>
  </si>
  <si>
    <t>Felhalmozási célú támogatások államháztartáson belülről (vissza nem térítendő)</t>
  </si>
  <si>
    <t>Felhalmozási célú támogatások államháztartáson belülről (vissza nem térítendő és visszatérítendő)</t>
  </si>
  <si>
    <t>Felhalmozási célú átvett pénzeszközök államháztartáson kívülről (vissza nem térítendő)</t>
  </si>
  <si>
    <t>Felhalmozási célú visszatérítendő támogatások, kölcsönök visszatérülése államháztartáson kívülről</t>
  </si>
  <si>
    <t>Kamatmentes lakossági kölcsön visszafizetése</t>
  </si>
  <si>
    <t>Felhalmozási célú átvett pénzeszközök államháztartáson kívülről (vissza nem térítendő és visszatérítendő)</t>
  </si>
  <si>
    <t>ÖNKORMÁNYZATI TÁMOGATÁSOK ÉS ÁTVETT PÉNZESZKÖZÖK (VISSZATÉRÍTENDŐ ÉS VISSZA NEM TÉRÍTENDŐ) MINDÖSSZESEN:</t>
  </si>
  <si>
    <t>Munkáltatói kölcsön visszafizetése</t>
  </si>
  <si>
    <t>Dunaalmás</t>
  </si>
  <si>
    <t>Neszmély</t>
  </si>
  <si>
    <t>Neszmély Önkormányzatától</t>
  </si>
  <si>
    <t>Dunaszentmiklós</t>
  </si>
  <si>
    <t>Dunaszentmiklós Önkormányzatától</t>
  </si>
  <si>
    <t>Működési célú támogatások és átvett pénzeszközök (vissza nem térítendő) összesen:</t>
  </si>
  <si>
    <t>Felhalmozási célú támogatások és átvett pénzeszközök összesen:</t>
  </si>
  <si>
    <t>KÖZÖS ÖNKORMÁNYZATI HIVATALI TÁMOGATÁSOK ÉS ÁTVETT PÉNZESZKÖZÖK (VISSZATÉRÍTENDŐ ÉS VISSZA NEM TÉRÍTENDŐ) MINDÖSSZESEN:</t>
  </si>
  <si>
    <t>Önkormányzati költségvetési szervek engedélyezett létszáma</t>
  </si>
  <si>
    <t>Költségvetési szervek megnevezése</t>
  </si>
  <si>
    <t>Engedélyezett létszám (fő)</t>
  </si>
  <si>
    <t>Tatai Fürdő utcai Óvoda</t>
  </si>
  <si>
    <t>Tatai Geszti Óvoda</t>
  </si>
  <si>
    <t>Tatai Geszti Óvoda - Agostyáni Tagintézménye</t>
  </si>
  <si>
    <t>Tatai Geszti Óvoda összesen</t>
  </si>
  <si>
    <t>Tatai Bartók Béla úti Óvoda</t>
  </si>
  <si>
    <t>Tatai Kertvárosi Óvoda</t>
  </si>
  <si>
    <t>Tatai Kincseskert Óvoda</t>
  </si>
  <si>
    <t>Tatai Kincseskert Óvoda - Szivárvány Tagintézménye</t>
  </si>
  <si>
    <t>Tatai Kincseskert Óvoda összesen</t>
  </si>
  <si>
    <t>Óvodák összesen</t>
  </si>
  <si>
    <t>Csillagsziget Bölcsőde</t>
  </si>
  <si>
    <t>Móricz Zsigmond Könyvtár</t>
  </si>
  <si>
    <t>Tatai Egészségügyi Alapellátó Intézmény</t>
  </si>
  <si>
    <t xml:space="preserve">Intézmények Gazdasági Hivatala </t>
  </si>
  <si>
    <t>Városi Önkormányzat Intézmények összesen:</t>
  </si>
  <si>
    <t>- Közös Hivatal székhely szerinti szervezeti egysége</t>
  </si>
  <si>
    <t>- Dunaalmási Kirendeltség</t>
  </si>
  <si>
    <t>- Dunaszentmiklósi Kirendeltség</t>
  </si>
  <si>
    <t>- Neszmélyi Kirendeltség</t>
  </si>
  <si>
    <t>Tatai Közös Önkormányzati Hivatal összesen:</t>
  </si>
  <si>
    <t>Önkormányzati közfoglalkoztatottak éves létszám-erőirányzata</t>
  </si>
  <si>
    <t>Eredeti átlag létszám</t>
  </si>
  <si>
    <t>Hosszabb időtartamú közfoglalkoztatás</t>
  </si>
  <si>
    <t>Összesen:</t>
  </si>
  <si>
    <t>Működési pénzmaradvány</t>
  </si>
  <si>
    <t>Kiadás, melyre a pénzmaradvány fordítódik</t>
  </si>
  <si>
    <t>Tata Város Önkormányzata</t>
  </si>
  <si>
    <t>Eredeti
Összeg</t>
  </si>
  <si>
    <t>Zöldterületek kezelése (Parkfenntartás) kormányzati funkció dologi kiadásai</t>
  </si>
  <si>
    <t>Felhalmozási pénzmaradvány</t>
  </si>
  <si>
    <t>Felhalmozási támogatás</t>
  </si>
  <si>
    <t>Tatai 17/4 hrsz-ú ingatlanon sportcsarnok kialakítása II. ütem</t>
  </si>
  <si>
    <t>Tata Város Önkormányzata 2016. évi költségvetéséhez</t>
  </si>
  <si>
    <t>a helyi önkormányzatok feladatainak állami támogatásához</t>
  </si>
  <si>
    <t>Bevétel 2016. év</t>
  </si>
  <si>
    <t>Mutató</t>
  </si>
  <si>
    <t>Fajlagos összeg Ft/mutató</t>
  </si>
  <si>
    <t>2.mell. I.</t>
  </si>
  <si>
    <t>A HELYI ÖNKORMÁNYZATOK MŰKÖDÉSÉNEK ÁLTALÁNOS TÁMOGATÁSA</t>
  </si>
  <si>
    <t>I.1.a)</t>
  </si>
  <si>
    <t>Önkormányzati Hivatal működésének támogatása</t>
  </si>
  <si>
    <t>fő</t>
  </si>
  <si>
    <t>I.1.b)</t>
  </si>
  <si>
    <t>Település-üzemeltetéshez kapcsolódó feladatellátás támogatása</t>
  </si>
  <si>
    <t>I.1.ba)</t>
  </si>
  <si>
    <t>A zöldterület-gazdálkodással kapcsolatos feladatok ellátásának támogatása</t>
  </si>
  <si>
    <t>ha</t>
  </si>
  <si>
    <t>I.1.bb)</t>
  </si>
  <si>
    <t>Közvilágítás fenntartásának támogatása</t>
  </si>
  <si>
    <t>km</t>
  </si>
  <si>
    <t>I.1.bc)</t>
  </si>
  <si>
    <t>Köztemető fenntartással kapcsolatos feladatok támogatása</t>
  </si>
  <si>
    <t>m2</t>
  </si>
  <si>
    <t>104 Ft/m2</t>
  </si>
  <si>
    <t>I.1.bd)</t>
  </si>
  <si>
    <t>Közutak fenntartásának támogatása</t>
  </si>
  <si>
    <t>295 000 Ft/km</t>
  </si>
  <si>
    <t>Település-üzemeltetéshez kapcsolódó feladatellátás támogatása összesen</t>
  </si>
  <si>
    <t>I.1.c)</t>
  </si>
  <si>
    <t>I.1.d)</t>
  </si>
  <si>
    <t>Lakott külterülettel kapcsolatos feladatok támogatása</t>
  </si>
  <si>
    <t>2 550 Ft/ külter.lakos</t>
  </si>
  <si>
    <t>I.1.e)</t>
  </si>
  <si>
    <t>Üdülőhelyi feladatok támogatása</t>
  </si>
  <si>
    <t>Ft</t>
  </si>
  <si>
    <t>1,55 Ft/ idegenfor.adóft</t>
  </si>
  <si>
    <t>I.1.</t>
  </si>
  <si>
    <t>A települési önkormányzatok működésének támogatása</t>
  </si>
  <si>
    <t>I.2.</t>
  </si>
  <si>
    <t>Nem közművel összegyűjtött háztartási szennyvíz ártalmatlanítása</t>
  </si>
  <si>
    <t>m3</t>
  </si>
  <si>
    <t>100 Ft/m3</t>
  </si>
  <si>
    <t>I.6.</t>
  </si>
  <si>
    <t xml:space="preserve">A 2015. évről áthúzódó bérkompenzáció támogatása </t>
  </si>
  <si>
    <t xml:space="preserve">A helyi önkormányzatok működésének általános támogatása </t>
  </si>
  <si>
    <t>II.1.</t>
  </si>
  <si>
    <t>Óvodapedagógusok, és az óvodapedagógusok nevelő munkáját közvetlenül segítők bértámogatása</t>
  </si>
  <si>
    <t>Óvodapedagógusok bértámogatása - 8 hónapra</t>
  </si>
  <si>
    <t>Óvodapedagógusok bértámogatása - 4 hónapra</t>
  </si>
  <si>
    <t>Óvodapedagógusok bértámogatása pótlólagos összege 3 hónapra 2016/2017-re</t>
  </si>
  <si>
    <t>Óvodapedagógusok munkáját közvetlenül segítők bértámogatása - 8 hónapra</t>
  </si>
  <si>
    <t>Óvodapedagógusok munkáját közvetlenül segítők bértámogatása - 4 hónapra</t>
  </si>
  <si>
    <t>Óvodapedagógusok, és az óvodapedagógusok nevelő munkáját közvetlenül segítők bértámogatása összesen</t>
  </si>
  <si>
    <t xml:space="preserve">II.2. </t>
  </si>
  <si>
    <t>Óvodaműködtetési támogatás</t>
  </si>
  <si>
    <t>II.2.a)</t>
  </si>
  <si>
    <t>Óvodaműk. támogatás 8 hónapra: gyermekek nevelése a napi 8 órát nem éri el</t>
  </si>
  <si>
    <t>Óvodaműk. támogatás 8 hónapra: gyermekek nevelése a napi 8 órát eléri</t>
  </si>
  <si>
    <t>Óvodaműk. támogatás 4 hónapra: gyermekek nevelése a napi 8 órát nem éri el</t>
  </si>
  <si>
    <t>Óvodaműk. támogatás 4 hónapra: gyermekek nevelése a napi 8 órát eléri</t>
  </si>
  <si>
    <t>II.2.b)</t>
  </si>
  <si>
    <t>II. 2.</t>
  </si>
  <si>
    <t>Óvodaműködtetési támogatás összesen</t>
  </si>
  <si>
    <t>II.4.</t>
  </si>
  <si>
    <t>A köznevelési intézmények működtetéséhez kapcsolódó támogatás</t>
  </si>
  <si>
    <t>II.5.</t>
  </si>
  <si>
    <t>Kiegészítő támogatás az óvodapedagógusok minősítéséből adódó többletkiadásokhoz</t>
  </si>
  <si>
    <t>- Teljes összeg, akik 2014. dec. 31-ig megszerezték. Alapfokú, Ped. II. kategóriába s.</t>
  </si>
  <si>
    <t>- 11 havi időarányos, akik 2015. évben szerezték meg. Alapfokú, Ped.II. kateg. sorol.</t>
  </si>
  <si>
    <t>2.mell. II.</t>
  </si>
  <si>
    <t>A települési önkormányzatok egyes köznevelési feladatainak támogatása</t>
  </si>
  <si>
    <t>III.3.</t>
  </si>
  <si>
    <t>Egyes szociális és gyermekjóléti feladatok támogatása</t>
  </si>
  <si>
    <t>III.3.a)</t>
  </si>
  <si>
    <t>Család- és gyermekjóléti szolgálat</t>
  </si>
  <si>
    <t>Ft/szám.létsz./év</t>
  </si>
  <si>
    <t>III.3.b)</t>
  </si>
  <si>
    <t>Család- és gyermekjóléti központ</t>
  </si>
  <si>
    <t>III.3.c)</t>
  </si>
  <si>
    <t>Szociális étkeztetés - társulási kiegészítéssel (55 360 Ft fajlagos összeg 110 %-a)</t>
  </si>
  <si>
    <t>III.3.d)</t>
  </si>
  <si>
    <t>Házi segítségnyújtás - társult formában, ezért a fajlagos összeg 130 %-a a támogatás</t>
  </si>
  <si>
    <t>III.3.f)</t>
  </si>
  <si>
    <t>Időskorúak nappali intézményi ellátása -társult formában, ezért a fajlagos összeg 150 %-a a támogatás</t>
  </si>
  <si>
    <t>III.3.g)</t>
  </si>
  <si>
    <t>Fogyatékosok személyek nappali intézményi ellátása - társult formában, ezért a fajlagos összeg 110 %-a a támogatás</t>
  </si>
  <si>
    <t>III.3.i)</t>
  </si>
  <si>
    <t>Hajléktalanok nappali intézményi ellátása - társult formában, ezért a fajlagos összeg 120 %-a a támogatás</t>
  </si>
  <si>
    <t>III.3.j)</t>
  </si>
  <si>
    <t>Gyermekek napközbeni ellátása</t>
  </si>
  <si>
    <t>III.3.ja)</t>
  </si>
  <si>
    <t xml:space="preserve">Bölcsődei ellátás - nem fogyatékos, nem hátrányos helyzetű gyermek </t>
  </si>
  <si>
    <t>Bölcsődei ellátás - nem fogyatékos, hátrányos helyzetű gyermek (fajlagos összeg 105 %-a)</t>
  </si>
  <si>
    <t>Bölcsődei ellátás - nem fogyatékos, halmozottan hátrányos helyzetű gyermek (fajlagos összeg 110 %-a)</t>
  </si>
  <si>
    <t>Bölcsődei ellátás - fogyatékos gyermek (fajlagos összeg 150 %-a)</t>
  </si>
  <si>
    <t>Bölcsődei ellátás összesen:</t>
  </si>
  <si>
    <t>III.3.k)</t>
  </si>
  <si>
    <t>Hajléktalanok átmeneti intézményei - társult formában, ezért a fajlagos összeg 110 %-a a támogatás</t>
  </si>
  <si>
    <t>fhely</t>
  </si>
  <si>
    <t>Egyes szociális és gyermekjóléti feladatok támogatása összesen</t>
  </si>
  <si>
    <t>III.4./</t>
  </si>
  <si>
    <t>Kistérségi Idősk. Otthona állami támogatása - szakmai dolgozók bértám.</t>
  </si>
  <si>
    <t>Kistérségi Idősk. Otthona állami támogatása - intézményüzemeltetés tám.</t>
  </si>
  <si>
    <t>III.4.</t>
  </si>
  <si>
    <t>Kistérségi Időskorúak Otthona állami támogatása - átadandó Kist.Társ.</t>
  </si>
  <si>
    <t xml:space="preserve">III.5. </t>
  </si>
  <si>
    <t>Gyermekétkeztetés támogatása</t>
  </si>
  <si>
    <t>III.5.a)</t>
  </si>
  <si>
    <t>fő/év</t>
  </si>
  <si>
    <t>III.5.b)</t>
  </si>
  <si>
    <t>III.5.c)</t>
  </si>
  <si>
    <t>A rászoruló gyermekek intézményen kívüli szünidei étkeztetésének támogatása</t>
  </si>
  <si>
    <t>Gyermekétkeztetés támogatása összesen</t>
  </si>
  <si>
    <t>III.6.</t>
  </si>
  <si>
    <t>III.7.</t>
  </si>
  <si>
    <t>Kiegészítő támogatás a bölcsődében foglalkoztatott, felsőfokú végzettségű kisgyermeknevelők béréhez</t>
  </si>
  <si>
    <t xml:space="preserve">2.mell. III. </t>
  </si>
  <si>
    <t>A települési önkormányzatok szociális és gyermekjóléti feladatainak támogatása</t>
  </si>
  <si>
    <t>IV.</t>
  </si>
  <si>
    <t>A TELEPÜLÉSI ÖNKORMÁNYZATOK KULTURÁLIS FELADATAINAK TÁMOGATÁSA</t>
  </si>
  <si>
    <t>IV.1.a)</t>
  </si>
  <si>
    <t>Megyei hatókörű városi múzeumok feladatainak támogatása</t>
  </si>
  <si>
    <t>IV.1.d)</t>
  </si>
  <si>
    <t>Települési önk.nyilvános könyvtári és közműv. feladatainak támogatása</t>
  </si>
  <si>
    <t>IV.1.i)</t>
  </si>
  <si>
    <t>2.mell. IV.</t>
  </si>
  <si>
    <t>A települési önkormányzatok kulturális feladatainak támogatása</t>
  </si>
  <si>
    <t>V.</t>
  </si>
  <si>
    <t>BESZÁMÍTÁS</t>
  </si>
  <si>
    <t>0,55 %</t>
  </si>
  <si>
    <t>Differenciálás: Támogatás csökkentés 100 % lenne az adóerő-képesség miatt, de közös hivatal székhelye miatt 10 %-kal csökkenthető, ezért 90 % a támogatás csökkentés.</t>
  </si>
  <si>
    <t>10 % csökk.</t>
  </si>
  <si>
    <t>90 %</t>
  </si>
  <si>
    <t>2.mell. V.</t>
  </si>
  <si>
    <t>9. melléklet</t>
  </si>
  <si>
    <t xml:space="preserve">Támogató szolgáltatás </t>
  </si>
  <si>
    <t>- Alaptámogatás</t>
  </si>
  <si>
    <t>Ft/év/szolgálat</t>
  </si>
  <si>
    <t>- Teljesítménytámogatás</t>
  </si>
  <si>
    <t>feladat-egység</t>
  </si>
  <si>
    <t>Támogató szolgáltatáshoz állami támogatás összesen</t>
  </si>
  <si>
    <t>Pszichiátriai betegek részére nyújtott közösségi alapellátás</t>
  </si>
  <si>
    <t>Pszichiátriai betegek részére nyújtott közösségi alapellátáshoz támogatás összesen</t>
  </si>
  <si>
    <t>*Kiegészítő szabályok 2.a) alpontja szerint a miniszterek 2016. január 5-éig döntenek.</t>
  </si>
  <si>
    <t>Beszámítás kiszámítása sorrend szerint</t>
  </si>
  <si>
    <t>Beszámitás maximum összege: 340 722 683 Ft</t>
  </si>
  <si>
    <t>Csökkentések jogcímek szerint:</t>
  </si>
  <si>
    <t>Tata Város Önkormányzatának Európai Uniós támogatással megvalósuló projektjei (E Ft-ban)*</t>
  </si>
  <si>
    <t>EU-s projekt neve</t>
  </si>
  <si>
    <t>Azonosítója</t>
  </si>
  <si>
    <t>Támogatási szerződés kötés időpontja</t>
  </si>
  <si>
    <t>Megvalósítás tervezett ideje</t>
  </si>
  <si>
    <t>Források</t>
  </si>
  <si>
    <t>Saját erő, az el nem számolható költségekkel együtt</t>
  </si>
  <si>
    <t>NFM EU Önerő-támogatás</t>
  </si>
  <si>
    <t>EU-s forrás a támogatási szerződés szerint</t>
  </si>
  <si>
    <t>Tata, Kossuth tér városközpont értékmegőrző rehabilitációja</t>
  </si>
  <si>
    <t>KDOP–3.1.1/A–09-2f-2011-0001</t>
  </si>
  <si>
    <t>A tatai Réti 8-as számú tó vízi élőhellyé történő rehabilitációja</t>
  </si>
  <si>
    <t>KEOP – 3.1.2/2F/09-11-2013-0014</t>
  </si>
  <si>
    <t>Intermodális közösségi közlekedési központ létrehozása Tatán</t>
  </si>
  <si>
    <t>KÖZOP–5.5.0-09-11-2011-0010</t>
  </si>
  <si>
    <t>2015.</t>
  </si>
  <si>
    <t>Napelemes rendszer kiépítése a Kőkúti Általános Iskolában</t>
  </si>
  <si>
    <t>KEOP-4.10.0/N/14-2014-0382</t>
  </si>
  <si>
    <t>Területi együttműködést segítő programok kialakítása a tatai járásban</t>
  </si>
  <si>
    <t>ÁROP-1.A.3-2014-2014-0113</t>
  </si>
  <si>
    <t>*Forrás: Projekt szintű pályázati analitikák. A táblázatban a 2015. évről áthúzódó pályázatokat tüntettük fel, melyek kiadásai a korábbi években már felmerültek, a pályázat lezárása azonban a 2016. évre húzódik át.</t>
  </si>
  <si>
    <t>Tata Város Önkormányzatának 2016. évi tartalékai (E Ft-ban)</t>
  </si>
  <si>
    <t>MŰKÖDÉSI TARTALÉK</t>
  </si>
  <si>
    <t>Általános tartalék</t>
  </si>
  <si>
    <t>Működési tartalék</t>
  </si>
  <si>
    <t>Működési céltartalék</t>
  </si>
  <si>
    <t>2014. és 2015. évi felülvizsgálatra</t>
  </si>
  <si>
    <t>Tatai Városkapu Közhasznú Zrt. vezérigazgatójának prémiumfeladatára</t>
  </si>
  <si>
    <t>Zárolt tartalék</t>
  </si>
  <si>
    <t>FELHALMOZÁSI TARTALÉK</t>
  </si>
  <si>
    <t>Felhalmozási tartalék</t>
  </si>
  <si>
    <t>Felhalmozási céltartalék</t>
  </si>
  <si>
    <t>Magyary terv végrehajtására, pályázati önerőre és tervezésre</t>
  </si>
  <si>
    <t>MINDÖSSZESEN:</t>
  </si>
  <si>
    <t>Önkormányzati külterületi utak járhatóságának biztosítása</t>
  </si>
  <si>
    <t>Kosárlabda csarnok és labdarúgópálya megközelítését szolgáló út kivitelezése</t>
  </si>
  <si>
    <t>Bevételek</t>
  </si>
  <si>
    <t>Egyéb önkormányzati feladat támogatása (adóerőképesség 1 lakosra 40.755 Ft)</t>
  </si>
  <si>
    <t xml:space="preserve">Kiegészítő támogatás az óvodaműködtetési feladatokhoz </t>
  </si>
  <si>
    <t>Finanszírozás szempontjából elismert dolgozók bértámogatása</t>
  </si>
  <si>
    <t xml:space="preserve">Gyermekétkeztetés üzemeltetési támogatása </t>
  </si>
  <si>
    <t xml:space="preserve">Szociális ágazati pótlék </t>
  </si>
  <si>
    <t>IV.hó</t>
  </si>
  <si>
    <t>Közművelődési érdekeltségnövelő támogatásból megvalósuló beruházás önereje 30/2016. (I.28.) Tata Kt. határozat</t>
  </si>
  <si>
    <t>Tájékoztató táblák</t>
  </si>
  <si>
    <t>Kőkúti Általános Iskola Fazekas Utcai Tagintézménye - kosárlabda palánk, mágnes tábla, videó-rendszer kiépítése</t>
  </si>
  <si>
    <t>Vaszary János Általános Iskola - Hátsó kapura kamera, udvarvilágítás, kis értékű tárgyi eszköz vásárlása</t>
  </si>
  <si>
    <t>Tatai Sportegyesületnek a tatai 1242 hrsz.-ú ingatlanon kialakítandó kosárlabdacsarnok önereje</t>
  </si>
  <si>
    <t>Fürdő utcai támfal építése (össz. beruházási költség 4 500 E Ft)</t>
  </si>
  <si>
    <t xml:space="preserve">Közművelődési érdekeltségnövelő támogatásból megvalósuló beruházás összege (össz. beruházási költség 5 397 E Ft)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</si>
  <si>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Kossuth tér városközpont értékmegőrző rehabilitációja KDOP-3.1.1/A-09-2f-2011-0001)</t>
  </si>
  <si>
    <t xml:space="preserve">  - Tatai Gimnázium Öregkdiákjainak Egyesületének támogatása dr. Körmendi Géza nyugalmazott igazgató emléktábla avatása</t>
  </si>
  <si>
    <t xml:space="preserve">  -  Magyar Honvédség 25. Klapka György Lövészdandár Doni áttörés 73. évfordulója elnevezésű rendezvényének támogatása</t>
  </si>
  <si>
    <t xml:space="preserve">  - Szakmák Éjszakája rendezvény támogatása</t>
  </si>
  <si>
    <t>Tata és Környéke Turisztikai Egyesület támogatása 47/2016.(II.25.) Tata Kt. Határozata</t>
  </si>
  <si>
    <t>Duna-Gerecse Turisztikai Közhasznú Nonprofit Kft. Támogatása 48/2016.(II.25.) Tata Kt. határozat</t>
  </si>
  <si>
    <t>Tatai Sportegyesület támogatása - kosárlabdacsarnokhoz 119/2016.(III.31.) Tata Kt. határozat</t>
  </si>
  <si>
    <t>Tata Város Önkormányzat 2016. évi költségvetési terve (kormányzati funkciók és kiemelt előirányzatok szerinti bontásban) ( E Ft-ban)</t>
  </si>
  <si>
    <t>Betét lekötés</t>
  </si>
  <si>
    <t>011 130</t>
  </si>
  <si>
    <t>Önkormányzatok és önkormányzati hivatalok jogalkotó és általános igazgatási tevékenysége (Pénzmaradv.)</t>
  </si>
  <si>
    <t>Önkormányzatok és önkormányzati hivatalok jogalkotó és általános igazgatási tevékenysége</t>
  </si>
  <si>
    <t>011 220</t>
  </si>
  <si>
    <t>Adó, vám- és jövedéki igazgatás</t>
  </si>
  <si>
    <t>011 320</t>
  </si>
  <si>
    <t>Nemzetközi szervezetekben való részvétel</t>
  </si>
  <si>
    <t>013 320</t>
  </si>
  <si>
    <t>Köztemető fenntartás és működtetés</t>
  </si>
  <si>
    <t>013 350</t>
  </si>
  <si>
    <t>Az önkormányzati vagyonnal való gazdálkodással kapcsolatos feladatok</t>
  </si>
  <si>
    <t>016 080</t>
  </si>
  <si>
    <t>Kiemelt állami és önkormányzati rendezvények (Nemzeti ünnepek)</t>
  </si>
  <si>
    <t>Kiemelt állami és önkormányzati rendezvények (Minimarathon)</t>
  </si>
  <si>
    <t>Kiemelt állami és önkormányzati rendezvények (Városi ünnepek)</t>
  </si>
  <si>
    <t>Kiemelt állami és önkormányzati rendezvények</t>
  </si>
  <si>
    <t>018 010</t>
  </si>
  <si>
    <t>Önkormányzatok elszámolásai a központi költségvetéssel</t>
  </si>
  <si>
    <t>018 020</t>
  </si>
  <si>
    <t>Központi költségvetési befizetések</t>
  </si>
  <si>
    <t>018 030</t>
  </si>
  <si>
    <t>022 010</t>
  </si>
  <si>
    <t>Polgári honvédelem ágazati feladatai, a lakosság felkészítése</t>
  </si>
  <si>
    <t>031 030</t>
  </si>
  <si>
    <t>032 020</t>
  </si>
  <si>
    <t>Tűz- és katasztrófavédelmi tevékenységek</t>
  </si>
  <si>
    <t>041 232</t>
  </si>
  <si>
    <t>Rövid időtartamú közfoglalkoztatás</t>
  </si>
  <si>
    <t>041 233</t>
  </si>
  <si>
    <t>Bérpótló juttatásra jogosultak hosszabb időtartamú közfoglalkoztatása</t>
  </si>
  <si>
    <t>042 180</t>
  </si>
  <si>
    <t>Állat-egészségügy</t>
  </si>
  <si>
    <t>042 220</t>
  </si>
  <si>
    <t>Erdőgazdálkodás</t>
  </si>
  <si>
    <t>045 120</t>
  </si>
  <si>
    <t>Út, autópálya építése</t>
  </si>
  <si>
    <t>045 140</t>
  </si>
  <si>
    <t>Városi és elővárosi közúti személyszállítás</t>
  </si>
  <si>
    <t>045 160</t>
  </si>
  <si>
    <t>Közutak, hidak, alagutak üzemeltetése, fenntartása</t>
  </si>
  <si>
    <t>047 460</t>
  </si>
  <si>
    <t>Kis- és középvállalkozások működési és fejlesztési támogatásai</t>
  </si>
  <si>
    <t>051 030</t>
  </si>
  <si>
    <t>Nem veszélyes (települési) hulladék összetevőinek válogatása, elkülönített begyűjtése, szállítása, átrakása</t>
  </si>
  <si>
    <t>052 080</t>
  </si>
  <si>
    <t>Szennyvíz gyűjtése, tisztítása, elhelyezése</t>
  </si>
  <si>
    <t>053 010</t>
  </si>
  <si>
    <t>Környezetszennyezés csökkentésének igazgatása</t>
  </si>
  <si>
    <t>061 030</t>
  </si>
  <si>
    <t>Önkormányzat által nyújtott lakástámogatás</t>
  </si>
  <si>
    <t>063 080</t>
  </si>
  <si>
    <t>Víztermelés-kezelés ellátás</t>
  </si>
  <si>
    <t>064 010</t>
  </si>
  <si>
    <t>Közvilágítás</t>
  </si>
  <si>
    <t>066 010</t>
  </si>
  <si>
    <t>Zöldterület kezelés (játszótér)</t>
  </si>
  <si>
    <t>066 020</t>
  </si>
  <si>
    <t>Város- községgazdálkodási egyéb szolgáltatások (Közbeszerzés)</t>
  </si>
  <si>
    <t>Város- községgazdálkodási egyéb szolgáltatások  (Építés- és területfejlesztés)</t>
  </si>
  <si>
    <t>Város- községgazdálkodási egyéb szolgáltatások (VKG)</t>
  </si>
  <si>
    <t>081 030</t>
  </si>
  <si>
    <t>Sportlétesítmények, edzőtáborok működtetése és fejlesztése</t>
  </si>
  <si>
    <t>081 045</t>
  </si>
  <si>
    <t>Máshová nem sorolható egyéb sporttámogatás</t>
  </si>
  <si>
    <t>081 061</t>
  </si>
  <si>
    <t>Szabadidős park, fürdő és strandszolgáltatás</t>
  </si>
  <si>
    <t>082 092</t>
  </si>
  <si>
    <t>Közművelődési tevékenységek és támogatásuk</t>
  </si>
  <si>
    <t>083 020</t>
  </si>
  <si>
    <t>Könyvkiadás</t>
  </si>
  <si>
    <t>083 030</t>
  </si>
  <si>
    <t>Egyéb kiadói tevékenység</t>
  </si>
  <si>
    <t>084 032</t>
  </si>
  <si>
    <t>Civil szervezetek programtámogatása</t>
  </si>
  <si>
    <t>084 060</t>
  </si>
  <si>
    <t>Érdekképviseleti, szakszervezeti tevékenységek támogatása</t>
  </si>
  <si>
    <t>084 070</t>
  </si>
  <si>
    <t>Önkormányzat ifjúsági kezdeményezések és programok</t>
  </si>
  <si>
    <t>086 030</t>
  </si>
  <si>
    <t>Nemzetközi kulturális együttműködés (Testvérvárosi feladatok)</t>
  </si>
  <si>
    <t>098 031</t>
  </si>
  <si>
    <t>Pedagógiai szakmai szolgáltatások szakmai feladatai</t>
  </si>
  <si>
    <t>101 150</t>
  </si>
  <si>
    <t>Betegséggel kapcsolatos pénzbeli ellátások, támogatások</t>
  </si>
  <si>
    <t>101 222</t>
  </si>
  <si>
    <t>Támogató szolgáltatás</t>
  </si>
  <si>
    <t>103 010</t>
  </si>
  <si>
    <t>Elhunyt személyek hátramaradottainak pénzbeli ellátásai</t>
  </si>
  <si>
    <t>104 051</t>
  </si>
  <si>
    <t>Gyermekvédelmi pénzbeli és természetbeni ellátások</t>
  </si>
  <si>
    <t>106 010</t>
  </si>
  <si>
    <t>Lakóingatlan szociális célú bérbeadása, üzemeltetése</t>
  </si>
  <si>
    <t>106 020</t>
  </si>
  <si>
    <t>Lakásfenntartással, lakhatással összefüggő ellátások</t>
  </si>
  <si>
    <t>107 060</t>
  </si>
  <si>
    <t>900 060</t>
  </si>
  <si>
    <t>Forgatási és befektetési célú finanszírozási műveletek</t>
  </si>
  <si>
    <t>900 070</t>
  </si>
  <si>
    <t>Fejezeti és befektetési célú finanszírozási műveletek - Általános tartalék</t>
  </si>
  <si>
    <t>Felhalmozási célú támogatások államháztartáson belülről</t>
  </si>
  <si>
    <t>Egyéb közhatalmi bevételek (magánfőzött párlat adója)</t>
  </si>
  <si>
    <t>Egyéb működési bevétel</t>
  </si>
  <si>
    <t xml:space="preserve"> - Működési tartalék (ebből 3 697 E Ft felhasználása a bevétel beérkezéséhez kötött) </t>
  </si>
  <si>
    <t>Betétlekötésből fizetési számlára visszaérkező összeg</t>
  </si>
  <si>
    <t>Állami támogatás megelőlegezési hitel törlesztés</t>
  </si>
  <si>
    <t>Betétlekötés céljából átvezetés fizetési számláról</t>
  </si>
  <si>
    <t>Egyéb közhatalmi bevétel (magánfőzött párlat adója)</t>
  </si>
  <si>
    <t>Felhamozás célú támogatások (államháztartáson belülről)</t>
  </si>
  <si>
    <t>2016. évre Módosítandó különbözet       E Ft-ban</t>
  </si>
  <si>
    <t>0/35000</t>
  </si>
  <si>
    <t>70000/80000</t>
  </si>
  <si>
    <t>63/65</t>
  </si>
  <si>
    <t>33/35</t>
  </si>
  <si>
    <t>39,38/39,42</t>
  </si>
  <si>
    <t>Felhalmozási célú támogatások (államháztartáson belülről)</t>
  </si>
  <si>
    <t>Betétlekötésből fizetés számlára visszaérkező összeg</t>
  </si>
  <si>
    <t xml:space="preserve"> - Működési tartalék(ebből 3 697 E Ft felhasználása a bevétel beérkezéséhez kötött)</t>
  </si>
  <si>
    <t>Önkormányzatok jogalkotó tevékenysége  /Általános tartalék /</t>
  </si>
  <si>
    <t>Önkormányzatok jogalkotó tevékenysége  /Működési  és felhalmozási tartalék</t>
  </si>
  <si>
    <t>Család-és gyermekjóléti szolgáltatás</t>
  </si>
  <si>
    <t>104042</t>
  </si>
  <si>
    <t>Idősek nappali ellátása</t>
  </si>
  <si>
    <t>102031</t>
  </si>
  <si>
    <t>101221</t>
  </si>
  <si>
    <t>Pszichiátriai betegek közösségi alapellátása</t>
  </si>
  <si>
    <t>101143</t>
  </si>
  <si>
    <t>Demens betegek tartós ellátása</t>
  </si>
  <si>
    <t>102024</t>
  </si>
  <si>
    <t>107052</t>
  </si>
  <si>
    <t>Időskorúak tartós bentlakása</t>
  </si>
  <si>
    <t>102023</t>
  </si>
  <si>
    <t>Szociális étkeztetés</t>
  </si>
  <si>
    <t>107051</t>
  </si>
  <si>
    <t>Hajléktalanok nappali ellátása</t>
  </si>
  <si>
    <t>107015</t>
  </si>
  <si>
    <t>Hajléktalanok átmeneti ellátása</t>
  </si>
  <si>
    <t>107013</t>
  </si>
  <si>
    <t>Család-és gyermekjóléti központ</t>
  </si>
  <si>
    <t>104043</t>
  </si>
  <si>
    <t>Önkormányzatok funkcióra nem tervezhető bevételei  /helyi adók/</t>
  </si>
  <si>
    <t>900020</t>
  </si>
  <si>
    <t>Értékpapír eladás</t>
  </si>
  <si>
    <t>Értékpapír vásárlás</t>
  </si>
  <si>
    <t>Kőkúti Sasok Diáksport Egyesület</t>
  </si>
  <si>
    <t>400/2015. (XII.15.) Kormányrendelet alapján bérkompenzáció</t>
  </si>
  <si>
    <t>ÁLLAMI TÁMOGATÁS MINDÖSSZESEN</t>
  </si>
  <si>
    <t>Tata belvárost ábrázoló, tapogatható építészeti makett</t>
  </si>
  <si>
    <t>Réti 8-as számú halastó meliorációs haltelepítése</t>
  </si>
  <si>
    <t>1956. évi forradalom és szabadságharc tatai eseményeinek emlékére emlékmű terv pályázati díja</t>
  </si>
  <si>
    <t>Építők parkja csapadékvíz elvezetés és közműkiváltások tervezése</t>
  </si>
  <si>
    <t>Fényes fasor Naszályi út összekötő kerékpárút kiviteli terve</t>
  </si>
  <si>
    <t>Szelektív hulladékgyűjtők vásárlása</t>
  </si>
  <si>
    <t>Mindszenty téri emlékmű alapozása</t>
  </si>
  <si>
    <t>Wass Albert u. 3. és 5. szennyvízelvezetés megvalósulási tervdokumentációja</t>
  </si>
  <si>
    <t>Rendelőintézet gyalogos megközelítésnek kiviteli terve</t>
  </si>
  <si>
    <t>Jázmin utca 22-24. csapadékvíz elvezetési munkák</t>
  </si>
  <si>
    <t>Május 1. u. 37. 3/12. bérlakásba gáztűzhely vásárlása</t>
  </si>
  <si>
    <t>Tata Város kerékpárforgalmi hálózati terve</t>
  </si>
  <si>
    <t>Tulipán utca 1-19. nyílt árok csapadékvíz elvezetés</t>
  </si>
  <si>
    <t>Rendkívüli települési támogatás (természetbeni)</t>
  </si>
  <si>
    <t>Tatai Közös Önkormányzati Hivatal által folyósított 2016. évi ellátottak pénzbeli és természetbeni juttatásának részletezése</t>
  </si>
  <si>
    <t>Lakásfenntartási támogatás</t>
  </si>
  <si>
    <t>Rendszeres gyermekvédelmi támogatás Erzsébet utalvány</t>
  </si>
  <si>
    <t>Tatai Közös Önkormányzati Hivatal által folyósított szociális, gyermekvédelmi ellátások összesen</t>
  </si>
  <si>
    <t>106020</t>
  </si>
  <si>
    <t>Lakásfenntartással, lakhatással összefüggő ellátás</t>
  </si>
  <si>
    <t>Országos Mentőszolgálati Alapítványnak (Tatabányai mentőállomás) mellkasi kompressziós rendszer vásárlásához 238/2016. (V.26.) Tata Kt. határozat</t>
  </si>
  <si>
    <t>Középnyugat-magyarországi Közlekedési Központ Zrt. részére veszteség kiegyenlítésre és helyi közösségi közlekedés támogatására</t>
  </si>
  <si>
    <t>Működési célú támogatások államháztartáson belülről (vissza nem térítendő, és visszatérítendő)</t>
  </si>
  <si>
    <t>Tatai Fényes Fürdő Kft.-nek nyújtott kölcsön visszafizetése</t>
  </si>
  <si>
    <t>Működési célú átvett pénzeszköz államháztartáson kívülről (vissza nem térítendő, és visszatérítendő)</t>
  </si>
  <si>
    <t>Víz és csatorna közműdíj befizetés</t>
  </si>
  <si>
    <t>Területi együttműködést segítő programok kialakítása a tatai járásban (ÁROP-1.A.3_2014-2014-0113)</t>
  </si>
  <si>
    <t xml:space="preserve"> -  állami támogatás működésre</t>
  </si>
  <si>
    <t xml:space="preserve"> -  állami támogatás felhalmozásra</t>
  </si>
  <si>
    <t>Egyéb tárgyi eszköz értékesítés</t>
  </si>
  <si>
    <t>Államháztartáson belüli meglelőgezések</t>
  </si>
  <si>
    <t>Elvonások és befizetések</t>
  </si>
  <si>
    <t>Felhal-mozási bevétel</t>
  </si>
  <si>
    <t>Bevételek mind-összesen</t>
  </si>
  <si>
    <t>Szolgál-tatások bevétele</t>
  </si>
  <si>
    <t>IX. hó</t>
  </si>
  <si>
    <t>Kvi. alcímek és szakf.</t>
  </si>
  <si>
    <t>Mind-összesen</t>
  </si>
  <si>
    <t xml:space="preserve">Közép-Duna Vidéke Önkormányzati Társulásnak működési hozzájárulás </t>
  </si>
  <si>
    <t xml:space="preserve">Oktatási és Kulturális Alap </t>
  </si>
  <si>
    <t xml:space="preserve">Egészségvédelmi, Szociális és Sportalap </t>
  </si>
  <si>
    <t>Tatai gyermekek és tanulók étkezési ellátásához hozzájárulás más önkormányzatnak</t>
  </si>
  <si>
    <t xml:space="preserve">Tatai Televízió Közalapítvány támogatása </t>
  </si>
  <si>
    <t>Oktatási és Kulturális Alap</t>
  </si>
  <si>
    <t>Egészségvédelmi, Szociális és Sportalap</t>
  </si>
  <si>
    <t xml:space="preserve">Környezetvédelmi Alap civil és intézményi pályázók részére </t>
  </si>
  <si>
    <t xml:space="preserve">Fogorvosi alapellátás támogatása OEP szerződés alapján </t>
  </si>
  <si>
    <t xml:space="preserve">Magyar Máltai Szeretetszolgálat tatai csoportjának </t>
  </si>
  <si>
    <t>Kenderke Néptánc Egyesület támogatása közművelődési megállapodás alapján és a 17. Sokadalom megrendezéséhez</t>
  </si>
  <si>
    <t xml:space="preserve">Vaszary János születésének 150. évfordulójára készülő filmhez </t>
  </si>
  <si>
    <t xml:space="preserve">Pro Minoratare Alapítvány 27. Bálványosi Nyári Szabadegyetem és Diáktábor </t>
  </si>
  <si>
    <t>Mozgáskorlátozottak KEM-i Egyesületének</t>
  </si>
  <si>
    <t xml:space="preserve">  - Magyary Zoltán Népfőiskolai Társaságnak Magyar irodalom története című előadássorozat támogatása </t>
  </si>
  <si>
    <t xml:space="preserve">  - Mozgáskorlátozottak KEM-i Egyesületének Tatai Sorstársak Klub éves rendezvényeinek megvalósítására </t>
  </si>
  <si>
    <t xml:space="preserve">  - Tatai Helytörténeti Egyesületnek emlékérmék készítéséhez támogatás </t>
  </si>
  <si>
    <t xml:space="preserve">  - Magyar Vöröskereszt Tatai Területi Szervezetének tábor támogatása </t>
  </si>
  <si>
    <t xml:space="preserve">  - Vaszary Alapítványnak sport-és közösségi rendezvény támogatása </t>
  </si>
  <si>
    <t xml:space="preserve">  - Palmetta Alkotó Műhelynek Tatai Tündérmese Fesztivál megrendezésére </t>
  </si>
  <si>
    <t xml:space="preserve">  - Asociata Marianum Egyesület szovátai tevékenységének általános támogatására </t>
  </si>
  <si>
    <t xml:space="preserve">Fiatal Zenészekért Alapítványnak hangszerállomány fejlesztésére 251/2016.(VI.29.) Tata Kt. határozat </t>
  </si>
  <si>
    <t xml:space="preserve">Tatai Egyházközség által üzemeltetett óvoda épület fűtésének felújítására 229/2015. (V.28.) Tata Kt. határozat </t>
  </si>
  <si>
    <t>Tatai 17/4 hrsz.-ú ingatlanon sportcsarnok kialakítása II. ütem  358/2014 (XI.27.) Tata Kt. határozat</t>
  </si>
  <si>
    <t>Tatai Városkapu Zrt. támogatása - Tatai Ökoturisztikai Központ működtetésére</t>
  </si>
  <si>
    <t>Tatai Városkapu Zrt. támogatása - Tatai Angolkert működési támogatása</t>
  </si>
  <si>
    <t xml:space="preserve">Tatai Kistérségi Többcélú Társulástól (belső ellenőrzéshez, infrastrukturális háttér biztosításához) </t>
  </si>
  <si>
    <t xml:space="preserve">Nemzeti Fejlesztési Minisztériumtól Autómentes Napra </t>
  </si>
  <si>
    <t xml:space="preserve">Mezőgazdasági és Vidékfejlesztési Hivataltól egységes területalapú támogatás </t>
  </si>
  <si>
    <t xml:space="preserve">Napelemes rendszer kiépítése a Kőkúti Iskolában KEOP-4.10.0/N/14-2014-0382 </t>
  </si>
  <si>
    <t xml:space="preserve">Intermodális közösségi közlekedési központ létrehozása Tatán (KÖZOP-5.5.0-09-11-2011-0010) </t>
  </si>
  <si>
    <t xml:space="preserve">HUSK pályázatok elszámolási kompenzáció </t>
  </si>
  <si>
    <t xml:space="preserve">Értékvédelmi feladatokra háztartásnak adott kölcsön visszatérülése </t>
  </si>
  <si>
    <t xml:space="preserve">Tata és Környéke Turisztikai Egyesületnek nyújtott kölcsön visszafizetése </t>
  </si>
  <si>
    <t>Dunaalmás Önkormányzatától</t>
  </si>
  <si>
    <t>Törvény- javaslat hivatk.sz.</t>
  </si>
  <si>
    <t>Jogcímek megnevezése</t>
  </si>
  <si>
    <t>2016. évre Módosítandó különbözet (augusztus)              E Ft-ban</t>
  </si>
  <si>
    <t>2. melléklet jogcímeihez: ÁLLAMI TÁMOGATÁS MINDÖSSZESEN</t>
  </si>
  <si>
    <t>9. melléklet jogcímeihez: ÁLLAMI TÁMOGATÁS MINDÖSSZESEN</t>
  </si>
  <si>
    <t>257/2000. (XII.26.) Kormányrendelet 15/B. §-a szociális ágazati kiegészítő pótlék</t>
  </si>
  <si>
    <t>Járásszékhely múzeumok szakmai támogatása</t>
  </si>
  <si>
    <t>Települési önkormányzatok helyi közösségi közlekedésének támogatása</t>
  </si>
  <si>
    <t>Központi költségvetésből működési és felhalmozási támogatás</t>
  </si>
  <si>
    <t>Tatai Közös Önkormányzati Hivatal 2016. évi költségvetési terve (kormányzati funkciók és kiemelt előirányzatok szerinti bontásban) 
( E Ft-ban)</t>
  </si>
  <si>
    <t xml:space="preserve">Irányító szerv javára teljesített befizetés </t>
  </si>
  <si>
    <t xml:space="preserve">Vissza nem térítendő támogatások </t>
  </si>
  <si>
    <t>2016. évi felújítási kiadások célonként (ÁFA-val)</t>
  </si>
  <si>
    <t>Áprilisi mód.</t>
  </si>
  <si>
    <t>Határozatokkal elfogadott feladatok</t>
  </si>
  <si>
    <t>ÉDV Zrt-nek üzemeltetésre átadott ivóvíz és szennyvíz közmű felújítása</t>
  </si>
  <si>
    <t>Fényes-fürdőn területén szezonnyitáshoz szükséges munkálatok</t>
  </si>
  <si>
    <t>Fényes Napközis Táborban végzett felújítási munkálatok a 249/2016. (VI.29.) Tata Kt. határozat alapján</t>
  </si>
  <si>
    <t>Építők parki fejlesztés II. ütem, közmű kiváltások</t>
  </si>
  <si>
    <t>Kálvária u. 5. korszerűsítése</t>
  </si>
  <si>
    <t>Almási u. 43. zsilipszoba kialakítása</t>
  </si>
  <si>
    <t>Agostyáni u. 1-3. homlokzat felújítása</t>
  </si>
  <si>
    <t>Útfelújítások tervezése</t>
  </si>
  <si>
    <t>Járda felújítás</t>
  </si>
  <si>
    <t xml:space="preserve">Útfelújítások  </t>
  </si>
  <si>
    <t>Pormentesítés, mart aszfaltos útfelújítás (Balogh F. u., Határ út, Tulipán u.)</t>
  </si>
  <si>
    <t>Naplókert u. burkolat felújításhoz kapcsoló önkormányzati feladatok (megállapodás alapján)</t>
  </si>
  <si>
    <t>Szent István u. 41-45 szennyvíz kiváltás</t>
  </si>
  <si>
    <t>Szivárvány Óvoda gyeptéglázás</t>
  </si>
  <si>
    <t>Ady Endre utca zöldterület felújítás</t>
  </si>
  <si>
    <t>Garázs, raktár, hátsó fedett beálló felújítás</t>
  </si>
  <si>
    <t>Tatai Geszti Óvoda - Csoportszobákba laminált parketta</t>
  </si>
  <si>
    <t>Tatai Bartók Béla úti Óvoda - Szennyvíz átemelő akna gépészeti munkák</t>
  </si>
  <si>
    <t>Csillagsziget Bölcsőde - Egy gondozási egység vizesblokk felújítás, parketta csere</t>
  </si>
  <si>
    <t>Vaszary János Általános Iskola - Tetőfelújítás, elektromos hálózat korszerűsítés, udvar felújítás, tanterem felújítás</t>
  </si>
  <si>
    <t>Vaszary János Általános Iskola Jázmin utcai tagintézménye - Ebédlő és tanterem felújítás</t>
  </si>
  <si>
    <t>Kőkúti Általános Iskola - Tanterem felújítás, elektromos hálózat felújítás, aula felújítás, uszodában szűrők és szivattyúk felújítása</t>
  </si>
  <si>
    <t>Menner Bernát Zeneiskola - Kültéri lépcsőcsere</t>
  </si>
  <si>
    <t>Polgármesteri Hivatal dísztermének padlófűtéssel való ellátása</t>
  </si>
  <si>
    <t>Dadi utca 22. ingatlanon játszótér építés és tereprendezés</t>
  </si>
  <si>
    <t>Tata Város Önkormányzatának pénzmaradvány igénybevétele működési- és felhalmozási cél szerinti tagolásban (E Ft-ban)</t>
  </si>
  <si>
    <t>Irányító szerv javára teljesített befizetés</t>
  </si>
  <si>
    <t>Vissza nem térítendő támogatás</t>
  </si>
  <si>
    <t>Államháztartáson belüli megelőlegezés</t>
  </si>
  <si>
    <t>Bérpótló juttatásra jogosultak hosszabb időtartamú közfoglalkoztatása (Országos)</t>
  </si>
  <si>
    <t>Házi segítségnyújtás</t>
  </si>
  <si>
    <t>Fogyatékossággal élők nappali ellátása</t>
  </si>
  <si>
    <t>Tatai Geszti Óvoda Agostyáni Tagintézménye - Beépített szekrények, egyéb kisértékű tárgyi eszközök beszerzése</t>
  </si>
  <si>
    <t>Tatai Bartók Béla úti Óvoda - konyhai eszközök, telefon vásárlás</t>
  </si>
  <si>
    <t>Tatai Kincseskert Óvoda Szivárvány Tagintézménye - Csoportszobákba laminált parketta, fürdőszoba felújítás</t>
  </si>
  <si>
    <t xml:space="preserve"> Irányító szerv javára teljesített befizetés</t>
  </si>
  <si>
    <t>Közfoglalkoztatási program keretében vásárolt gépjármű</t>
  </si>
  <si>
    <t>Kosztolányi u. 1/1 3/3. bérlakás postaládája</t>
  </si>
  <si>
    <t>Tatai Kincseskert Óvoda - Gyermekfürdőszoba felújítása</t>
  </si>
  <si>
    <t>Tatai Kertvárosi Óvoda - Fűtési rendszer javítása, főzőkonyha felújítása</t>
  </si>
  <si>
    <t>Tatai Kistérségi Többcélú Társulásnak támogatás (tagdíj, állami támogatás, önkormányzati támogatás)</t>
  </si>
  <si>
    <t>Tatai Kistérségi Időskorúak Otthonától elvont 2015. évi állami támogatás visszafizetése</t>
  </si>
  <si>
    <t xml:space="preserve">Fogorvosi alapellátás támogatása OEP-től szerződés alapján </t>
  </si>
  <si>
    <t>Mód.(IX.28.)</t>
  </si>
  <si>
    <t>Mód.(XII.14)</t>
  </si>
  <si>
    <t>Mód.(XII.14.)</t>
  </si>
  <si>
    <t>Mód.(XII.14.)
Összeg</t>
  </si>
  <si>
    <t>Adósságot keletkeztető ügyletek</t>
  </si>
  <si>
    <t xml:space="preserve"> 2016 – 2024-ig a hosszú lejáratú felhalmozási hitel visszafizetéseket figyelembe véve (E Ft-ban)</t>
  </si>
  <si>
    <t>Eredeti
166.393 E Ft
2,3 % kamat</t>
  </si>
  <si>
    <t>Eredeti
650.000 E Ft
3,49 % kamat</t>
  </si>
  <si>
    <t>Tartozás 2016.</t>
  </si>
  <si>
    <t xml:space="preserve">törlesztés </t>
  </si>
  <si>
    <t>kamat</t>
  </si>
  <si>
    <t>Tartozás 2017.</t>
  </si>
  <si>
    <t>Tartozás 2018.</t>
  </si>
  <si>
    <t>Tartozás 2019.</t>
  </si>
  <si>
    <t>Tartozás 2020.</t>
  </si>
  <si>
    <t>Tartozás 2021.</t>
  </si>
  <si>
    <t>Tartozás 2022.</t>
  </si>
  <si>
    <t>Tartozás 2023.</t>
  </si>
  <si>
    <t>Tartozás 2024.</t>
  </si>
  <si>
    <t>Az Önkormányzat adósságot keletkeztető ügyleteinek és azok fedezetére felhasználható saját bevételeink alakulásáról (E Ft-ban)</t>
  </si>
  <si>
    <t>Saját bevétel és adósságot keletkeztető ügyletből eredő fizetési kötelezettség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</si>
  <si>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</si>
  <si>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</si>
  <si>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</si>
  <si>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</si>
  <si>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</si>
  <si>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</si>
  <si>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</si>
  <si>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</si>
  <si>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7. évet követően lejáratig (2024.)</t>
  </si>
  <si>
    <t>Helyi adók</t>
  </si>
  <si>
    <t>Osztalék, koncessziós díj, hozambevétel (kamatbevétel)</t>
  </si>
  <si>
    <t>Díjak, pótlékok, bírságok</t>
  </si>
  <si>
    <t>Talajterhelési díj</t>
  </si>
  <si>
    <t>Szolgáltatások ellenértéke (temető fenntartási hozzájárulás,sírhelydíj, nevezési díj)</t>
  </si>
  <si>
    <t>Tulajdonosi bevétel (használatba adásból, üzemeltetésbe adásból származó bevétel)</t>
  </si>
  <si>
    <t>- ebből lakbér</t>
  </si>
  <si>
    <t>Pótlék, bírság</t>
  </si>
  <si>
    <t>Tárgyi eszközök, immateriális javak, és önkormányzati vagyonértékesítésből származó bevétel (ÁFA nélküli, csak önkormányzat)</t>
  </si>
  <si>
    <t>SAJÁT BEVÉTELEK</t>
  </si>
  <si>
    <t>Saját bevételek 50 %-a</t>
  </si>
  <si>
    <t>Előző év (ek) ben keletkezett tárgyévet terhelő fizetési kötelezettség</t>
  </si>
  <si>
    <t>Hosszú lejáratú hitel tőke és kamatfizetési kötelezettsége</t>
  </si>
  <si>
    <t>Tárgyévben keletkezett, illetve keletkező, tárgyévet terhelő fizetési kötelezettség</t>
  </si>
  <si>
    <t>FIZETÉSI KÖTELEZETTSÉG ÖSSZESEN</t>
  </si>
  <si>
    <t xml:space="preserve">Fizetési kötelezettség csökkentett saját bevétel 50 %-a </t>
  </si>
  <si>
    <t>Mód.(XII.14.)
166.393 E Ft
2,3 % kamat</t>
  </si>
  <si>
    <t>Mód.(XII.14.)
650.000 E Ft
3,49 % kamat</t>
  </si>
  <si>
    <t>Hitel felhalmozási célok szerinti bontásban (E Ft-ban)</t>
  </si>
  <si>
    <t>Kormányengedéllyel rendelkező feladatok</t>
  </si>
  <si>
    <t>Cél megnevezése</t>
  </si>
  <si>
    <t>A kiadás forrása</t>
  </si>
  <si>
    <t>Vissza nem térítendő támogatás, saját bevétel</t>
  </si>
  <si>
    <t>650 M hitelkeret</t>
  </si>
  <si>
    <t>Pályázatokkal kapcsolatos feladatok</t>
  </si>
  <si>
    <t>Kossuth téren közterületi szobor felállítása NKA - AN2000N6284 (a 2.000 E Ft-os támogatás 2013-ban önkormányzatunkhoz érkezett)</t>
  </si>
  <si>
    <t>Útfejlesztésekkel kapcsolatos feladatok</t>
  </si>
  <si>
    <t>Újvilág u. II. ütem mart aszfaltos felújítása, Balogh F. u., Határ u. mart aszfaltos felújítása, Tulipán u., Nyírfa u. mart aszfaltos felújítása</t>
  </si>
  <si>
    <t>Vízelvezetéssel kapcsolatos feladatok</t>
  </si>
  <si>
    <t>Fekete út, Arany J.u., Komáromi út, Nagykert u. csapadékvíz elvezetés kivitelezés I. ütem</t>
  </si>
  <si>
    <t>Közvilágítással és közbiztonsággal kapcsolatos feladatok</t>
  </si>
  <si>
    <t>Térfigyelő kamerarendszer</t>
  </si>
  <si>
    <t>Önkormányzati támogatás a lakosság energiatakarékos felújításaihoz</t>
  </si>
  <si>
    <t>ZBR</t>
  </si>
  <si>
    <t>Mód. (XII.14.)</t>
  </si>
  <si>
    <t>XII. hó</t>
  </si>
  <si>
    <t>Közutak, hidak üzemeltetése fenntartása kormányzati funkció dologi kiadásai</t>
  </si>
  <si>
    <t xml:space="preserve">Klebelsberg Intézményfenntartó Központ Tatai Tankerületének nyújtott kölcsön visszafizetése </t>
  </si>
  <si>
    <t xml:space="preserve"> - Tatabányai Szakképzési Centrum Bláthy Ottó Szakiskolája és Kollégiuma részére Szakmák Éjszakája rendezvény támogatása</t>
  </si>
  <si>
    <t>Magyar Máltai Szeretetszolgálat tatai csoportjának máltai játszókert működtetésére</t>
  </si>
  <si>
    <t>ÚSZT pályázat fűtéskorszerűsítés /2012, TEF/ 2013, egyéb energiahatékonyságot javító pályázatok</t>
  </si>
  <si>
    <t>Közös Önkormányzati Hivatal épületében az akváriumhoz külső szűrő</t>
  </si>
  <si>
    <t>Bláthy Ottó Szakközépiskola, Szakiskola és Kollégium - 4 kollégiumi szoba felújítása</t>
  </si>
  <si>
    <t>Kincseskert Óvoda, Csillagsziget Bölcsőde projekt tervezés</t>
  </si>
  <si>
    <t>Kálvária domb 254/364. hrsz-ú portaépület bontása</t>
  </si>
  <si>
    <t>Kossuth tér, Fellner J. úti templom melletti szervizút csapadékvíz elvezetése</t>
  </si>
  <si>
    <t>Móricz Zsigmond Városi Könyvtár- Egyéb eszközbeszerzés (könyvek, székek, telefon)</t>
  </si>
  <si>
    <t>(kiemelt előirányzatok szerinti részletezésben) E Ft-ban</t>
  </si>
  <si>
    <t xml:space="preserve"> - Működési tartalék (ebből 3 697 E Ft  felhasználása a bevétel beérkezéséhez kötött)</t>
  </si>
  <si>
    <t>Lakhatási kiadásokhoz kapcsolódó tartozást felhalmozó személyek részére</t>
  </si>
  <si>
    <t>Alapítvány a Tatai Televízió segítésére támogatása</t>
  </si>
  <si>
    <t>Tata 1879/29. hrsz-ú ingatlanon városi piac elhelyezése - nyertes tervpályázat díjazása</t>
  </si>
  <si>
    <t>Hungaricum Szövetség támogatása</t>
  </si>
  <si>
    <t xml:space="preserve">  - Villámtánc Egyesület támogatása</t>
  </si>
  <si>
    <t xml:space="preserve">  - Old Lake Dragons Egyesület támogatása</t>
  </si>
  <si>
    <t xml:space="preserve">  - Evangélikus Egyházközség támogatása</t>
  </si>
  <si>
    <t xml:space="preserve">  - Kőkút Képességfejlesztő Alapítvány támogatása</t>
  </si>
  <si>
    <t xml:space="preserve">  - Iskola a Gyermekekért Alapítvány Pom-pom bábcsoport támogatása</t>
  </si>
  <si>
    <t xml:space="preserve">  - Felső-Tisza Vidéki Többcélú Kistérségi Társulás támogatása</t>
  </si>
  <si>
    <t>Pons Danubii EGTC-nek kölcsön nyújtása (Vizi-utas régiók fenntartható örökség menedzsmentje projekthez)</t>
  </si>
  <si>
    <t>Barina Kft. együttműködési megállapodás helyi infrasuktrúra fejlesztésére</t>
  </si>
  <si>
    <t>Atyha Község Római Katolikus templomtorony újjáépítésére</t>
  </si>
  <si>
    <t xml:space="preserve">Működési célú vissza nem térítendő támogatás államháztartáson kívülre </t>
  </si>
  <si>
    <t>Választással kapcsolatos átlagbér térítés</t>
  </si>
  <si>
    <t>Tatai Járási Hivatal Foglalkoztatási Osztályától nyári diákmunkára</t>
  </si>
  <si>
    <t>2016. évi népszavazáshoz támogatás</t>
  </si>
  <si>
    <t>Tatai Járási Hivatal Foglalkoztatási Osztályától nyári diákmunka támogatása</t>
  </si>
  <si>
    <t>Időközi önkormányzati választásokhoz (Dunaalmás Önkormányzatától)</t>
  </si>
  <si>
    <t>Finan-szírozás</t>
  </si>
  <si>
    <t>Áru- és készlet-érté-kesítés</t>
  </si>
  <si>
    <t>Bölcsöde</t>
  </si>
  <si>
    <t>Tatai Városkapu Zrt-nek jégpálya kialakításához támogatás</t>
  </si>
  <si>
    <t>Likvid hitel felvétel</t>
  </si>
  <si>
    <t>Likvid hitel törlesztés</t>
  </si>
  <si>
    <t xml:space="preserve">Kálvária u. 5. kerítés és támfal építése </t>
  </si>
  <si>
    <t xml:space="preserve">Fekete- Arany J- csapadékvíz elvezetés kivitelezés I. ütem </t>
  </si>
  <si>
    <t xml:space="preserve">Tárgyi eszköz beszerzés (gondnokság) </t>
  </si>
  <si>
    <t xml:space="preserve">Gépjármű beszerzése </t>
  </si>
  <si>
    <t xml:space="preserve">Tatai Öreg-tó Kft. alapítása miatti törzstőke </t>
  </si>
  <si>
    <t xml:space="preserve">"Szálka-bár" nevű felépítmény megvásárlása </t>
  </si>
  <si>
    <t xml:space="preserve">Schiffer Ervin emléktábla  </t>
  </si>
  <si>
    <t xml:space="preserve">Piarista rendház riasztórendszer bővítése </t>
  </si>
  <si>
    <t xml:space="preserve">Mocsai u. 1/9. bérlakás villanybojler beépítése </t>
  </si>
  <si>
    <t xml:space="preserve">Komáromi u. 5. bérlakás gáztűzhely beépítése  </t>
  </si>
  <si>
    <t xml:space="preserve">Kossuth téri szökőkút gépészetébe vízlágyító berendezés beépítése </t>
  </si>
  <si>
    <t xml:space="preserve">Tata, 15404/4 hrsz-ú 86 m2 kivett magánút megvásárlása ellentételezéssel </t>
  </si>
  <si>
    <t xml:space="preserve">Kőfaragó-ház TOP-1.2.1-15 tervezési feladatok </t>
  </si>
  <si>
    <t xml:space="preserve">Tata, 3540 hrsz. ingatlanon parkoló kialakítás </t>
  </si>
  <si>
    <t xml:space="preserve">Inkubátorház koncepcióterv, látványterv, beruházási költségbecslés </t>
  </si>
  <si>
    <t xml:space="preserve">Dobroszláv u. 6. víznyelőakna építés </t>
  </si>
  <si>
    <t xml:space="preserve">Agostyán csapadékvíz elvezetés tervezése </t>
  </si>
  <si>
    <t xml:space="preserve">Eötvös József Gimnázium tornacsarnok névadóra emléktábla </t>
  </si>
  <si>
    <t>900 l-es műanyag komposztáló siló beszerzése</t>
  </si>
  <si>
    <t>Anyakönyvvezetők részére kisértékű tárgyi eszközök beszerzése (három ágú gyertyatartó, vasalódeszka)</t>
  </si>
  <si>
    <t xml:space="preserve">Közterület-felügyelet részére tárgyi eszközök beszerzése (elemlámpa, kapcsolószekrényhez kulcskészlet) </t>
  </si>
  <si>
    <t xml:space="preserve">Tárgyi eszköz beszerzés </t>
  </si>
  <si>
    <t xml:space="preserve">Tatai Kincseskert Óvoda - Tűzjelző másodkezelő, egyéb eszközbeszerzés </t>
  </si>
  <si>
    <t xml:space="preserve">Tatai Kertvárosi Óvoda - nyomtató, kisértékű tárgyi eszközök (hűtő, telefon vásárlás) </t>
  </si>
  <si>
    <t xml:space="preserve">Tatai Kincseskert Óvoda Szivárvány Tagintézménye - porszívó </t>
  </si>
  <si>
    <t xml:space="preserve">Csillagsziget Bölcsőde - Informatika eszközök és egyéb berendezések vásárlása </t>
  </si>
  <si>
    <t xml:space="preserve">Kőkúti Általános Iskola - porszívó beszerzés </t>
  </si>
  <si>
    <t xml:space="preserve">Vaszary János Általános Iskola Logopédiai Tagintézménye - porszívó és kisértékű tárgyi eszköz (4 db szék beszerzés) </t>
  </si>
  <si>
    <t xml:space="preserve">Menner Bernát Zeneiskola - Hangszervásárlás </t>
  </si>
  <si>
    <t xml:space="preserve">Kuny Domokos Múzeum - Műtárgy vásárlás, Informatikai és egyéb eszközök beszerzése, állományvédelmi feladatok </t>
  </si>
  <si>
    <t>Tata és Környéke Turisztikai Egyesületnek nyújtott támogatás visszafizetése</t>
  </si>
  <si>
    <t xml:space="preserve">Vaszary Villa állagmegóvó munkálataira 365/2014. (XI.27.) Kt. Határozat </t>
  </si>
  <si>
    <t xml:space="preserve">Váralja u. 4. szám alatti ingatlan Művelődési ház tető felújítása 353/2015.(X.1.) Tata Kt. határozat alapján </t>
  </si>
  <si>
    <t xml:space="preserve">Önkormányzati bérlakások felújítása </t>
  </si>
  <si>
    <t xml:space="preserve">Önkormányzati nem lakás célú helyiségek felújítása </t>
  </si>
  <si>
    <t>Út és járdafelújítások</t>
  </si>
  <si>
    <t xml:space="preserve">Fényes-fürdőn található Grófi-tó vízjogi létesítési engedélyében rögzített feladatok </t>
  </si>
  <si>
    <t xml:space="preserve">Eötvös József Gimnázium tornacsarnok névadóra homlokzat felújítása </t>
  </si>
  <si>
    <t>Kosréti patak mederrendezése</t>
  </si>
  <si>
    <t xml:space="preserve">Fazekas utcai Általános Iskola - kőkerítés, tanterem és udvari játékok felújítása </t>
  </si>
  <si>
    <t xml:space="preserve">Tatai Közös Önkormányzati Hivatal épületébe klíma berendezések vásárlása </t>
  </si>
  <si>
    <t xml:space="preserve">Elosztószekrény kihelyezése a Temesvári utcában </t>
  </si>
  <si>
    <t>Baji úti kerékpárút terveinek korszerűségi felülvizsgálata és fedényterve</t>
  </si>
  <si>
    <t xml:space="preserve">Vaszary János Általános Iskola és Fényes Napközibe játékok beszerzése </t>
  </si>
  <si>
    <t>2016. évi Módosított előirányzat (április)              E Ft-ban</t>
  </si>
  <si>
    <t>2016. évi Módosított előirányzat (december)              E Ft-ban</t>
  </si>
  <si>
    <t>Különbözet December - Augusztus      E Ft-ban</t>
  </si>
  <si>
    <t>Települési önk. Könyvtári célú érdekeltségnövelő támogatása</t>
  </si>
  <si>
    <t>Múzeális intézmények szakmai támogatása (Kubinyi Ágoston Program)</t>
  </si>
  <si>
    <t>Közép - és Kelet-európai Történelem és Társadalom Kutatásáért Közalapítványtól támogatás</t>
  </si>
  <si>
    <t>016020</t>
  </si>
  <si>
    <t>Országos és helyi népszavazással kapcsol tev.</t>
  </si>
  <si>
    <t>016010</t>
  </si>
  <si>
    <t>Országgyűlési Önkormányzat és Európa Parlamenti képviselő választással kapcsolatos tevékenység</t>
  </si>
  <si>
    <t>Széles csapás út 460/158 hrsz-ú ingatlan vízellátása, -oltó, szennyvízelvezetése</t>
  </si>
  <si>
    <t xml:space="preserve">Vaszary Villa hulladékgyűjtő beszerzése + (melléképület terv ktg. , kutyakenel és kutyaház - egyéb berendezés, és kisértékű tárgyi eszközök) </t>
  </si>
  <si>
    <t>Feliratos üvegkocka</t>
  </si>
  <si>
    <t xml:space="preserve">Bacsó B. u. 66. hálózat felújítás </t>
  </si>
  <si>
    <t>Fényes-fürdőn lévő üdülők vizesblokkjának felújítás</t>
  </si>
  <si>
    <t xml:space="preserve">Bercsényi u. 1-ben hulladékgyűjtő beszerzése </t>
  </si>
  <si>
    <t>Üveg buszváró "- utasváró fülke-" tervdokumentációja</t>
  </si>
  <si>
    <t>Valasek Ferenc emléktábla készítés - Általános tartalékból</t>
  </si>
  <si>
    <t xml:space="preserve">Tatai 2542/1 hrsz-ú ingatlanból 266 m2 térmértékű területrész vásárlása csere útján </t>
  </si>
  <si>
    <t>József Attila u. 67. szám előtti járda felújítása - Általános tartalékból</t>
  </si>
  <si>
    <t>Kazincbarcikai utcai játszótér felújítása - Általános tartalékból</t>
  </si>
  <si>
    <t xml:space="preserve">Egészségügyi alapellátási feladatokra </t>
  </si>
  <si>
    <t xml:space="preserve">Esterházy Enekegyüttes részére Operaház belépőjegyekre </t>
  </si>
  <si>
    <t>Visszatérítendő támogatások</t>
  </si>
  <si>
    <t xml:space="preserve">Visszatérítendő támogatások </t>
  </si>
  <si>
    <t>Iparűzési adó bevételből</t>
  </si>
  <si>
    <t xml:space="preserve">Működési bevételből </t>
  </si>
  <si>
    <t>Működési bevételből</t>
  </si>
  <si>
    <t>Iparűzési adóból</t>
  </si>
  <si>
    <t xml:space="preserve">Visszatérítendő támogatás </t>
  </si>
  <si>
    <t>Egyéb közhatalmi bevételek</t>
  </si>
  <si>
    <t>Fényes fürdőn hivatali üdülőbe konyhai felszerelés, tűzhely, függöny</t>
  </si>
  <si>
    <t>Tárgyi eszköz beszerzés: a Tatai Közös Önkormányzati Hivatal dísztermébe székek, a Fischer-házba függöny és egyéb, valamint gondnoksági beszerzések</t>
  </si>
  <si>
    <t>Mód.(II.22)</t>
  </si>
  <si>
    <t>Mód.(II.22.)</t>
  </si>
  <si>
    <t>Mód.(II.22.)
Összeg</t>
  </si>
  <si>
    <t>Intézmények Gazdasági Hivatalához tartozó önállóan működő intézmények 2016. évi költségvetése</t>
  </si>
  <si>
    <t>Kamat</t>
  </si>
  <si>
    <t>II.hó</t>
  </si>
  <si>
    <t>Rákóczi Szövetségnek</t>
  </si>
  <si>
    <t>Trappancs Szervátültetett Gyermekek Rehabilitációs- és Sportegyesületének</t>
  </si>
  <si>
    <t>Bursa Hungarica ösztöndíj visszautalt összege</t>
  </si>
  <si>
    <t>Tatai Időskorúak Otthonától és a Szociális Alapellátó Intézménytől szociális ágazati pótlék visszafizetésére</t>
  </si>
  <si>
    <t>Önkormányzati támogatás visszafizetése Tatai Kistérségi Többcélú Társulástól</t>
  </si>
  <si>
    <t>Tatai Sporthorgász és Környezetvédő Egyesületnek</t>
  </si>
  <si>
    <r>
      <rPr>
        <b/>
        <sz val="10"/>
        <rFont val="Times New Roman"/>
        <family val="1"/>
      </rPr>
      <t xml:space="preserve">Tata Város Önkormányzata </t>
    </r>
    <r>
      <rPr>
        <sz val="10"/>
        <rFont val="Times New Roman"/>
        <family val="1"/>
      </rPr>
      <t>- választott tisztségviselő</t>
    </r>
  </si>
  <si>
    <t>Módosítás</t>
  </si>
  <si>
    <r>
      <t>(-</t>
    </r>
    <r>
      <rPr>
        <sz val="12"/>
        <color rgb="FFFF0000"/>
        <rFont val="Calibri"/>
        <family val="2"/>
        <scheme val="minor"/>
      </rPr>
      <t>655</t>
    </r>
    <r>
      <rPr>
        <sz val="12"/>
        <color theme="1"/>
        <rFont val="Calibri"/>
        <family val="2"/>
        <scheme val="minor"/>
      </rPr>
      <t>-8787-2408)</t>
    </r>
  </si>
  <si>
    <r>
      <t>(</t>
    </r>
    <r>
      <rPr>
        <sz val="12"/>
        <color rgb="FF00B050"/>
        <rFont val="Calibri"/>
        <family val="2"/>
        <scheme val="minor"/>
      </rPr>
      <t>-15111-347</t>
    </r>
    <r>
      <rPr>
        <sz val="12"/>
        <color theme="1"/>
        <rFont val="Calibri"/>
        <family val="2"/>
        <scheme val="minor"/>
      </rPr>
      <t>)</t>
    </r>
  </si>
  <si>
    <r>
      <t>(</t>
    </r>
    <r>
      <rPr>
        <sz val="12"/>
        <color rgb="FFFF0000"/>
        <rFont val="Calibri"/>
        <family val="2"/>
        <scheme val="minor"/>
      </rPr>
      <t>-331</t>
    </r>
    <r>
      <rPr>
        <sz val="12"/>
        <color rgb="FF00B050"/>
        <rFont val="Calibri"/>
        <family val="2"/>
        <scheme val="minor"/>
      </rPr>
      <t>-77-381)</t>
    </r>
  </si>
  <si>
    <t>Tatai  15235/5 és 15235/6 hrsz-ú ingatlanok megvásárlása 431/2016.(XI.30.) Tata Kt. határozat</t>
  </si>
  <si>
    <t>Tatai 15325/1 hrsz-ú ingatlan megvásárlása 480/2016. (XII.15.) Tata Kt. határozat</t>
  </si>
  <si>
    <t>Hálózati csatlakozási szerződés 451/2016. (XII.15.) Tata Kt. Határozat</t>
  </si>
  <si>
    <t>Közvilágítási lámpatestek beszerzése a Fényes-fürdő területére</t>
  </si>
  <si>
    <t>Labdarugó pálya mögötti kerítés építése</t>
  </si>
  <si>
    <t>Kocsi u. gyalogos átkelőhely tervének elkészítése, kijelölési, közvilágítási terve</t>
  </si>
  <si>
    <t>Közvilágítás korszerűsítése (Deák F. utca Baji út)</t>
  </si>
  <si>
    <t xml:space="preserve">Remeteség 12 db lámpatest beszerzése </t>
  </si>
  <si>
    <t xml:space="preserve">Kocsi u. Arany J. u. csomópont csapadékvíz elvezetése </t>
  </si>
  <si>
    <r>
      <t>(</t>
    </r>
    <r>
      <rPr>
        <sz val="10"/>
        <color rgb="FFFF0000"/>
        <rFont val="Arial CE"/>
        <family val="2"/>
      </rPr>
      <t>-6518</t>
    </r>
    <r>
      <rPr>
        <sz val="10"/>
        <color rgb="FF00B050"/>
        <rFont val="Arial CE"/>
        <family val="2"/>
      </rPr>
      <t>-390</t>
    </r>
    <r>
      <rPr>
        <sz val="10"/>
        <rFont val="Arial CE"/>
        <family val="2"/>
      </rPr>
      <t>)</t>
    </r>
  </si>
  <si>
    <t>Régi rendelő intézet orvosi szobájának felújítása</t>
  </si>
  <si>
    <t>Fekete u. Arany J. u. csapadékvíz elvezetés felújítása</t>
  </si>
  <si>
    <t>teljesítés</t>
  </si>
  <si>
    <t>előir</t>
  </si>
  <si>
    <t>Teljesítés</t>
  </si>
  <si>
    <t>Mód. (II.22.)</t>
  </si>
  <si>
    <t>eltérés</t>
  </si>
  <si>
    <t>Zöldterület kezelés (parkfenntartás és környezetvédelem)</t>
  </si>
  <si>
    <t>Megneve-zés</t>
  </si>
  <si>
    <t>Átvett felhal-mozási célra</t>
  </si>
  <si>
    <t>Előző évi átvétele</t>
  </si>
  <si>
    <t>Iskolai konyhákba konyhai eszköz beszerzés</t>
  </si>
  <si>
    <t>Iskolai konyhákban végzett felújítás</t>
  </si>
  <si>
    <t>2016. évi Módosított előirányzat (augusztus)              E Ft-ban</t>
  </si>
  <si>
    <t>2016. évi Módosított előirányzat (2017. február)              E Ft-ban</t>
  </si>
  <si>
    <t>Ipari park villamosenergia kapacitásbővitésének támogatása</t>
  </si>
  <si>
    <r>
      <t>Előirányzat</t>
    </r>
    <r>
      <rPr>
        <b/>
        <sz val="10"/>
        <rFont val="Times New Roman CE"/>
        <family val="1"/>
      </rPr>
      <t xml:space="preserve">           </t>
    </r>
    <r>
      <rPr>
        <b/>
        <sz val="10"/>
        <color indexed="10"/>
        <rFont val="Times New Roman CE"/>
        <family val="2"/>
      </rPr>
      <t>Ft-ban</t>
    </r>
  </si>
  <si>
    <r>
      <t xml:space="preserve">Óvodaped.munkáját ktlenül segítő, ped.szakképzettséggel </t>
    </r>
    <r>
      <rPr>
        <b/>
        <u val="single"/>
        <sz val="10"/>
        <rFont val="Times New Roman CE"/>
        <family val="2"/>
      </rPr>
      <t>rendelkezők</t>
    </r>
    <r>
      <rPr>
        <sz val="10"/>
        <rFont val="Times New Roman CE"/>
        <family val="2"/>
      </rPr>
      <t xml:space="preserve">  bértámogatása - </t>
    </r>
    <r>
      <rPr>
        <b/>
        <u val="single"/>
        <sz val="10"/>
        <rFont val="Times New Roman CE"/>
        <family val="2"/>
      </rPr>
      <t>8 hónapra</t>
    </r>
    <r>
      <rPr>
        <sz val="10"/>
        <rFont val="Times New Roman CE"/>
        <family val="2"/>
      </rPr>
      <t xml:space="preserve"> </t>
    </r>
  </si>
  <si>
    <r>
      <t xml:space="preserve">Óvodaped.munkáját ktlenül segítő, ped.szakképzettséggel </t>
    </r>
    <r>
      <rPr>
        <b/>
        <u val="single"/>
        <sz val="10"/>
        <rFont val="Times New Roman CE"/>
        <family val="2"/>
      </rPr>
      <t>rendelkezők</t>
    </r>
    <r>
      <rPr>
        <sz val="10"/>
        <rFont val="Times New Roman CE"/>
        <family val="2"/>
      </rPr>
      <t xml:space="preserve">  bértámogatása - </t>
    </r>
    <r>
      <rPr>
        <b/>
        <u val="single"/>
        <sz val="10"/>
        <rFont val="Times New Roman CE"/>
        <family val="2"/>
      </rPr>
      <t xml:space="preserve">4 hónapra </t>
    </r>
  </si>
  <si>
    <r>
      <t xml:space="preserve">Óvodaped.munkáját ktlenül segítő, ped.szakképzettséggel </t>
    </r>
    <r>
      <rPr>
        <b/>
        <u val="single"/>
        <sz val="10"/>
        <rFont val="Times New Roman CE"/>
        <family val="2"/>
      </rPr>
      <t>rendelkezők</t>
    </r>
    <r>
      <rPr>
        <sz val="10"/>
        <rFont val="Times New Roman CE"/>
        <family val="2"/>
      </rPr>
      <t xml:space="preserve">  bértámogatása - </t>
    </r>
    <r>
      <rPr>
        <b/>
        <u val="single"/>
        <sz val="10"/>
        <rFont val="Times New Roman CE"/>
        <family val="2"/>
      </rPr>
      <t>pótlólagos összege</t>
    </r>
  </si>
  <si>
    <r>
      <t xml:space="preserve">Önkormányzat elvárt bevétele: </t>
    </r>
    <r>
      <rPr>
        <b/>
        <sz val="10"/>
        <rFont val="Times New Roman CE"/>
        <family val="2"/>
      </rPr>
      <t xml:space="preserve">2014.évi </t>
    </r>
    <r>
      <rPr>
        <sz val="10"/>
        <rFont val="Times New Roman CE"/>
        <family val="2"/>
      </rPr>
      <t>iparűzési adóalap 0,55 %-a</t>
    </r>
  </si>
  <si>
    <r>
      <t xml:space="preserve">Támogatás csökkentés a következő </t>
    </r>
    <r>
      <rPr>
        <b/>
        <sz val="10"/>
        <rFont val="Times New Roman CE"/>
        <family val="2"/>
      </rPr>
      <t>sorrend szerint</t>
    </r>
    <r>
      <rPr>
        <sz val="10"/>
        <rFont val="Times New Roman CE"/>
        <family val="2"/>
      </rPr>
      <t xml:space="preserve"> I.1.c), I.1.d), I.1.e), I.1.ba),  I.1.bb),  I.1.bc),  I.1.bd),  I.1.a) támogatás összegéig terheli az önkormányzatot.</t>
    </r>
  </si>
  <si>
    <t>2016. Eredeti előirányzat          E Ft-ban</t>
  </si>
  <si>
    <t>Átvett műkö-dési célra</t>
  </si>
  <si>
    <t>Támogatás értékű működési célra</t>
  </si>
  <si>
    <t>Támo-gatás-értékű felhal-mozási célra</t>
  </si>
  <si>
    <t>Mód.(II.22.)
650.000 E Ft
2017.02.01-ei 3 havi BUBOR: 0,25% + 1,39% kamat</t>
  </si>
  <si>
    <t>Mód.(II.22.)
166.393 E Ft
2017.02.01-ei 3 havi BUBOR: 0,25% + 0,95% kamat</t>
  </si>
  <si>
    <t>Eredeti
mind-összesen</t>
  </si>
  <si>
    <t>Mód.(XII.14.)
mind-összesen</t>
  </si>
  <si>
    <t>Mód.(II.22.)
mind-összesen</t>
  </si>
  <si>
    <t>827+355</t>
  </si>
  <si>
    <t>698+470</t>
  </si>
  <si>
    <t>940+1406</t>
  </si>
  <si>
    <t>63+2713</t>
  </si>
  <si>
    <t>2650+5000</t>
  </si>
  <si>
    <t>Tatai 216/6, 319, 255, 320/3, 320/9 hrsz-ú ingatlanokon kiépített szenny-vízvezeték és ivóvízvezeték megvásárlása 445/2016. (XII.15.) Tata Kt. határozat</t>
  </si>
  <si>
    <t>2562+13</t>
  </si>
  <si>
    <t>Ipari parki elkerülő út - Szentgyörgypuszta között létesítendő 20 kV-os közcélú földkábel tervezése</t>
  </si>
  <si>
    <t>0+4410</t>
  </si>
  <si>
    <t>Öregvár területén, a várkút környezetében keletkezett beszakadás helyreállítása, várforrás vízelvezetésének megoldása</t>
  </si>
  <si>
    <t>0-4166</t>
  </si>
  <si>
    <t>Zöld város kialakítása Építők parkja tervezési díj TOP-2.1.2-15</t>
  </si>
  <si>
    <t>0+5246</t>
  </si>
  <si>
    <t>Baji út vízvezeték kiváltás kiviteli terve</t>
  </si>
  <si>
    <t>0+318</t>
  </si>
  <si>
    <t>Tata-Agostyán kerékpárút engedélyezési és kiviteli terve</t>
  </si>
  <si>
    <t>0+3937</t>
  </si>
  <si>
    <t>Öreg-tavi zsilipek előtti halrácsok beépítése</t>
  </si>
  <si>
    <t>0+839</t>
  </si>
  <si>
    <t>Kismosó patak mederrendezése</t>
  </si>
  <si>
    <t>0+6531</t>
  </si>
  <si>
    <t>Kopjafa villamos felújítási munkák</t>
  </si>
  <si>
    <t>0+200</t>
  </si>
  <si>
    <t>Pénzfor-galom nélküli</t>
  </si>
  <si>
    <t>Kártérí-tések</t>
  </si>
  <si>
    <t>Egyéb külön-féle műkö-dési bevétel</t>
  </si>
  <si>
    <t>Közve-tített szol-gáltatás</t>
  </si>
  <si>
    <t xml:space="preserve">Hajdú u. 1. bérlakáshoz fáskamra felépítmény készítése </t>
  </si>
  <si>
    <t>Jávorka Sándor Szakiskola kerítés helyreállítása</t>
  </si>
  <si>
    <t>1. Az 1. mellékletet módosította a 12/2016.(IV.28.) önkormányzati rendelet 2. §-a Hatályos: 2016. május 1. napjától</t>
  </si>
  <si>
    <t>2. Az 1. mellékletet módosította a 19/2016.(IX.30.) önkormányzati rendelet 2. §-a Hatályos: 2016. október 4. napjától</t>
  </si>
  <si>
    <t>3. Az 1. mellékletet módosította a 25/2016.(XII.16.) önkormányzati rendelet 2. §-a Hatályos: 2016. december 20. napjától</t>
  </si>
  <si>
    <t>1. A 2. mellékletet módosította a 12/2016.(IV.28.) önkormányzati rendelet 2. §-a Hatályos: 2016. május 1. napjától</t>
  </si>
  <si>
    <t>2. A 2. mellékletet módosította a 19/2016.(IX.30.) önkormányzati rendelet 2. §-a Hatályos: 2016. október 4. napjától</t>
  </si>
  <si>
    <t>3. A 2. mellékletet módosította a 25/2016.(XII.16.) önkormányzati rendelet 2. §-a Hatályos: 2016. december 20. napjától</t>
  </si>
  <si>
    <t>4. A 2. mellékletet módosította a 1/2017.(II.24.) önkormányzati rendelet 2. §-a Hatályos: 2017. március  1. napjától</t>
  </si>
  <si>
    <t>4. Az 1. mellékletet módosította a 1/2017.(II.24.) önkormányzati rendelet 2. §-a Hatályos: 2017. március  1. napjától</t>
  </si>
  <si>
    <t>1. A 3. mellékletet módosította a 12/2016.(IV.28.) önkormányzati rendelet 2. §-a Hatályos: 2016. május 1. napjától</t>
  </si>
  <si>
    <t>2. A 3. mellékletet módosította a 19/2016.(IX.30.) önkormányzati rendelet 2. §-a Hatályos: 2016. október 4. napjától</t>
  </si>
  <si>
    <t>3. A 3. mellékletet módosította a 25/2016.(XII.16.) önkormányzati rendelet 2. §-a Hatályos: 2016. december 20. napjától</t>
  </si>
  <si>
    <t>4. A 3. mellékletet módosította a 1/2017.(II.24.) önkormányzati rendelet 2. §-a Hatályos: 2017. március  1. napjától</t>
  </si>
  <si>
    <t>1. A 4. mellékletet módosította a 12/2016.(IV.28.) önkormányzati rendelet 2. §-a Hatályos: 2016. május 1. napjától</t>
  </si>
  <si>
    <t>2. A 4. mellékletet módosította a 19/2016.(IX.30.) önkormányzati rendelet 2. §-a Hatályos: 2016. október 4. napjától</t>
  </si>
  <si>
    <t>3. A 4. mellékletet módosította a 25/2016.(XII.16.) önkormányzati rendelet 2. §-a Hatályos: 2016. december 20. napjától</t>
  </si>
  <si>
    <t>4. A 4. mellékletet módosította a 1/2017.(II.24.) önkormányzati rendelet 2. §-a Hatályos: 2017. március  1. napjától</t>
  </si>
  <si>
    <t>1. Az 5. mellékletet módosította a 12/2016.(IV.28.) önkormányzati rendelet 2. §-a Hatályos: 2016. május 1. napjától</t>
  </si>
  <si>
    <t>2. Az 5. mellékletet módosította a 19/2016.(IX.30.) önkormányzati rendelet 2. §-a Hatályos: 2016. október 4. napjától</t>
  </si>
  <si>
    <t>3. Az 5. mellékletet módosította a 25/2016.(XII.16.) önkormányzati rendelet 2. §-a Hatályos: 2016. december 20. napjától</t>
  </si>
  <si>
    <t>4. Az 5. mellékletet módosította a 1/2017.(II.24.) önkormányzati rendelet 2. §-a Hatályos: 2017. március  1. napjától</t>
  </si>
  <si>
    <t>1. A 6. mellékletet módosította a 12/2016.(IV.28.) önkormányzati rendelet 2. §-a Hatályos: 2016. május 1. napjától</t>
  </si>
  <si>
    <t>2. A 6. mellékletet módosította a 19/2016.(IX.30.) önkormányzati rendelet 2. §-a Hatályos: 2016. október 4. napjától</t>
  </si>
  <si>
    <t>3. A 6. mellékletet módosította a 25/2016.(XII.16.) önkormányzati rendelet 2. §-a Hatályos: 2016. december 20. napjától</t>
  </si>
  <si>
    <t>4. A 6. mellékletet módosította a 1/2017.(II.24.) önkormányzati rendelet 2. §-a Hatályos: 2017. március  1. napjától</t>
  </si>
  <si>
    <t>1. A 7. mellékletet módosította a 12/2016.(IV.28.) önkormányzati rendelet 2. §-a Hatályos: 2016. május 1. napjától</t>
  </si>
  <si>
    <t>2. A 7. mellékletet módosította a 19/2016.(IX.30.) önkormányzati rendelet 2. §-a Hatályos: 2016. október 4. napjától</t>
  </si>
  <si>
    <t>3. A 7. mellékletet módosította a 25/2016.(XII.16.) önkormányzati rendelet 2. §-a Hatályos: 2016. december 20. napjától</t>
  </si>
  <si>
    <t>4. A 7. mellékletet módosította a 1/2017.(II.24.) önkormányzati rendelet 2. §-a Hatályos: 2017. március  1. napjától</t>
  </si>
  <si>
    <t>1. A 8. mellékletet módosította a 12/2016.(IV.28.) önkormányzati rendelet 2. §-a Hatályos: 2016. május 1. napjától</t>
  </si>
  <si>
    <t>2. A 8. mellékletet módosította a 19/2016.(IX.30.) önkormányzati rendelet 2. §-a Hatályos: 2016. október 4. napjától</t>
  </si>
  <si>
    <t>3. A 8. mellékletet módosította a 25/2016.(XII.16.) önkormányzati rendelet 2. §-a Hatályos: 2016. december 20. napjától</t>
  </si>
  <si>
    <t>4. A 8. mellékletet módosította a 1/2017.(II.24.) önkormányzati rendelet 2. §-a Hatályos: 2017. március  1. napjától</t>
  </si>
  <si>
    <t>1. A 9. mellékletet módosította a 12/2016.(IV.28.) önkormányzati rendelet 2. §-a Hatályos: 2016. május 1. napjától</t>
  </si>
  <si>
    <t>2. A 9. mellékletet módosította a 19/2016.(IX.30.) önkormányzati rendelet 2. §-a Hatályos: 2016. október 4. napjától</t>
  </si>
  <si>
    <t>3. A 9. mellékletet módosította a 25/2016.(XII.16.) önkormányzati rendelet 2. §-a Hatályos: 2016. december 20. napjától</t>
  </si>
  <si>
    <t>4. A 9. mellékletet módosította a 1/2017.(II.24.) önkormányzati rendelet 2. §-a Hatályos: 2017. március  1. napjától</t>
  </si>
  <si>
    <t>1. A 10. mellékletet módosította a 12/2016.(IV.28.) önkormányzati rendelet 2. §-a Hatályos: 2016. május 1. napjától</t>
  </si>
  <si>
    <t>2. A 10. mellékletet módosította a 19/2016.(IX.30.) önkormányzati rendelet 2. §-a Hatályos: 2016. október 4. napjától</t>
  </si>
  <si>
    <t>3. A 10. mellékletet módosította a 25/2016.(XII.16.) önkormányzati rendelet 2. §-a Hatályos: 2016. december 20. napjától</t>
  </si>
  <si>
    <t>4. A 10. mellékletet módosította a 1/2017.(II.24.) önkormányzati rendelet 2. §-a Hatályos: 2017. március  1. napjától</t>
  </si>
  <si>
    <t>1. A 11. mellékletet módosította a 12/2016.(IV.28.) önkormányzati rendelet 2. §-a Hatályos: 2016. május 1. napjától</t>
  </si>
  <si>
    <t>2. A 11. mellékletet módosította a 19/2016.(IX.30.) önkormányzati rendelet 2. §-a Hatályos: 2016. október 4. napjától</t>
  </si>
  <si>
    <t>3. A 11. mellékletet módosította a 25/2016.(XII.16.) önkormányzati rendelet 2. §-a Hatályos: 2016. december 20. napjától</t>
  </si>
  <si>
    <t>4. A 11. mellékletet módosította a 1/2017.(II.24.) önkormányzati rendelet 2. §-a Hatályos: 2017. március  1. napjától</t>
  </si>
  <si>
    <t>1. A 12. mellékletet módosította a 12/2016.(IV.28.) önkormányzati rendelet 2. §-a Hatályos: 2016. május 1. napjától</t>
  </si>
  <si>
    <t>2. A 12. mellékletet módosította a 19/2016.(IX.30.) önkormányzati rendelet 2. §-a Hatályos: 2016. október 4. napjától</t>
  </si>
  <si>
    <t>3. A 12. mellékletet módosította a 25/2016.(XII.16.) önkormányzati rendelet 2. §-a Hatályos: 2016. december 20. napjától</t>
  </si>
  <si>
    <t>4. A 12. mellékletet módosította a 1/2017.(II.24.) önkormányzati rendelet 2. §-a Hatályos: 2017. március  1. napjától</t>
  </si>
  <si>
    <t>1. A 13. mellékletet módosította a 12/2016.(IV.28.) önkormányzati rendelet 2. §-a Hatályos: 2016. május 1. napjától</t>
  </si>
  <si>
    <t>2. A 13. mellékletet módosította a 19/2016.(IX.30.) önkormányzati rendelet 2. §-a Hatályos: 2016. október 4. napjától</t>
  </si>
  <si>
    <t>3. A 13. mellékletet módosította a 25/2016.(XII.16.) önkormányzati rendelet 2. §-a Hatályos: 2016. december 20. napjától</t>
  </si>
  <si>
    <t>4. A 13. mellékletet módosította a 1/2017.(II.24.) önkormányzati rendelet 2. §-a Hatályos: 2017. március  1. napjától</t>
  </si>
  <si>
    <t>1. A 14. mellékletet módosította a 12/2016.(IV.28.) önkormányzati rendelet 2. §-a Hatályos: 2016. május 1. napjától</t>
  </si>
  <si>
    <t>2. A 14. mellékletet módosította a 19/2016.(IX.30.) önkormányzati rendelet 2. §-a Hatályos: 2016. október 4. napjától</t>
  </si>
  <si>
    <t>3. A 14. mellékletet módosította a 25/2016.(XII.16.) önkormányzati rendelet 2. §-a Hatályos: 2016. december 20. napjától</t>
  </si>
  <si>
    <t>4. A 14. mellékletet módosította a 1/2017.(II.24.) önkormányzati rendelet 2. §-a Hatályos: 2017. március  1. napjától</t>
  </si>
  <si>
    <t>1. A 15. mellékletet módosította a 12/2016.(IV.28.) önkormányzati rendelet 2. §-a Hatályos: 2016. május 1. napjától</t>
  </si>
  <si>
    <t>2. A 15. mellékletet módosította a 19/2016.(IX.30.) önkormányzati rendelet 2. §-a Hatályos: 2016. október 4. napjától</t>
  </si>
  <si>
    <t>3. A 15. mellékletet módosította a 25/2016.(XII.16.) önkormányzati rendelet 2. §-a Hatályos: 2016. december 20. napjától</t>
  </si>
  <si>
    <t>4. A 15. mellékletet módosította a 1/2017.(II.24.) önkormányzati rendelet 2. §-a Hatályos: 2017. március  1. napjától</t>
  </si>
  <si>
    <t>1. A 16. mellékletet módosította a 12/2016.(IV.28.) önkormányzati rendelet 2. §-a Hatályos: 2016. május 1. napjától</t>
  </si>
  <si>
    <t>2. A 16. mellékletet módosította a 19/2016.(IX.30.) önkormányzati rendelet 2. §-a Hatályos: 2016. október 4. napjától</t>
  </si>
  <si>
    <t>3. A 16. mellékletet módosította a 25/2016.(XII.16.) önkormányzati rendelet 2. §-a Hatályos: 2016. december 20. napjától</t>
  </si>
  <si>
    <t>4. A 16. mellékletet módosította a 1/2017.(II.24.) önkormányzati rendelet 2. §-a Hatályos: 2017. március  1. napjától</t>
  </si>
  <si>
    <t>1. A 17. mellékletet módosította a 12/2016.(IV.28.) önkormányzati rendelet 2. §-a Hatályos: 2016. május 1. napjától</t>
  </si>
  <si>
    <t>2. A 17. mellékletet módosította a 19/2016.(IX.30.) önkormányzati rendelet 2. §-a Hatályos: 2016. október 4. napjától</t>
  </si>
  <si>
    <t>3. A 17. mellékletet módosította a 25/2016.(XII.16.) önkormányzati rendelet 2. §-a Hatályos: 2016. december 20. napjától</t>
  </si>
  <si>
    <t>4. A 17. mellékletet módosította a 1/2017.(II.24.) önkormányzati rendelet 2. §-a Hatályos: 2017. március  1. napjától</t>
  </si>
  <si>
    <t>1. A 18. mellékletet módosította a 12/2016.(IV.28.) önkormányzati rendelet 2. §-a Hatályos: 2016. május 1. napjától</t>
  </si>
  <si>
    <t>2. A 18. mellékletet módosította a 19/2016.(IX.30.) önkormányzati rendelet 2. §-a Hatályos: 2016. október 4. napjától</t>
  </si>
  <si>
    <t>3. A 18.  mellékletet módosította a 25/2016.(XII.16.) önkormányzati rendelet 2. §-a Hatályos: 2016. december 20. napjától</t>
  </si>
  <si>
    <t>4. A 18. mellékletet módosította a 1/2017.(II.24.) önkormányzati rendelet 2. §-a Hatályos: 2017. március  1. napjától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</si>
</sst>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;\-#,##0"/>
    <numFmt numFmtId="165" formatCode="0.0"/>
    <numFmt numFmtId="166" formatCode="#,##0.0"/>
    <numFmt numFmtId="167" formatCode="yyyy\-mm\-dd"/>
    <numFmt numFmtId="168" formatCode="[$-40E]General"/>
    <numFmt numFmtId="169" formatCode="[$-40E]#,##0"/>
    <numFmt numFmtId="170" formatCode="yyyy/mm/dd;@"/>
  </numFmts>
  <fonts count="103">
    <font>
      <sz val="10"/>
      <name val="Arial CE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i/>
      <sz val="10"/>
      <name val="Times New Roman"/>
      <family val="1"/>
    </font>
    <font>
      <sz val="12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i/>
      <sz val="11"/>
      <name val="Times New Roman"/>
      <family val="1"/>
    </font>
    <font>
      <i/>
      <sz val="11"/>
      <name val="Times New Roman CE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 CE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b/>
      <u val="single"/>
      <sz val="10"/>
      <name val="Times New Roman"/>
      <family val="1"/>
    </font>
    <font>
      <b/>
      <u val="single"/>
      <sz val="10"/>
      <name val="Arial"/>
      <family val="2"/>
    </font>
    <font>
      <b/>
      <sz val="10"/>
      <name val="Arial CE"/>
      <family val="2"/>
    </font>
    <font>
      <b/>
      <u val="single"/>
      <sz val="10"/>
      <name val="Times New Roman CE"/>
      <family val="1"/>
    </font>
    <font>
      <sz val="12"/>
      <name val="Times New Roman"/>
      <family val="1"/>
    </font>
    <font>
      <sz val="12"/>
      <name val="Arial"/>
      <family val="2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1"/>
      <name val="Times New Roman"/>
      <family val="1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0"/>
      <name val="Times New Roman CE"/>
      <family val="2"/>
    </font>
    <font>
      <sz val="11"/>
      <color theme="1"/>
      <name val="Arial"/>
      <family val="2"/>
    </font>
    <font>
      <sz val="10"/>
      <color theme="1"/>
      <name val="Arial CE"/>
      <family val="2"/>
    </font>
    <font>
      <b/>
      <sz val="12"/>
      <color theme="1"/>
      <name val="Times New Roman"/>
      <family val="1"/>
    </font>
    <font>
      <sz val="18"/>
      <color rgb="FF000000"/>
      <name val="Times New Roman"/>
      <family val="1"/>
    </font>
    <font>
      <b/>
      <sz val="18"/>
      <color rgb="FF000000"/>
      <name val="Times New Roman"/>
      <family val="1"/>
    </font>
    <font>
      <sz val="16"/>
      <color rgb="FF000000"/>
      <name val="Times New Roman"/>
      <family val="1"/>
    </font>
    <font>
      <b/>
      <sz val="22"/>
      <color rgb="FF000000"/>
      <name val="Times New Roman"/>
      <family val="1"/>
    </font>
    <font>
      <b/>
      <sz val="16"/>
      <color rgb="FF000000"/>
      <name val="Times New Roman"/>
      <family val="1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name val="Times New Roman"/>
      <family val="1"/>
    </font>
    <font>
      <sz val="12"/>
      <name val="Arial CE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Times New Roman CE"/>
      <family val="1"/>
    </font>
    <font>
      <sz val="18"/>
      <color indexed="8"/>
      <name val="Calibri"/>
      <family val="2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B050"/>
      <name val="Calibri"/>
      <family val="2"/>
      <scheme val="minor"/>
    </font>
    <font>
      <sz val="10"/>
      <color rgb="FFFF0000"/>
      <name val="Arial CE"/>
      <family val="2"/>
    </font>
    <font>
      <sz val="12"/>
      <color rgb="FFFF0000"/>
      <name val="Times New Roman"/>
      <family val="1"/>
    </font>
    <font>
      <sz val="10"/>
      <color rgb="FF00B050"/>
      <name val="Arial CE"/>
      <family val="2"/>
    </font>
    <font>
      <sz val="10"/>
      <color rgb="FF7030A0"/>
      <name val="Arial CE"/>
      <family val="2"/>
    </font>
    <font>
      <sz val="12"/>
      <color rgb="FF00B050"/>
      <name val="Times New Roman"/>
      <family val="1"/>
    </font>
    <font>
      <sz val="20"/>
      <color rgb="FFFF0000"/>
      <name val="Arial CE"/>
      <family val="2"/>
    </font>
    <font>
      <sz val="18"/>
      <color rgb="FF000000"/>
      <name val="Calibri"/>
      <family val="2"/>
    </font>
    <font>
      <sz val="18"/>
      <name val="Times New Roman"/>
      <family val="1"/>
    </font>
    <font>
      <sz val="18"/>
      <color rgb="FFFF0000"/>
      <name val="Times New Roman"/>
      <family val="1"/>
    </font>
    <font>
      <b/>
      <sz val="18"/>
      <name val="Times New Roman"/>
      <family val="1"/>
    </font>
    <font>
      <b/>
      <sz val="7"/>
      <name val="Times New Roman"/>
      <family val="1"/>
    </font>
    <font>
      <b/>
      <sz val="10"/>
      <color indexed="10"/>
      <name val="Times New Roman CE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Arial"/>
      <family val="2"/>
    </font>
    <font>
      <b/>
      <sz val="10"/>
      <color theme="1"/>
      <name val="Times New Roman"/>
      <family val="1"/>
    </font>
    <font>
      <b/>
      <sz val="16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</fills>
  <borders count="1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/>
      <bottom style="thin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/>
      <top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/>
      <right style="medium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/>
      <right style="thin"/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/>
      <bottom style="thin">
        <color indexed="8"/>
      </bottom>
    </border>
    <border>
      <left/>
      <right/>
      <top style="medium">
        <color indexed="8"/>
      </top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double"/>
      <right style="medium"/>
      <top style="double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double"/>
      <top style="double"/>
      <bottom style="thin"/>
    </border>
    <border>
      <left style="double"/>
      <right/>
      <top style="double"/>
      <bottom style="thin"/>
    </border>
    <border>
      <left style="double"/>
      <right style="medium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 style="thin"/>
    </border>
    <border>
      <left style="double"/>
      <right style="medium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double"/>
      <right style="medium"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/>
      <right/>
      <top/>
      <bottom style="double"/>
    </border>
    <border>
      <left style="thin"/>
      <right style="double"/>
      <top style="thin"/>
      <bottom/>
    </border>
    <border>
      <left style="double"/>
      <right/>
      <top/>
      <bottom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 style="double"/>
      <top style="thin"/>
      <bottom style="double"/>
    </border>
    <border>
      <left style="double"/>
      <right/>
      <top style="thin"/>
      <bottom style="double"/>
    </border>
    <border>
      <left style="medium"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/>
      <right style="thin">
        <color indexed="8"/>
      </right>
      <top style="medium"/>
      <bottom/>
    </border>
    <border>
      <left/>
      <right style="thin">
        <color indexed="8"/>
      </right>
      <top style="medium">
        <color indexed="8"/>
      </top>
      <bottom/>
    </border>
    <border>
      <left style="medium"/>
      <right/>
      <top style="medium"/>
      <bottom/>
    </border>
    <border>
      <left style="medium"/>
      <right/>
      <top style="medium">
        <color indexed="8"/>
      </top>
      <bottom/>
    </border>
    <border>
      <left style="medium">
        <color indexed="8"/>
      </left>
      <right/>
      <top style="medium"/>
      <bottom/>
    </border>
    <border>
      <left style="medium"/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 style="thin"/>
      <bottom/>
    </border>
    <border>
      <left style="thin"/>
      <right style="thin"/>
      <top style="double"/>
      <bottom/>
    </border>
    <border>
      <left style="double"/>
      <right style="medium"/>
      <top style="double"/>
      <bottom/>
    </border>
    <border>
      <left style="double"/>
      <right style="medium"/>
      <top/>
      <bottom/>
    </border>
    <border>
      <left/>
      <right style="thin"/>
      <top style="double"/>
      <bottom/>
    </border>
    <border>
      <left/>
      <right style="thin"/>
      <top/>
      <bottom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8" fillId="20" borderId="8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56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168" fontId="60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8" fontId="57" fillId="0" borderId="0">
      <alignment/>
      <protection/>
    </xf>
    <xf numFmtId="0" fontId="100" fillId="0" borderId="0">
      <alignment/>
      <protection/>
    </xf>
  </cellStyleXfs>
  <cellXfs count="1209">
    <xf numFmtId="0" fontId="0" fillId="0" borderId="0" xfId="0"/>
    <xf numFmtId="0" fontId="22" fillId="0" borderId="0" xfId="0" applyFont="1"/>
    <xf numFmtId="3" fontId="22" fillId="0" borderId="0" xfId="0" applyNumberFormat="1" applyFont="1"/>
    <xf numFmtId="0" fontId="23" fillId="0" borderId="0" xfId="0" applyFont="1"/>
    <xf numFmtId="3" fontId="23" fillId="0" borderId="10" xfId="0" applyNumberFormat="1" applyFont="1" applyBorder="1" applyAlignment="1">
      <alignment/>
    </xf>
    <xf numFmtId="3" fontId="23" fillId="0" borderId="10" xfId="0" applyNumberFormat="1" applyFont="1" applyBorder="1"/>
    <xf numFmtId="0" fontId="22" fillId="0" borderId="10" xfId="0" applyFont="1" applyBorder="1"/>
    <xf numFmtId="0" fontId="29" fillId="0" borderId="0" xfId="65" applyFont="1" applyAlignment="1">
      <alignment wrapText="1"/>
      <protection/>
    </xf>
    <xf numFmtId="0" fontId="29" fillId="0" borderId="0" xfId="65" applyFont="1">
      <alignment/>
      <protection/>
    </xf>
    <xf numFmtId="0" fontId="22" fillId="0" borderId="0" xfId="65" applyFont="1">
      <alignment/>
      <protection/>
    </xf>
    <xf numFmtId="0" fontId="23" fillId="0" borderId="0" xfId="65" applyFont="1">
      <alignment/>
      <protection/>
    </xf>
    <xf numFmtId="0" fontId="22" fillId="0" borderId="0" xfId="65" applyFont="1" applyBorder="1">
      <alignment/>
      <protection/>
    </xf>
    <xf numFmtId="3" fontId="27" fillId="0" borderId="11" xfId="65" applyNumberFormat="1" applyFont="1" applyBorder="1">
      <alignment/>
      <protection/>
    </xf>
    <xf numFmtId="3" fontId="27" fillId="0" borderId="12" xfId="65" applyNumberFormat="1" applyFont="1" applyBorder="1">
      <alignment/>
      <protection/>
    </xf>
    <xf numFmtId="0" fontId="29" fillId="0" borderId="0" xfId="69" applyFont="1" applyAlignment="1">
      <alignment wrapText="1"/>
      <protection/>
    </xf>
    <xf numFmtId="0" fontId="29" fillId="0" borderId="0" xfId="69" applyFont="1">
      <alignment/>
      <protection/>
    </xf>
    <xf numFmtId="0" fontId="29" fillId="0" borderId="0" xfId="65" applyFont="1" applyBorder="1">
      <alignment/>
      <protection/>
    </xf>
    <xf numFmtId="0" fontId="27" fillId="0" borderId="0" xfId="65" applyFont="1" applyAlignment="1">
      <alignment horizontal="center" wrapText="1"/>
      <protection/>
    </xf>
    <xf numFmtId="49" fontId="27" fillId="0" borderId="13" xfId="65" applyNumberFormat="1" applyFont="1" applyBorder="1" applyAlignment="1">
      <alignment wrapText="1"/>
      <protection/>
    </xf>
    <xf numFmtId="3" fontId="27" fillId="0" borderId="14" xfId="65" applyNumberFormat="1" applyFont="1" applyBorder="1">
      <alignment/>
      <protection/>
    </xf>
    <xf numFmtId="0" fontId="27" fillId="0" borderId="15" xfId="65" applyFont="1" applyBorder="1" applyAlignment="1">
      <alignment wrapText="1"/>
      <protection/>
    </xf>
    <xf numFmtId="49" fontId="29" fillId="0" borderId="13" xfId="65" applyNumberFormat="1" applyFont="1" applyBorder="1" applyAlignment="1">
      <alignment wrapText="1"/>
      <protection/>
    </xf>
    <xf numFmtId="0" fontId="27" fillId="0" borderId="16" xfId="65" applyFont="1" applyBorder="1" applyAlignment="1">
      <alignment wrapText="1"/>
      <protection/>
    </xf>
    <xf numFmtId="49" fontId="27" fillId="0" borderId="17" xfId="65" applyNumberFormat="1" applyFont="1" applyBorder="1" applyAlignment="1">
      <alignment wrapText="1"/>
      <protection/>
    </xf>
    <xf numFmtId="0" fontId="27" fillId="0" borderId="18" xfId="65" applyFont="1" applyBorder="1" applyAlignment="1">
      <alignment wrapText="1"/>
      <protection/>
    </xf>
    <xf numFmtId="49" fontId="27" fillId="0" borderId="19" xfId="65" applyNumberFormat="1" applyFont="1" applyBorder="1" applyAlignment="1">
      <alignment wrapText="1"/>
      <protection/>
    </xf>
    <xf numFmtId="49" fontId="23" fillId="0" borderId="13" xfId="65" applyNumberFormat="1" applyFont="1" applyBorder="1" applyAlignment="1">
      <alignment wrapText="1"/>
      <protection/>
    </xf>
    <xf numFmtId="0" fontId="27" fillId="0" borderId="0" xfId="65" applyFont="1" applyBorder="1" applyAlignment="1">
      <alignment wrapText="1"/>
      <protection/>
    </xf>
    <xf numFmtId="0" fontId="27" fillId="0" borderId="17" xfId="65" applyFont="1" applyBorder="1" applyAlignment="1">
      <alignment wrapText="1"/>
      <protection/>
    </xf>
    <xf numFmtId="0" fontId="27" fillId="0" borderId="20" xfId="65" applyFont="1" applyBorder="1" applyAlignment="1">
      <alignment wrapText="1"/>
      <protection/>
    </xf>
    <xf numFmtId="3" fontId="27" fillId="0" borderId="21" xfId="65" applyNumberFormat="1" applyFont="1" applyBorder="1">
      <alignment/>
      <protection/>
    </xf>
    <xf numFmtId="0" fontId="27" fillId="0" borderId="22" xfId="65" applyFont="1" applyBorder="1" applyAlignment="1">
      <alignment wrapText="1"/>
      <protection/>
    </xf>
    <xf numFmtId="3" fontId="27" fillId="0" borderId="0" xfId="65" applyNumberFormat="1" applyFont="1" applyBorder="1">
      <alignment/>
      <protection/>
    </xf>
    <xf numFmtId="0" fontId="34" fillId="0" borderId="0" xfId="65" applyFont="1" applyAlignment="1">
      <alignment wrapText="1"/>
      <protection/>
    </xf>
    <xf numFmtId="3" fontId="34" fillId="0" borderId="0" xfId="65" applyNumberFormat="1" applyFont="1" applyAlignment="1">
      <alignment/>
      <protection/>
    </xf>
    <xf numFmtId="3" fontId="34" fillId="0" borderId="0" xfId="65" applyNumberFormat="1" applyFont="1">
      <alignment/>
      <protection/>
    </xf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26" fillId="0" borderId="0" xfId="0" applyFont="1"/>
    <xf numFmtId="0" fontId="26" fillId="0" borderId="0" xfId="0" applyFont="1" applyBorder="1"/>
    <xf numFmtId="0" fontId="28" fillId="0" borderId="0" xfId="0" applyFont="1" applyAlignment="1">
      <alignment horizontal="center"/>
    </xf>
    <xf numFmtId="0" fontId="26" fillId="0" borderId="23" xfId="0" applyFont="1" applyBorder="1"/>
    <xf numFmtId="0" fontId="26" fillId="0" borderId="24" xfId="0" applyFont="1" applyBorder="1"/>
    <xf numFmtId="0" fontId="26" fillId="0" borderId="25" xfId="0" applyFont="1" applyBorder="1"/>
    <xf numFmtId="0" fontId="28" fillId="0" borderId="23" xfId="0" applyFont="1" applyBorder="1"/>
    <xf numFmtId="0" fontId="28" fillId="0" borderId="0" xfId="0" applyFont="1" applyBorder="1"/>
    <xf numFmtId="0" fontId="28" fillId="0" borderId="0" xfId="0" applyFont="1"/>
    <xf numFmtId="0" fontId="40" fillId="0" borderId="23" xfId="0" applyFont="1" applyBorder="1"/>
    <xf numFmtId="0" fontId="40" fillId="0" borderId="0" xfId="0" applyFont="1" applyBorder="1"/>
    <xf numFmtId="0" fontId="40" fillId="0" borderId="0" xfId="0" applyFont="1"/>
    <xf numFmtId="0" fontId="41" fillId="0" borderId="0" xfId="0" applyFont="1" applyBorder="1"/>
    <xf numFmtId="0" fontId="41" fillId="0" borderId="0" xfId="0" applyFont="1"/>
    <xf numFmtId="3" fontId="28" fillId="0" borderId="26" xfId="0" applyNumberFormat="1" applyFont="1" applyBorder="1"/>
    <xf numFmtId="3" fontId="1" fillId="0" borderId="0" xfId="62" applyNumberFormat="1" applyFill="1">
      <alignment/>
      <protection/>
    </xf>
    <xf numFmtId="0" fontId="1" fillId="0" borderId="0" xfId="62" applyFill="1">
      <alignment/>
      <protection/>
    </xf>
    <xf numFmtId="0" fontId="44" fillId="0" borderId="0" xfId="62" applyFont="1" applyFill="1">
      <alignment/>
      <protection/>
    </xf>
    <xf numFmtId="0" fontId="49" fillId="0" borderId="0" xfId="0" applyFont="1"/>
    <xf numFmtId="49" fontId="1" fillId="0" borderId="0" xfId="62" applyNumberFormat="1">
      <alignment/>
      <protection/>
    </xf>
    <xf numFmtId="0" fontId="1" fillId="0" borderId="0" xfId="62" applyAlignment="1">
      <alignment wrapText="1"/>
      <protection/>
    </xf>
    <xf numFmtId="0" fontId="1" fillId="0" borderId="0" xfId="62">
      <alignment/>
      <protection/>
    </xf>
    <xf numFmtId="0" fontId="43" fillId="0" borderId="0" xfId="62" applyFont="1" applyBorder="1" applyAlignment="1">
      <alignment wrapText="1"/>
      <protection/>
    </xf>
    <xf numFmtId="49" fontId="1" fillId="0" borderId="0" xfId="62" applyNumberFormat="1" applyFont="1">
      <alignment/>
      <protection/>
    </xf>
    <xf numFmtId="0" fontId="43" fillId="0" borderId="27" xfId="62" applyFont="1" applyBorder="1" applyAlignment="1">
      <alignment wrapText="1"/>
      <protection/>
    </xf>
    <xf numFmtId="0" fontId="42" fillId="0" borderId="28" xfId="62" applyFont="1" applyBorder="1" applyAlignment="1">
      <alignment wrapText="1"/>
      <protection/>
    </xf>
    <xf numFmtId="0" fontId="43" fillId="0" borderId="28" xfId="62" applyFont="1" applyBorder="1" applyAlignment="1">
      <alignment wrapText="1"/>
      <protection/>
    </xf>
    <xf numFmtId="49" fontId="44" fillId="0" borderId="0" xfId="62" applyNumberFormat="1" applyFont="1">
      <alignment/>
      <protection/>
    </xf>
    <xf numFmtId="0" fontId="44" fillId="0" borderId="0" xfId="62" applyFont="1">
      <alignment/>
      <protection/>
    </xf>
    <xf numFmtId="0" fontId="1" fillId="0" borderId="0" xfId="62" applyFont="1">
      <alignment/>
      <protection/>
    </xf>
    <xf numFmtId="49" fontId="1" fillId="24" borderId="0" xfId="62" applyNumberFormat="1" applyFont="1" applyFill="1">
      <alignment/>
      <protection/>
    </xf>
    <xf numFmtId="0" fontId="42" fillId="24" borderId="28" xfId="62" applyFont="1" applyFill="1" applyBorder="1" applyAlignment="1">
      <alignment wrapText="1"/>
      <protection/>
    </xf>
    <xf numFmtId="0" fontId="1" fillId="24" borderId="0" xfId="62" applyFill="1">
      <alignment/>
      <protection/>
    </xf>
    <xf numFmtId="0" fontId="1" fillId="25" borderId="0" xfId="62" applyFill="1">
      <alignment/>
      <protection/>
    </xf>
    <xf numFmtId="49" fontId="46" fillId="0" borderId="0" xfId="62" applyNumberFormat="1" applyFont="1">
      <alignment/>
      <protection/>
    </xf>
    <xf numFmtId="0" fontId="45" fillId="0" borderId="28" xfId="62" applyFont="1" applyBorder="1" applyAlignment="1">
      <alignment wrapText="1"/>
      <protection/>
    </xf>
    <xf numFmtId="0" fontId="46" fillId="0" borderId="0" xfId="62" applyFont="1">
      <alignment/>
      <protection/>
    </xf>
    <xf numFmtId="49" fontId="48" fillId="0" borderId="0" xfId="62" applyNumberFormat="1" applyFont="1">
      <alignment/>
      <protection/>
    </xf>
    <xf numFmtId="0" fontId="47" fillId="0" borderId="28" xfId="62" applyFont="1" applyBorder="1" applyAlignment="1">
      <alignment wrapText="1"/>
      <protection/>
    </xf>
    <xf numFmtId="0" fontId="48" fillId="0" borderId="0" xfId="62" applyFont="1">
      <alignment/>
      <protection/>
    </xf>
    <xf numFmtId="0" fontId="43" fillId="0" borderId="29" xfId="62" applyFont="1" applyBorder="1" applyAlignment="1">
      <alignment wrapText="1"/>
      <protection/>
    </xf>
    <xf numFmtId="49" fontId="48" fillId="0" borderId="0" xfId="62" applyNumberFormat="1" applyFont="1" applyBorder="1">
      <alignment/>
      <protection/>
    </xf>
    <xf numFmtId="0" fontId="47" fillId="0" borderId="18" xfId="62" applyFont="1" applyBorder="1" applyAlignment="1">
      <alignment wrapText="1"/>
      <protection/>
    </xf>
    <xf numFmtId="0" fontId="48" fillId="0" borderId="0" xfId="62" applyFont="1" applyBorder="1">
      <alignment/>
      <protection/>
    </xf>
    <xf numFmtId="3" fontId="43" fillId="0" borderId="0" xfId="62" applyNumberFormat="1" applyFont="1" applyFill="1" applyBorder="1">
      <alignment/>
      <protection/>
    </xf>
    <xf numFmtId="3" fontId="1" fillId="0" borderId="0" xfId="62" applyNumberFormat="1" applyAlignment="1">
      <alignment horizontal="left" wrapText="1"/>
      <protection/>
    </xf>
    <xf numFmtId="0" fontId="1" fillId="0" borderId="0" xfId="62" applyAlignment="1">
      <alignment horizontal="left" wrapText="1"/>
      <protection/>
    </xf>
    <xf numFmtId="0" fontId="44" fillId="0" borderId="0" xfId="62" applyFont="1" applyAlignment="1">
      <alignment wrapText="1"/>
      <protection/>
    </xf>
    <xf numFmtId="3" fontId="44" fillId="0" borderId="0" xfId="62" applyNumberFormat="1" applyFont="1" applyAlignment="1">
      <alignment horizontal="left" wrapText="1"/>
      <protection/>
    </xf>
    <xf numFmtId="3" fontId="1" fillId="0" borderId="0" xfId="62" applyNumberFormat="1">
      <alignment/>
      <protection/>
    </xf>
    <xf numFmtId="0" fontId="1" fillId="0" borderId="0" xfId="62" applyBorder="1" applyAlignment="1">
      <alignment wrapText="1"/>
      <protection/>
    </xf>
    <xf numFmtId="3" fontId="1" fillId="0" borderId="0" xfId="62" applyNumberFormat="1" applyBorder="1">
      <alignment/>
      <protection/>
    </xf>
    <xf numFmtId="0" fontId="47" fillId="0" borderId="0" xfId="62" applyFont="1" applyBorder="1" applyAlignment="1">
      <alignment wrapText="1"/>
      <protection/>
    </xf>
    <xf numFmtId="3" fontId="43" fillId="0" borderId="0" xfId="62" applyNumberFormat="1" applyFont="1" applyBorder="1">
      <alignment/>
      <protection/>
    </xf>
    <xf numFmtId="3" fontId="48" fillId="0" borderId="0" xfId="62" applyNumberFormat="1" applyFont="1" applyBorder="1">
      <alignment/>
      <protection/>
    </xf>
    <xf numFmtId="0" fontId="42" fillId="0" borderId="0" xfId="0" applyFont="1"/>
    <xf numFmtId="0" fontId="32" fillId="0" borderId="0" xfId="0" applyFont="1"/>
    <xf numFmtId="0" fontId="33" fillId="0" borderId="0" xfId="0" applyFont="1"/>
    <xf numFmtId="0" fontId="25" fillId="0" borderId="0" xfId="0" applyFont="1"/>
    <xf numFmtId="0" fontId="43" fillId="0" borderId="0" xfId="0" applyFont="1"/>
    <xf numFmtId="0" fontId="36" fillId="0" borderId="0" xfId="0" applyFont="1" applyAlignment="1">
      <alignment horizontal="justify"/>
    </xf>
    <xf numFmtId="165" fontId="42" fillId="0" borderId="0" xfId="0" applyNumberFormat="1" applyFont="1"/>
    <xf numFmtId="0" fontId="51" fillId="0" borderId="0" xfId="0" applyFont="1" applyAlignment="1">
      <alignment horizontal="justify"/>
    </xf>
    <xf numFmtId="0" fontId="52" fillId="0" borderId="0" xfId="63" applyFont="1">
      <alignment/>
      <protection/>
    </xf>
    <xf numFmtId="0" fontId="51" fillId="0" borderId="0" xfId="63" applyFont="1">
      <alignment/>
      <protection/>
    </xf>
    <xf numFmtId="0" fontId="53" fillId="0" borderId="0" xfId="63" applyFont="1">
      <alignment/>
      <protection/>
    </xf>
    <xf numFmtId="3" fontId="39" fillId="0" borderId="10" xfId="63" applyNumberFormat="1" applyFont="1" applyBorder="1">
      <alignment/>
      <protection/>
    </xf>
    <xf numFmtId="0" fontId="51" fillId="0" borderId="0" xfId="64" applyFont="1">
      <alignment/>
      <protection/>
    </xf>
    <xf numFmtId="0" fontId="51" fillId="0" borderId="0" xfId="64" applyFont="1" applyAlignment="1">
      <alignment wrapText="1"/>
      <protection/>
    </xf>
    <xf numFmtId="0" fontId="51" fillId="0" borderId="0" xfId="64" applyFont="1" applyAlignment="1">
      <alignment horizontal="center" wrapText="1"/>
      <protection/>
    </xf>
    <xf numFmtId="3" fontId="51" fillId="0" borderId="0" xfId="64" applyNumberFormat="1" applyFont="1">
      <alignment/>
      <protection/>
    </xf>
    <xf numFmtId="3" fontId="51" fillId="0" borderId="0" xfId="64" applyNumberFormat="1" applyFont="1" applyAlignment="1">
      <alignment wrapText="1"/>
      <protection/>
    </xf>
    <xf numFmtId="3" fontId="39" fillId="0" borderId="10" xfId="64" applyNumberFormat="1" applyFont="1" applyBorder="1" applyAlignment="1">
      <alignment horizontal="center" vertical="center" wrapText="1"/>
      <protection/>
    </xf>
    <xf numFmtId="0" fontId="51" fillId="0" borderId="28" xfId="64" applyFont="1" applyFill="1" applyBorder="1" applyAlignment="1">
      <alignment vertical="center" wrapText="1"/>
      <protection/>
    </xf>
    <xf numFmtId="0" fontId="51" fillId="0" borderId="30" xfId="64" applyFont="1" applyBorder="1" applyAlignment="1">
      <alignment vertical="center"/>
      <protection/>
    </xf>
    <xf numFmtId="167" fontId="51" fillId="0" borderId="30" xfId="64" applyNumberFormat="1" applyFont="1" applyBorder="1" applyAlignment="1">
      <alignment horizontal="center" vertical="center" wrapText="1"/>
      <protection/>
    </xf>
    <xf numFmtId="3" fontId="51" fillId="0" borderId="30" xfId="64" applyNumberFormat="1" applyFont="1" applyBorder="1" applyAlignment="1">
      <alignment vertical="center"/>
      <protection/>
    </xf>
    <xf numFmtId="3" fontId="51" fillId="0" borderId="31" xfId="64" applyNumberFormat="1" applyFont="1" applyBorder="1" applyAlignment="1">
      <alignment vertical="center" wrapText="1"/>
      <protection/>
    </xf>
    <xf numFmtId="0" fontId="39" fillId="0" borderId="32" xfId="64" applyFont="1" applyBorder="1" applyAlignment="1">
      <alignment wrapText="1"/>
      <protection/>
    </xf>
    <xf numFmtId="0" fontId="39" fillId="0" borderId="33" xfId="64" applyFont="1" applyBorder="1">
      <alignment/>
      <protection/>
    </xf>
    <xf numFmtId="0" fontId="39" fillId="0" borderId="33" xfId="64" applyFont="1" applyBorder="1" applyAlignment="1">
      <alignment horizontal="center" wrapText="1"/>
      <protection/>
    </xf>
    <xf numFmtId="3" fontId="39" fillId="0" borderId="33" xfId="64" applyNumberFormat="1" applyFont="1" applyBorder="1">
      <alignment/>
      <protection/>
    </xf>
    <xf numFmtId="3" fontId="39" fillId="0" borderId="34" xfId="64" applyNumberFormat="1" applyFont="1" applyBorder="1">
      <alignment/>
      <protection/>
    </xf>
    <xf numFmtId="0" fontId="39" fillId="0" borderId="0" xfId="64" applyFont="1">
      <alignment/>
      <protection/>
    </xf>
    <xf numFmtId="3" fontId="33" fillId="0" borderId="0" xfId="68" applyNumberFormat="1" applyFont="1" applyAlignment="1">
      <alignment wrapText="1"/>
      <protection/>
    </xf>
    <xf numFmtId="3" fontId="33" fillId="0" borderId="0" xfId="68" applyNumberFormat="1" applyFont="1">
      <alignment/>
      <protection/>
    </xf>
    <xf numFmtId="0" fontId="33" fillId="0" borderId="0" xfId="68" applyFont="1">
      <alignment/>
      <protection/>
    </xf>
    <xf numFmtId="3" fontId="33" fillId="0" borderId="0" xfId="68" applyNumberFormat="1" applyFont="1" applyBorder="1" applyAlignment="1">
      <alignment wrapText="1"/>
      <protection/>
    </xf>
    <xf numFmtId="3" fontId="33" fillId="0" borderId="0" xfId="68" applyNumberFormat="1" applyFont="1" applyBorder="1">
      <alignment/>
      <protection/>
    </xf>
    <xf numFmtId="3" fontId="32" fillId="0" borderId="27" xfId="68" applyNumberFormat="1" applyFont="1" applyBorder="1" applyAlignment="1">
      <alignment horizontal="center" wrapText="1"/>
      <protection/>
    </xf>
    <xf numFmtId="3" fontId="32" fillId="0" borderId="35" xfId="68" applyNumberFormat="1" applyFont="1" applyBorder="1" applyAlignment="1">
      <alignment horizontal="center"/>
      <protection/>
    </xf>
    <xf numFmtId="0" fontId="32" fillId="0" borderId="0" xfId="67" applyFont="1" applyBorder="1" applyAlignment="1">
      <alignment/>
      <protection/>
    </xf>
    <xf numFmtId="3" fontId="32" fillId="0" borderId="28" xfId="68" applyNumberFormat="1" applyFont="1" applyBorder="1" applyAlignment="1">
      <alignment wrapText="1"/>
      <protection/>
    </xf>
    <xf numFmtId="0" fontId="55" fillId="0" borderId="0" xfId="68" applyFont="1">
      <alignment/>
      <protection/>
    </xf>
    <xf numFmtId="3" fontId="55" fillId="0" borderId="28" xfId="68" applyNumberFormat="1" applyFont="1" applyBorder="1" applyAlignment="1">
      <alignment wrapText="1"/>
      <protection/>
    </xf>
    <xf numFmtId="0" fontId="32" fillId="0" borderId="0" xfId="68" applyFont="1">
      <alignment/>
      <protection/>
    </xf>
    <xf numFmtId="3" fontId="33" fillId="0" borderId="28" xfId="68" applyNumberFormat="1" applyFont="1" applyBorder="1" applyAlignment="1">
      <alignment wrapText="1"/>
      <protection/>
    </xf>
    <xf numFmtId="3" fontId="32" fillId="0" borderId="29" xfId="68" applyNumberFormat="1" applyFont="1" applyBorder="1" applyAlignment="1">
      <alignment wrapText="1"/>
      <protection/>
    </xf>
    <xf numFmtId="0" fontId="39" fillId="0" borderId="36" xfId="63" applyFont="1" applyBorder="1" applyAlignment="1">
      <alignment horizontal="left" vertical="center"/>
      <protection/>
    </xf>
    <xf numFmtId="0" fontId="43" fillId="0" borderId="37" xfId="62" applyFont="1" applyBorder="1" applyAlignment="1">
      <alignment wrapText="1"/>
      <protection/>
    </xf>
    <xf numFmtId="0" fontId="42" fillId="0" borderId="38" xfId="62" applyFont="1" applyBorder="1" applyAlignment="1">
      <alignment wrapText="1"/>
      <protection/>
    </xf>
    <xf numFmtId="0" fontId="43" fillId="0" borderId="38" xfId="62" applyFont="1" applyBorder="1" applyAlignment="1">
      <alignment wrapText="1"/>
      <protection/>
    </xf>
    <xf numFmtId="0" fontId="43" fillId="0" borderId="36" xfId="62" applyFont="1" applyBorder="1" applyAlignment="1">
      <alignment wrapText="1"/>
      <protection/>
    </xf>
    <xf numFmtId="0" fontId="47" fillId="0" borderId="38" xfId="62" applyFont="1" applyBorder="1" applyAlignment="1">
      <alignment wrapText="1"/>
      <protection/>
    </xf>
    <xf numFmtId="0" fontId="45" fillId="0" borderId="38" xfId="62" applyFont="1" applyBorder="1" applyAlignment="1">
      <alignment wrapText="1"/>
      <protection/>
    </xf>
    <xf numFmtId="3" fontId="29" fillId="0" borderId="13" xfId="65" applyNumberFormat="1" applyFont="1" applyBorder="1">
      <alignment/>
      <protection/>
    </xf>
    <xf numFmtId="3" fontId="27" fillId="0" borderId="19" xfId="65" applyNumberFormat="1" applyFont="1" applyBorder="1">
      <alignment/>
      <protection/>
    </xf>
    <xf numFmtId="3" fontId="27" fillId="0" borderId="17" xfId="65" applyNumberFormat="1" applyFont="1" applyBorder="1">
      <alignment/>
      <protection/>
    </xf>
    <xf numFmtId="3" fontId="27" fillId="0" borderId="13" xfId="65" applyNumberFormat="1" applyFont="1" applyBorder="1">
      <alignment/>
      <protection/>
    </xf>
    <xf numFmtId="3" fontId="29" fillId="0" borderId="23" xfId="65" applyNumberFormat="1" applyFont="1" applyBorder="1">
      <alignment/>
      <protection/>
    </xf>
    <xf numFmtId="3" fontId="27" fillId="0" borderId="20" xfId="65" applyNumberFormat="1" applyFont="1" applyBorder="1">
      <alignment/>
      <protection/>
    </xf>
    <xf numFmtId="0" fontId="26" fillId="0" borderId="39" xfId="0" applyFont="1" applyBorder="1"/>
    <xf numFmtId="3" fontId="29" fillId="0" borderId="11" xfId="65" applyNumberFormat="1" applyFont="1" applyBorder="1">
      <alignment/>
      <protection/>
    </xf>
    <xf numFmtId="3" fontId="43" fillId="0" borderId="40" xfId="62" applyNumberFormat="1" applyFont="1" applyFill="1" applyBorder="1" applyAlignment="1">
      <alignment horizontal="center"/>
      <protection/>
    </xf>
    <xf numFmtId="3" fontId="42" fillId="0" borderId="41" xfId="62" applyNumberFormat="1" applyFont="1" applyFill="1" applyBorder="1">
      <alignment/>
      <protection/>
    </xf>
    <xf numFmtId="3" fontId="43" fillId="0" borderId="41" xfId="62" applyNumberFormat="1" applyFont="1" applyFill="1" applyBorder="1">
      <alignment/>
      <protection/>
    </xf>
    <xf numFmtId="3" fontId="45" fillId="0" borderId="41" xfId="62" applyNumberFormat="1" applyFont="1" applyFill="1" applyBorder="1">
      <alignment/>
      <protection/>
    </xf>
    <xf numFmtId="3" fontId="43" fillId="0" borderId="42" xfId="62" applyNumberFormat="1" applyFont="1" applyFill="1" applyBorder="1">
      <alignment/>
      <protection/>
    </xf>
    <xf numFmtId="3" fontId="47" fillId="0" borderId="41" xfId="62" applyNumberFormat="1" applyFont="1" applyFill="1" applyBorder="1">
      <alignment/>
      <protection/>
    </xf>
    <xf numFmtId="3" fontId="50" fillId="0" borderId="43" xfId="62" applyNumberFormat="1" applyFont="1" applyFill="1" applyBorder="1">
      <alignment/>
      <protection/>
    </xf>
    <xf numFmtId="0" fontId="39" fillId="0" borderId="41" xfId="63" applyFont="1" applyBorder="1" applyAlignment="1">
      <alignment horizontal="center" wrapText="1"/>
      <protection/>
    </xf>
    <xf numFmtId="3" fontId="39" fillId="0" borderId="41" xfId="63" applyNumberFormat="1" applyFont="1" applyBorder="1">
      <alignment/>
      <protection/>
    </xf>
    <xf numFmtId="3" fontId="51" fillId="0" borderId="41" xfId="63" applyNumberFormat="1" applyFont="1" applyBorder="1">
      <alignment/>
      <protection/>
    </xf>
    <xf numFmtId="3" fontId="39" fillId="0" borderId="42" xfId="63" applyNumberFormat="1" applyFont="1" applyBorder="1">
      <alignment/>
      <protection/>
    </xf>
    <xf numFmtId="3" fontId="32" fillId="0" borderId="40" xfId="68" applyNumberFormat="1" applyFont="1" applyBorder="1" applyAlignment="1">
      <alignment horizontal="center"/>
      <protection/>
    </xf>
    <xf numFmtId="3" fontId="32" fillId="0" borderId="41" xfId="68" applyNumberFormat="1" applyFont="1" applyBorder="1">
      <alignment/>
      <protection/>
    </xf>
    <xf numFmtId="3" fontId="55" fillId="0" borderId="41" xfId="68" applyNumberFormat="1" applyFont="1" applyBorder="1">
      <alignment/>
      <protection/>
    </xf>
    <xf numFmtId="3" fontId="33" fillId="0" borderId="41" xfId="68" applyNumberFormat="1" applyFont="1" applyBorder="1">
      <alignment/>
      <protection/>
    </xf>
    <xf numFmtId="3" fontId="32" fillId="0" borderId="42" xfId="68" applyNumberFormat="1" applyFont="1" applyBorder="1">
      <alignment/>
      <protection/>
    </xf>
    <xf numFmtId="3" fontId="42" fillId="0" borderId="41" xfId="62" applyNumberFormat="1" applyFont="1" applyFill="1" applyBorder="1">
      <alignment/>
      <protection/>
    </xf>
    <xf numFmtId="3" fontId="43" fillId="0" borderId="42" xfId="62" applyNumberFormat="1" applyFont="1" applyFill="1" applyBorder="1">
      <alignment/>
      <protection/>
    </xf>
    <xf numFmtId="3" fontId="33" fillId="0" borderId="22" xfId="68" applyNumberFormat="1" applyFont="1" applyBorder="1" applyAlignment="1">
      <alignment wrapText="1"/>
      <protection/>
    </xf>
    <xf numFmtId="3" fontId="33" fillId="0" borderId="22" xfId="68" applyNumberFormat="1" applyFont="1" applyBorder="1">
      <alignment/>
      <protection/>
    </xf>
    <xf numFmtId="0" fontId="51" fillId="0" borderId="38" xfId="63" applyFont="1" applyBorder="1" applyAlignment="1">
      <alignment horizontal="left" vertical="center" wrapText="1"/>
      <protection/>
    </xf>
    <xf numFmtId="0" fontId="42" fillId="24" borderId="28" xfId="62" applyFont="1" applyFill="1" applyBorder="1" applyAlignment="1">
      <alignment wrapText="1"/>
      <protection/>
    </xf>
    <xf numFmtId="0" fontId="42" fillId="0" borderId="28" xfId="62" applyFont="1" applyBorder="1" applyAlignment="1">
      <alignment wrapText="1"/>
      <protection/>
    </xf>
    <xf numFmtId="3" fontId="27" fillId="0" borderId="44" xfId="65" applyNumberFormat="1" applyFont="1" applyBorder="1">
      <alignment/>
      <protection/>
    </xf>
    <xf numFmtId="0" fontId="22" fillId="0" borderId="0" xfId="79" applyFont="1" applyFill="1">
      <alignment/>
      <protection/>
    </xf>
    <xf numFmtId="0" fontId="58" fillId="0" borderId="0" xfId="79" applyFont="1" applyFill="1">
      <alignment/>
      <protection/>
    </xf>
    <xf numFmtId="3" fontId="27" fillId="0" borderId="45" xfId="65" applyNumberFormat="1" applyFont="1" applyBorder="1">
      <alignment/>
      <protection/>
    </xf>
    <xf numFmtId="0" fontId="23" fillId="0" borderId="29" xfId="0" applyFont="1" applyBorder="1" applyAlignment="1">
      <alignment/>
    </xf>
    <xf numFmtId="0" fontId="27" fillId="0" borderId="44" xfId="65" applyFont="1" applyBorder="1" applyAlignment="1">
      <alignment horizontal="center" wrapText="1"/>
      <protection/>
    </xf>
    <xf numFmtId="0" fontId="27" fillId="0" borderId="44" xfId="65" applyFont="1" applyBorder="1" applyAlignment="1">
      <alignment horizontal="center"/>
      <protection/>
    </xf>
    <xf numFmtId="49" fontId="27" fillId="0" borderId="44" xfId="65" applyNumberFormat="1" applyFont="1" applyBorder="1" applyAlignment="1">
      <alignment wrapText="1"/>
      <protection/>
    </xf>
    <xf numFmtId="0" fontId="27" fillId="0" borderId="44" xfId="65" applyFont="1" applyBorder="1" applyAlignment="1">
      <alignment horizontal="left" wrapText="1"/>
      <protection/>
    </xf>
    <xf numFmtId="0" fontId="22" fillId="0" borderId="44" xfId="65" applyFont="1" applyBorder="1">
      <alignment/>
      <protection/>
    </xf>
    <xf numFmtId="49" fontId="29" fillId="0" borderId="44" xfId="65" applyNumberFormat="1" applyFont="1" applyBorder="1" applyAlignment="1">
      <alignment wrapText="1"/>
      <protection/>
    </xf>
    <xf numFmtId="3" fontId="29" fillId="0" borderId="44" xfId="65" applyNumberFormat="1" applyFont="1" applyBorder="1">
      <alignment/>
      <protection/>
    </xf>
    <xf numFmtId="0" fontId="27" fillId="0" borderId="44" xfId="65" applyFont="1" applyBorder="1" applyAlignment="1">
      <alignment wrapText="1"/>
      <protection/>
    </xf>
    <xf numFmtId="0" fontId="29" fillId="0" borderId="44" xfId="65" applyFont="1" applyBorder="1" applyAlignment="1">
      <alignment wrapText="1"/>
      <protection/>
    </xf>
    <xf numFmtId="0" fontId="29" fillId="0" borderId="44" xfId="69" applyFont="1" applyBorder="1" applyAlignment="1">
      <alignment wrapText="1"/>
      <protection/>
    </xf>
    <xf numFmtId="0" fontId="30" fillId="0" borderId="44" xfId="66" applyFont="1" applyBorder="1" applyAlignment="1">
      <alignment wrapText="1"/>
      <protection/>
    </xf>
    <xf numFmtId="3" fontId="30" fillId="0" borderId="44" xfId="66" applyNumberFormat="1" applyFont="1" applyBorder="1">
      <alignment/>
      <protection/>
    </xf>
    <xf numFmtId="3" fontId="31" fillId="0" borderId="44" xfId="65" applyNumberFormat="1" applyFont="1" applyBorder="1">
      <alignment/>
      <protection/>
    </xf>
    <xf numFmtId="3" fontId="29" fillId="0" borderId="45" xfId="65" applyNumberFormat="1" applyFont="1" applyBorder="1">
      <alignment/>
      <protection/>
    </xf>
    <xf numFmtId="0" fontId="29" fillId="0" borderId="28" xfId="0" applyFont="1" applyBorder="1"/>
    <xf numFmtId="0" fontId="22" fillId="0" borderId="46" xfId="65" applyFont="1" applyBorder="1">
      <alignment/>
      <protection/>
    </xf>
    <xf numFmtId="3" fontId="36" fillId="0" borderId="26" xfId="0" applyNumberFormat="1" applyFont="1" applyBorder="1" applyAlignment="1">
      <alignment horizontal="right" vertical="center" wrapText="1"/>
    </xf>
    <xf numFmtId="3" fontId="39" fillId="0" borderId="42" xfId="63" applyNumberFormat="1" applyFont="1" applyBorder="1">
      <alignment/>
      <protection/>
    </xf>
    <xf numFmtId="3" fontId="32" fillId="0" borderId="42" xfId="68" applyNumberFormat="1" applyFont="1" applyBorder="1">
      <alignment/>
      <protection/>
    </xf>
    <xf numFmtId="3" fontId="50" fillId="0" borderId="43" xfId="62" applyNumberFormat="1" applyFont="1" applyFill="1" applyBorder="1">
      <alignment/>
      <protection/>
    </xf>
    <xf numFmtId="0" fontId="42" fillId="0" borderId="38" xfId="62" applyFont="1" applyBorder="1" applyAlignment="1">
      <alignment wrapText="1"/>
      <protection/>
    </xf>
    <xf numFmtId="49" fontId="22" fillId="0" borderId="47" xfId="79" applyNumberFormat="1" applyFont="1" applyFill="1" applyBorder="1" applyAlignment="1">
      <alignment horizontal="left" vertical="center"/>
      <protection/>
    </xf>
    <xf numFmtId="0" fontId="22" fillId="0" borderId="48" xfId="79" applyFont="1" applyFill="1" applyBorder="1" applyAlignment="1">
      <alignment horizontal="center" vertical="center" wrapText="1"/>
      <protection/>
    </xf>
    <xf numFmtId="0" fontId="22" fillId="0" borderId="47" xfId="79" applyFont="1" applyFill="1" applyBorder="1" applyAlignment="1">
      <alignment horizontal="center" vertical="center" wrapText="1"/>
      <protection/>
    </xf>
    <xf numFmtId="0" fontId="22" fillId="0" borderId="49" xfId="79" applyFont="1" applyFill="1" applyBorder="1" applyAlignment="1">
      <alignment horizontal="center" vertical="center" wrapText="1"/>
      <protection/>
    </xf>
    <xf numFmtId="0" fontId="22" fillId="0" borderId="50" xfId="79" applyFont="1" applyFill="1" applyBorder="1" applyAlignment="1">
      <alignment horizontal="center" vertical="center" wrapText="1"/>
      <protection/>
    </xf>
    <xf numFmtId="3" fontId="62" fillId="0" borderId="0" xfId="82" applyNumberFormat="1" applyFont="1">
      <alignment/>
      <protection/>
    </xf>
    <xf numFmtId="3" fontId="36" fillId="0" borderId="30" xfId="0" applyNumberFormat="1" applyFont="1" applyBorder="1" applyAlignment="1">
      <alignment horizontal="right" vertical="center" wrapText="1"/>
    </xf>
    <xf numFmtId="3" fontId="36" fillId="0" borderId="41" xfId="0" applyNumberFormat="1" applyFont="1" applyBorder="1" applyAlignment="1">
      <alignment horizontal="right" vertical="center" wrapText="1"/>
    </xf>
    <xf numFmtId="3" fontId="36" fillId="0" borderId="44" xfId="0" applyNumberFormat="1" applyFont="1" applyBorder="1" applyAlignment="1">
      <alignment horizontal="right" vertical="center" wrapText="1"/>
    </xf>
    <xf numFmtId="3" fontId="23" fillId="0" borderId="30" xfId="0" applyNumberFormat="1" applyFont="1" applyBorder="1"/>
    <xf numFmtId="0" fontId="23" fillId="0" borderId="30" xfId="0" applyFont="1" applyBorder="1"/>
    <xf numFmtId="0" fontId="22" fillId="0" borderId="30" xfId="0" applyFont="1" applyBorder="1"/>
    <xf numFmtId="3" fontId="23" fillId="0" borderId="30" xfId="0" applyNumberFormat="1" applyFont="1" applyBorder="1" applyAlignment="1">
      <alignment/>
    </xf>
    <xf numFmtId="0" fontId="23" fillId="0" borderId="28" xfId="0" applyFont="1" applyBorder="1" applyAlignment="1">
      <alignment horizontal="left"/>
    </xf>
    <xf numFmtId="0" fontId="22" fillId="0" borderId="30" xfId="0" applyFont="1" applyBorder="1" applyAlignment="1">
      <alignment horizontal="left"/>
    </xf>
    <xf numFmtId="3" fontId="22" fillId="0" borderId="30" xfId="0" applyNumberFormat="1" applyFont="1" applyBorder="1"/>
    <xf numFmtId="3" fontId="23" fillId="0" borderId="31" xfId="0" applyNumberFormat="1" applyFont="1" applyBorder="1" applyAlignment="1">
      <alignment/>
    </xf>
    <xf numFmtId="3" fontId="23" fillId="0" borderId="31" xfId="0" applyNumberFormat="1" applyFont="1" applyBorder="1"/>
    <xf numFmtId="0" fontId="22" fillId="0" borderId="31" xfId="0" applyFont="1" applyBorder="1"/>
    <xf numFmtId="3" fontId="22" fillId="0" borderId="31" xfId="0" applyNumberFormat="1" applyFont="1" applyBorder="1" applyAlignment="1">
      <alignment/>
    </xf>
    <xf numFmtId="3" fontId="22" fillId="0" borderId="31" xfId="0" applyNumberFormat="1" applyFont="1" applyBorder="1"/>
    <xf numFmtId="3" fontId="23" fillId="0" borderId="51" xfId="0" applyNumberFormat="1" applyFont="1" applyBorder="1"/>
    <xf numFmtId="3" fontId="43" fillId="0" borderId="52" xfId="62" applyNumberFormat="1" applyFont="1" applyBorder="1" applyAlignment="1">
      <alignment horizontal="center"/>
      <protection/>
    </xf>
    <xf numFmtId="3" fontId="42" fillId="0" borderId="30" xfId="62" applyNumberFormat="1" applyFont="1" applyBorder="1">
      <alignment/>
      <protection/>
    </xf>
    <xf numFmtId="3" fontId="43" fillId="0" borderId="30" xfId="62" applyNumberFormat="1" applyFont="1" applyBorder="1">
      <alignment/>
      <protection/>
    </xf>
    <xf numFmtId="3" fontId="1" fillId="0" borderId="53" xfId="62" applyNumberFormat="1" applyFont="1" applyBorder="1">
      <alignment/>
      <protection/>
    </xf>
    <xf numFmtId="3" fontId="44" fillId="0" borderId="53" xfId="62" applyNumberFormat="1" applyFont="1" applyBorder="1">
      <alignment/>
      <protection/>
    </xf>
    <xf numFmtId="3" fontId="43" fillId="0" borderId="54" xfId="62" applyNumberFormat="1" applyFont="1" applyBorder="1">
      <alignment/>
      <protection/>
    </xf>
    <xf numFmtId="3" fontId="42" fillId="0" borderId="24" xfId="62" applyNumberFormat="1" applyFont="1" applyBorder="1">
      <alignment/>
      <protection/>
    </xf>
    <xf numFmtId="3" fontId="47" fillId="0" borderId="30" xfId="62" applyNumberFormat="1" applyFont="1" applyBorder="1">
      <alignment/>
      <protection/>
    </xf>
    <xf numFmtId="3" fontId="45" fillId="0" borderId="30" xfId="62" applyNumberFormat="1" applyFont="1" applyBorder="1">
      <alignment/>
      <protection/>
    </xf>
    <xf numFmtId="3" fontId="43" fillId="0" borderId="53" xfId="62" applyNumberFormat="1" applyFont="1" applyBorder="1">
      <alignment/>
      <protection/>
    </xf>
    <xf numFmtId="49" fontId="27" fillId="0" borderId="44" xfId="65" applyNumberFormat="1" applyFont="1" applyBorder="1" applyAlignment="1">
      <alignment wrapText="1"/>
      <protection/>
    </xf>
    <xf numFmtId="0" fontId="27" fillId="0" borderId="44" xfId="65" applyFont="1" applyBorder="1" applyAlignment="1">
      <alignment wrapText="1"/>
      <protection/>
    </xf>
    <xf numFmtId="3" fontId="27" fillId="0" borderId="44" xfId="65" applyNumberFormat="1" applyFont="1" applyBorder="1">
      <alignment/>
      <protection/>
    </xf>
    <xf numFmtId="0" fontId="22" fillId="0" borderId="44" xfId="65" applyFont="1" applyBorder="1">
      <alignment/>
      <protection/>
    </xf>
    <xf numFmtId="49" fontId="29" fillId="0" borderId="44" xfId="65" applyNumberFormat="1" applyFont="1" applyBorder="1" applyAlignment="1">
      <alignment wrapText="1"/>
      <protection/>
    </xf>
    <xf numFmtId="3" fontId="29" fillId="0" borderId="44" xfId="65" applyNumberFormat="1" applyFont="1" applyBorder="1">
      <alignment/>
      <protection/>
    </xf>
    <xf numFmtId="0" fontId="29" fillId="0" borderId="44" xfId="65" applyFont="1" applyBorder="1" applyAlignment="1">
      <alignment wrapText="1"/>
      <protection/>
    </xf>
    <xf numFmtId="0" fontId="51" fillId="0" borderId="0" xfId="0" applyFont="1" applyBorder="1"/>
    <xf numFmtId="49" fontId="64" fillId="0" borderId="55" xfId="81" applyNumberFormat="1" applyFont="1" applyFill="1" applyBorder="1" applyAlignment="1">
      <alignment horizontal="center" vertical="center"/>
      <protection/>
    </xf>
    <xf numFmtId="3" fontId="23" fillId="0" borderId="30" xfId="0" applyNumberFormat="1" applyFont="1" applyBorder="1"/>
    <xf numFmtId="3" fontId="23" fillId="26" borderId="30" xfId="0" applyNumberFormat="1" applyFont="1" applyFill="1" applyBorder="1"/>
    <xf numFmtId="0" fontId="36" fillId="0" borderId="45" xfId="0" applyFont="1" applyBorder="1" applyAlignment="1">
      <alignment horizontal="center" vertical="center" wrapText="1"/>
    </xf>
    <xf numFmtId="0" fontId="36" fillId="0" borderId="56" xfId="0" applyFont="1" applyBorder="1" applyAlignment="1">
      <alignment horizontal="center" vertical="center" wrapText="1"/>
    </xf>
    <xf numFmtId="3" fontId="36" fillId="0" borderId="39" xfId="0" applyNumberFormat="1" applyFont="1" applyBorder="1" applyAlignment="1">
      <alignment horizontal="right" vertical="center" wrapText="1"/>
    </xf>
    <xf numFmtId="3" fontId="35" fillId="0" borderId="39" xfId="0" applyNumberFormat="1" applyFont="1" applyBorder="1" applyAlignment="1">
      <alignment horizontal="right" vertical="center" wrapText="1"/>
    </xf>
    <xf numFmtId="3" fontId="37" fillId="0" borderId="39" xfId="0" applyNumberFormat="1" applyFont="1" applyBorder="1"/>
    <xf numFmtId="3" fontId="37" fillId="0" borderId="39" xfId="0" applyNumberFormat="1" applyFont="1" applyBorder="1" applyAlignment="1">
      <alignment horizontal="right" vertical="center" wrapText="1"/>
    </xf>
    <xf numFmtId="3" fontId="35" fillId="0" borderId="39" xfId="0" applyNumberFormat="1" applyFont="1" applyBorder="1"/>
    <xf numFmtId="3" fontId="36" fillId="0" borderId="39" xfId="0" applyNumberFormat="1" applyFont="1" applyBorder="1"/>
    <xf numFmtId="0" fontId="36" fillId="0" borderId="31" xfId="0" applyFont="1" applyBorder="1" applyAlignment="1">
      <alignment horizontal="center" vertical="center" wrapText="1"/>
    </xf>
    <xf numFmtId="3" fontId="36" fillId="0" borderId="31" xfId="0" applyNumberFormat="1" applyFont="1" applyBorder="1" applyAlignment="1">
      <alignment horizontal="right" vertical="center" wrapText="1"/>
    </xf>
    <xf numFmtId="3" fontId="35" fillId="0" borderId="31" xfId="0" applyNumberFormat="1" applyFont="1" applyBorder="1" applyAlignment="1">
      <alignment horizontal="right" vertical="center" wrapText="1"/>
    </xf>
    <xf numFmtId="3" fontId="35" fillId="0" borderId="31" xfId="0" applyNumberFormat="1" applyFont="1" applyBorder="1"/>
    <xf numFmtId="3" fontId="37" fillId="0" borderId="31" xfId="0" applyNumberFormat="1" applyFont="1" applyBorder="1" applyAlignment="1">
      <alignment horizontal="right" vertical="center" wrapText="1"/>
    </xf>
    <xf numFmtId="3" fontId="37" fillId="0" borderId="31" xfId="0" applyNumberFormat="1" applyFont="1" applyBorder="1"/>
    <xf numFmtId="3" fontId="36" fillId="0" borderId="31" xfId="0" applyNumberFormat="1" applyFont="1" applyBorder="1"/>
    <xf numFmtId="3" fontId="38" fillId="0" borderId="31" xfId="0" applyNumberFormat="1" applyFont="1" applyBorder="1"/>
    <xf numFmtId="0" fontId="36" fillId="0" borderId="13" xfId="0" applyFont="1" applyBorder="1" applyAlignment="1">
      <alignment horizontal="left" vertical="center"/>
    </xf>
    <xf numFmtId="0" fontId="36" fillId="0" borderId="13" xfId="0" applyFont="1" applyBorder="1" applyAlignment="1">
      <alignment wrapText="1"/>
    </xf>
    <xf numFmtId="0" fontId="35" fillId="0" borderId="13" xfId="0" applyFont="1" applyBorder="1" applyAlignment="1">
      <alignment/>
    </xf>
    <xf numFmtId="0" fontId="36" fillId="0" borderId="13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3" xfId="0" applyFont="1" applyBorder="1" applyAlignment="1">
      <alignment horizontal="left" vertical="center" wrapText="1"/>
    </xf>
    <xf numFmtId="49" fontId="35" fillId="0" borderId="13" xfId="0" applyNumberFormat="1" applyFont="1" applyBorder="1" applyAlignment="1">
      <alignment/>
    </xf>
    <xf numFmtId="49" fontId="37" fillId="0" borderId="13" xfId="0" applyNumberFormat="1" applyFont="1" applyBorder="1" applyAlignment="1">
      <alignment/>
    </xf>
    <xf numFmtId="0" fontId="35" fillId="0" borderId="13" xfId="0" applyFont="1" applyBorder="1" applyAlignment="1">
      <alignment wrapText="1"/>
    </xf>
    <xf numFmtId="0" fontId="35" fillId="0" borderId="13" xfId="0" applyFont="1" applyBorder="1" applyAlignment="1">
      <alignment shrinkToFit="1"/>
    </xf>
    <xf numFmtId="3" fontId="36" fillId="0" borderId="13" xfId="0" applyNumberFormat="1" applyFont="1" applyBorder="1" applyAlignment="1">
      <alignment shrinkToFit="1"/>
    </xf>
    <xf numFmtId="3" fontId="35" fillId="0" borderId="13" xfId="0" applyNumberFormat="1" applyFont="1" applyBorder="1" applyAlignment="1">
      <alignment shrinkToFit="1"/>
    </xf>
    <xf numFmtId="3" fontId="36" fillId="0" borderId="13" xfId="0" applyNumberFormat="1" applyFont="1" applyBorder="1" applyAlignment="1">
      <alignment wrapText="1"/>
    </xf>
    <xf numFmtId="3" fontId="36" fillId="0" borderId="13" xfId="0" applyNumberFormat="1" applyFont="1" applyBorder="1" applyAlignment="1">
      <alignment vertical="center" wrapText="1"/>
    </xf>
    <xf numFmtId="0" fontId="36" fillId="0" borderId="28" xfId="0" applyFont="1" applyBorder="1" applyAlignment="1">
      <alignment horizontal="center" vertical="center" wrapText="1"/>
    </xf>
    <xf numFmtId="3" fontId="36" fillId="0" borderId="28" xfId="0" applyNumberFormat="1" applyFont="1" applyBorder="1" applyAlignment="1">
      <alignment horizontal="right" vertical="center" wrapText="1"/>
    </xf>
    <xf numFmtId="3" fontId="35" fillId="0" borderId="28" xfId="0" applyNumberFormat="1" applyFont="1" applyBorder="1" applyAlignment="1">
      <alignment horizontal="right" vertical="center" wrapText="1"/>
    </xf>
    <xf numFmtId="3" fontId="35" fillId="0" borderId="28" xfId="0" applyNumberFormat="1" applyFont="1" applyBorder="1"/>
    <xf numFmtId="3" fontId="37" fillId="0" borderId="28" xfId="0" applyNumberFormat="1" applyFont="1" applyBorder="1" applyAlignment="1">
      <alignment horizontal="right" vertical="center" wrapText="1"/>
    </xf>
    <xf numFmtId="3" fontId="37" fillId="0" borderId="28" xfId="0" applyNumberFormat="1" applyFont="1" applyBorder="1"/>
    <xf numFmtId="3" fontId="36" fillId="0" borderId="28" xfId="0" applyNumberFormat="1" applyFont="1" applyBorder="1"/>
    <xf numFmtId="3" fontId="38" fillId="0" borderId="28" xfId="0" applyNumberFormat="1" applyFont="1" applyBorder="1"/>
    <xf numFmtId="3" fontId="28" fillId="0" borderId="41" xfId="0" applyNumberFormat="1" applyFont="1" applyBorder="1" applyAlignment="1">
      <alignment horizontal="center" wrapText="1"/>
    </xf>
    <xf numFmtId="3" fontId="28" fillId="0" borderId="41" xfId="0" applyNumberFormat="1" applyFont="1" applyBorder="1" applyAlignment="1">
      <alignment wrapText="1"/>
    </xf>
    <xf numFmtId="164" fontId="28" fillId="0" borderId="41" xfId="0" applyNumberFormat="1" applyFont="1" applyBorder="1" applyAlignment="1">
      <alignment wrapText="1"/>
    </xf>
    <xf numFmtId="164" fontId="26" fillId="0" borderId="41" xfId="0" applyNumberFormat="1" applyFont="1" applyBorder="1" applyAlignment="1">
      <alignment wrapText="1"/>
    </xf>
    <xf numFmtId="3" fontId="26" fillId="0" borderId="41" xfId="0" applyNumberFormat="1" applyFont="1" applyBorder="1" applyAlignment="1">
      <alignment wrapText="1"/>
    </xf>
    <xf numFmtId="3" fontId="41" fillId="0" borderId="41" xfId="0" applyNumberFormat="1" applyFont="1" applyBorder="1" applyAlignment="1">
      <alignment wrapText="1"/>
    </xf>
    <xf numFmtId="0" fontId="26" fillId="0" borderId="41" xfId="0" applyFont="1" applyBorder="1"/>
    <xf numFmtId="3" fontId="28" fillId="0" borderId="41" xfId="0" applyNumberFormat="1" applyFont="1" applyBorder="1"/>
    <xf numFmtId="3" fontId="28" fillId="0" borderId="42" xfId="0" applyNumberFormat="1" applyFont="1" applyBorder="1"/>
    <xf numFmtId="3" fontId="28" fillId="0" borderId="41" xfId="0" applyNumberFormat="1" applyFont="1" applyBorder="1"/>
    <xf numFmtId="3" fontId="28" fillId="0" borderId="28" xfId="0" applyNumberFormat="1" applyFont="1" applyBorder="1" applyAlignment="1">
      <alignment horizontal="center" wrapText="1"/>
    </xf>
    <xf numFmtId="3" fontId="28" fillId="0" borderId="28" xfId="0" applyNumberFormat="1" applyFont="1" applyBorder="1" applyAlignment="1">
      <alignment wrapText="1"/>
    </xf>
    <xf numFmtId="164" fontId="28" fillId="0" borderId="28" xfId="0" applyNumberFormat="1" applyFont="1" applyBorder="1" applyAlignment="1">
      <alignment wrapText="1"/>
    </xf>
    <xf numFmtId="3" fontId="26" fillId="0" borderId="28" xfId="0" applyNumberFormat="1" applyFont="1" applyBorder="1" applyAlignment="1">
      <alignment wrapText="1"/>
    </xf>
    <xf numFmtId="3" fontId="41" fillId="0" borderId="28" xfId="0" applyNumberFormat="1" applyFont="1" applyBorder="1" applyAlignment="1">
      <alignment wrapText="1"/>
    </xf>
    <xf numFmtId="0" fontId="26" fillId="0" borderId="28" xfId="0" applyFont="1" applyBorder="1"/>
    <xf numFmtId="3" fontId="28" fillId="0" borderId="28" xfId="0" applyNumberFormat="1" applyFont="1" applyBorder="1"/>
    <xf numFmtId="3" fontId="28" fillId="0" borderId="29" xfId="0" applyNumberFormat="1" applyFont="1" applyBorder="1"/>
    <xf numFmtId="3" fontId="28" fillId="0" borderId="13" xfId="0" applyNumberFormat="1" applyFont="1" applyBorder="1" applyAlignment="1">
      <alignment horizontal="center" wrapText="1"/>
    </xf>
    <xf numFmtId="3" fontId="28" fillId="0" borderId="13" xfId="0" applyNumberFormat="1" applyFont="1" applyBorder="1" applyAlignment="1">
      <alignment wrapText="1"/>
    </xf>
    <xf numFmtId="164" fontId="28" fillId="0" borderId="13" xfId="0" applyNumberFormat="1" applyFont="1" applyBorder="1" applyAlignment="1">
      <alignment wrapText="1"/>
    </xf>
    <xf numFmtId="3" fontId="26" fillId="0" borderId="13" xfId="0" applyNumberFormat="1" applyFont="1" applyBorder="1" applyAlignment="1">
      <alignment wrapText="1"/>
    </xf>
    <xf numFmtId="3" fontId="41" fillId="0" borderId="13" xfId="0" applyNumberFormat="1" applyFont="1" applyBorder="1" applyAlignment="1">
      <alignment wrapText="1"/>
    </xf>
    <xf numFmtId="0" fontId="26" fillId="0" borderId="13" xfId="0" applyFont="1" applyBorder="1"/>
    <xf numFmtId="3" fontId="28" fillId="0" borderId="13" xfId="0" applyNumberFormat="1" applyFont="1" applyBorder="1"/>
    <xf numFmtId="3" fontId="28" fillId="0" borderId="57" xfId="0" applyNumberFormat="1" applyFont="1" applyBorder="1"/>
    <xf numFmtId="3" fontId="28" fillId="0" borderId="44" xfId="0" applyNumberFormat="1" applyFont="1" applyBorder="1" applyAlignment="1">
      <alignment horizontal="center" wrapText="1"/>
    </xf>
    <xf numFmtId="3" fontId="28" fillId="0" borderId="39" xfId="0" applyNumberFormat="1" applyFont="1" applyBorder="1" applyAlignment="1">
      <alignment horizontal="center" wrapText="1"/>
    </xf>
    <xf numFmtId="3" fontId="28" fillId="0" borderId="39" xfId="0" applyNumberFormat="1" applyFont="1" applyBorder="1" applyAlignment="1">
      <alignment wrapText="1"/>
    </xf>
    <xf numFmtId="164" fontId="28" fillId="0" borderId="39" xfId="0" applyNumberFormat="1" applyFont="1" applyBorder="1" applyAlignment="1">
      <alignment wrapText="1"/>
    </xf>
    <xf numFmtId="3" fontId="26" fillId="0" borderId="39" xfId="0" applyNumberFormat="1" applyFont="1" applyBorder="1" applyAlignment="1">
      <alignment wrapText="1"/>
    </xf>
    <xf numFmtId="3" fontId="41" fillId="0" borderId="39" xfId="0" applyNumberFormat="1" applyFont="1" applyBorder="1" applyAlignment="1">
      <alignment wrapText="1"/>
    </xf>
    <xf numFmtId="3" fontId="40" fillId="0" borderId="39" xfId="0" applyNumberFormat="1" applyFont="1" applyBorder="1" applyAlignment="1">
      <alignment wrapText="1"/>
    </xf>
    <xf numFmtId="3" fontId="28" fillId="0" borderId="39" xfId="0" applyNumberFormat="1" applyFont="1" applyBorder="1"/>
    <xf numFmtId="3" fontId="26" fillId="0" borderId="39" xfId="0" applyNumberFormat="1" applyFont="1" applyBorder="1"/>
    <xf numFmtId="3" fontId="40" fillId="0" borderId="39" xfId="0" applyNumberFormat="1" applyFont="1" applyBorder="1"/>
    <xf numFmtId="3" fontId="28" fillId="0" borderId="58" xfId="0" applyNumberFormat="1" applyFont="1" applyBorder="1"/>
    <xf numFmtId="0" fontId="26" fillId="0" borderId="31" xfId="0" applyFont="1" applyBorder="1"/>
    <xf numFmtId="3" fontId="28" fillId="0" borderId="31" xfId="0" applyNumberFormat="1" applyFont="1" applyBorder="1" applyAlignment="1">
      <alignment wrapText="1"/>
    </xf>
    <xf numFmtId="164" fontId="28" fillId="0" borderId="31" xfId="0" applyNumberFormat="1" applyFont="1" applyBorder="1" applyAlignment="1">
      <alignment wrapText="1"/>
    </xf>
    <xf numFmtId="3" fontId="26" fillId="0" borderId="31" xfId="0" applyNumberFormat="1" applyFont="1" applyBorder="1" applyAlignment="1">
      <alignment wrapText="1"/>
    </xf>
    <xf numFmtId="3" fontId="41" fillId="0" borderId="31" xfId="0" applyNumberFormat="1" applyFont="1" applyBorder="1" applyAlignment="1">
      <alignment wrapText="1"/>
    </xf>
    <xf numFmtId="3" fontId="28" fillId="0" borderId="31" xfId="0" applyNumberFormat="1" applyFont="1" applyBorder="1"/>
    <xf numFmtId="3" fontId="42" fillId="0" borderId="41" xfId="62" applyNumberFormat="1" applyFont="1" applyFill="1" applyBorder="1">
      <alignment/>
      <protection/>
    </xf>
    <xf numFmtId="3" fontId="43" fillId="0" borderId="41" xfId="62" applyNumberFormat="1" applyFont="1" applyFill="1" applyBorder="1">
      <alignment/>
      <protection/>
    </xf>
    <xf numFmtId="3" fontId="45" fillId="0" borderId="41" xfId="62" applyNumberFormat="1" applyFont="1" applyFill="1" applyBorder="1">
      <alignment/>
      <protection/>
    </xf>
    <xf numFmtId="3" fontId="47" fillId="0" borderId="41" xfId="62" applyNumberFormat="1" applyFont="1" applyFill="1" applyBorder="1">
      <alignment/>
      <protection/>
    </xf>
    <xf numFmtId="3" fontId="42" fillId="0" borderId="31" xfId="62" applyNumberFormat="1" applyFont="1" applyFill="1" applyBorder="1">
      <alignment/>
      <protection/>
    </xf>
    <xf numFmtId="3" fontId="43" fillId="0" borderId="31" xfId="62" applyNumberFormat="1" applyFont="1" applyFill="1" applyBorder="1">
      <alignment/>
      <protection/>
    </xf>
    <xf numFmtId="0" fontId="39" fillId="0" borderId="41" xfId="63" applyFont="1" applyBorder="1" applyAlignment="1">
      <alignment horizontal="center" vertical="center" wrapText="1"/>
      <protection/>
    </xf>
    <xf numFmtId="3" fontId="39" fillId="0" borderId="41" xfId="63" applyNumberFormat="1" applyFont="1" applyBorder="1">
      <alignment/>
      <protection/>
    </xf>
    <xf numFmtId="0" fontId="51" fillId="0" borderId="41" xfId="63" applyFont="1" applyBorder="1">
      <alignment/>
      <protection/>
    </xf>
    <xf numFmtId="0" fontId="51" fillId="0" borderId="31" xfId="63" applyFont="1" applyBorder="1">
      <alignment/>
      <protection/>
    </xf>
    <xf numFmtId="3" fontId="32" fillId="0" borderId="41" xfId="68" applyNumberFormat="1" applyFont="1" applyBorder="1">
      <alignment/>
      <protection/>
    </xf>
    <xf numFmtId="3" fontId="55" fillId="0" borderId="41" xfId="68" applyNumberFormat="1" applyFont="1" applyBorder="1">
      <alignment/>
      <protection/>
    </xf>
    <xf numFmtId="3" fontId="33" fillId="0" borderId="41" xfId="68" applyNumberFormat="1" applyFont="1" applyBorder="1">
      <alignment/>
      <protection/>
    </xf>
    <xf numFmtId="3" fontId="32" fillId="0" borderId="31" xfId="68" applyNumberFormat="1" applyFont="1" applyBorder="1">
      <alignment/>
      <protection/>
    </xf>
    <xf numFmtId="3" fontId="55" fillId="0" borderId="31" xfId="68" applyNumberFormat="1" applyFont="1" applyBorder="1">
      <alignment/>
      <protection/>
    </xf>
    <xf numFmtId="3" fontId="33" fillId="0" borderId="31" xfId="68" applyNumberFormat="1" applyFont="1" applyBorder="1">
      <alignment/>
      <protection/>
    </xf>
    <xf numFmtId="3" fontId="32" fillId="0" borderId="51" xfId="68" applyNumberFormat="1" applyFont="1" applyBorder="1">
      <alignment/>
      <protection/>
    </xf>
    <xf numFmtId="0" fontId="43" fillId="0" borderId="0" xfId="86" applyFont="1" applyAlignment="1">
      <alignment horizontal="center"/>
      <protection/>
    </xf>
    <xf numFmtId="0" fontId="43" fillId="0" borderId="0" xfId="86" applyFont="1" applyBorder="1" applyAlignment="1">
      <alignment horizontal="center" vertical="center"/>
      <protection/>
    </xf>
    <xf numFmtId="0" fontId="39" fillId="0" borderId="0" xfId="86" applyFont="1" applyAlignment="1">
      <alignment horizontal="center"/>
      <protection/>
    </xf>
    <xf numFmtId="0" fontId="42" fillId="0" borderId="0" xfId="86" applyFont="1" applyAlignment="1">
      <alignment/>
      <protection/>
    </xf>
    <xf numFmtId="0" fontId="43" fillId="0" borderId="30" xfId="86" applyFont="1" applyBorder="1" applyAlignment="1">
      <alignment horizontal="center" vertical="center" wrapText="1"/>
      <protection/>
    </xf>
    <xf numFmtId="3" fontId="42" fillId="0" borderId="30" xfId="86" applyNumberFormat="1" applyFont="1" applyBorder="1" applyAlignment="1">
      <alignment horizontal="right"/>
      <protection/>
    </xf>
    <xf numFmtId="3" fontId="43" fillId="0" borderId="30" xfId="86" applyNumberFormat="1" applyFont="1" applyBorder="1" applyAlignment="1">
      <alignment horizontal="right"/>
      <protection/>
    </xf>
    <xf numFmtId="0" fontId="42" fillId="0" borderId="30" xfId="86" applyFont="1" applyBorder="1">
      <alignment/>
      <protection/>
    </xf>
    <xf numFmtId="0" fontId="42" fillId="0" borderId="30" xfId="86" applyFont="1" applyBorder="1" applyAlignment="1">
      <alignment horizontal="left"/>
      <protection/>
    </xf>
    <xf numFmtId="0" fontId="42" fillId="0" borderId="0" xfId="86" applyFont="1">
      <alignment/>
      <protection/>
    </xf>
    <xf numFmtId="0" fontId="71" fillId="0" borderId="30" xfId="0" applyFont="1" applyBorder="1" applyAlignment="1">
      <alignment horizontal="center" vertical="center" wrapText="1"/>
    </xf>
    <xf numFmtId="0" fontId="69" fillId="0" borderId="30" xfId="0" applyFont="1" applyBorder="1" applyAlignment="1">
      <alignment vertical="center" wrapText="1"/>
    </xf>
    <xf numFmtId="3" fontId="69" fillId="0" borderId="30" xfId="0" applyNumberFormat="1" applyFont="1" applyBorder="1" applyAlignment="1">
      <alignment horizontal="right" vertical="center" wrapText="1"/>
    </xf>
    <xf numFmtId="0" fontId="70" fillId="0" borderId="30" xfId="0" applyFont="1" applyBorder="1" applyAlignment="1">
      <alignment vertical="center" wrapText="1"/>
    </xf>
    <xf numFmtId="3" fontId="70" fillId="0" borderId="30" xfId="0" applyNumberFormat="1" applyFont="1" applyBorder="1" applyAlignment="1">
      <alignment horizontal="right" vertical="center" wrapText="1"/>
    </xf>
    <xf numFmtId="0" fontId="69" fillId="0" borderId="30" xfId="0" applyFont="1" applyFill="1" applyBorder="1" applyAlignment="1">
      <alignment vertical="center" wrapText="1"/>
    </xf>
    <xf numFmtId="3" fontId="69" fillId="0" borderId="30" xfId="0" applyNumberFormat="1" applyFont="1" applyBorder="1"/>
    <xf numFmtId="0" fontId="32" fillId="0" borderId="0" xfId="67" applyFont="1" applyAlignment="1">
      <alignment horizontal="center" vertical="center" wrapText="1"/>
      <protection/>
    </xf>
    <xf numFmtId="0" fontId="72" fillId="0" borderId="0" xfId="67" applyFont="1" applyAlignment="1">
      <alignment horizontal="center" vertical="center" wrapText="1"/>
      <protection/>
    </xf>
    <xf numFmtId="0" fontId="32" fillId="0" borderId="59" xfId="67" applyFont="1" applyBorder="1" applyAlignment="1">
      <alignment horizontal="center" vertical="center" wrapText="1"/>
      <protection/>
    </xf>
    <xf numFmtId="0" fontId="32" fillId="0" borderId="60" xfId="67" applyFont="1" applyBorder="1" applyAlignment="1">
      <alignment horizontal="center" vertical="center" wrapText="1"/>
      <protection/>
    </xf>
    <xf numFmtId="0" fontId="32" fillId="0" borderId="61" xfId="67" applyFont="1" applyBorder="1" applyAlignment="1">
      <alignment horizontal="center" vertical="center" wrapText="1"/>
      <protection/>
    </xf>
    <xf numFmtId="3" fontId="72" fillId="0" borderId="62" xfId="67" applyNumberFormat="1" applyFont="1" applyBorder="1" applyAlignment="1">
      <alignment horizontal="left" vertical="center" wrapText="1"/>
      <protection/>
    </xf>
    <xf numFmtId="3" fontId="72" fillId="0" borderId="63" xfId="67" applyNumberFormat="1" applyFont="1" applyBorder="1" applyAlignment="1">
      <alignment horizontal="right" vertical="center" wrapText="1"/>
      <protection/>
    </xf>
    <xf numFmtId="3" fontId="72" fillId="0" borderId="64" xfId="67" applyNumberFormat="1" applyFont="1" applyBorder="1" applyAlignment="1">
      <alignment horizontal="right" vertical="center" wrapText="1"/>
      <protection/>
    </xf>
    <xf numFmtId="3" fontId="72" fillId="0" borderId="35" xfId="67" applyNumberFormat="1" applyFont="1" applyBorder="1" applyAlignment="1">
      <alignment horizontal="right" vertical="center" wrapText="1"/>
      <protection/>
    </xf>
    <xf numFmtId="3" fontId="72" fillId="0" borderId="27" xfId="67" applyNumberFormat="1" applyFont="1" applyBorder="1" applyAlignment="1">
      <alignment horizontal="right" vertical="center" wrapText="1"/>
      <protection/>
    </xf>
    <xf numFmtId="3" fontId="72" fillId="0" borderId="65" xfId="67" applyNumberFormat="1" applyFont="1" applyBorder="1" applyAlignment="1">
      <alignment horizontal="right" vertical="center" wrapText="1"/>
      <protection/>
    </xf>
    <xf numFmtId="3" fontId="33" fillId="0" borderId="66" xfId="68" applyNumberFormat="1" applyFont="1" applyBorder="1" applyAlignment="1">
      <alignment vertical="center" wrapText="1"/>
      <protection/>
    </xf>
    <xf numFmtId="3" fontId="33" fillId="0" borderId="38" xfId="68" applyNumberFormat="1" applyFont="1" applyBorder="1" applyAlignment="1">
      <alignment vertical="center" wrapText="1"/>
      <protection/>
    </xf>
    <xf numFmtId="3" fontId="33" fillId="0" borderId="30" xfId="67" applyNumberFormat="1" applyFont="1" applyBorder="1" applyAlignment="1">
      <alignment vertical="center" wrapText="1"/>
      <protection/>
    </xf>
    <xf numFmtId="3" fontId="33" fillId="0" borderId="31" xfId="67" applyNumberFormat="1" applyFont="1" applyBorder="1" applyAlignment="1">
      <alignment vertical="center" wrapText="1"/>
      <protection/>
    </xf>
    <xf numFmtId="3" fontId="33" fillId="0" borderId="28" xfId="68" applyNumberFormat="1" applyFont="1" applyBorder="1" applyAlignment="1">
      <alignment vertical="center" wrapText="1"/>
      <protection/>
    </xf>
    <xf numFmtId="3" fontId="33" fillId="0" borderId="67" xfId="67" applyNumberFormat="1" applyFont="1" applyBorder="1" applyAlignment="1">
      <alignment vertical="center" wrapText="1"/>
      <protection/>
    </xf>
    <xf numFmtId="3" fontId="72" fillId="0" borderId="66" xfId="68" applyNumberFormat="1" applyFont="1" applyBorder="1" applyAlignment="1">
      <alignment vertical="center" wrapText="1"/>
      <protection/>
    </xf>
    <xf numFmtId="3" fontId="72" fillId="0" borderId="38" xfId="68" applyNumberFormat="1" applyFont="1" applyBorder="1" applyAlignment="1">
      <alignment vertical="center" wrapText="1"/>
      <protection/>
    </xf>
    <xf numFmtId="3" fontId="72" fillId="0" borderId="30" xfId="67" applyNumberFormat="1" applyFont="1" applyBorder="1" applyAlignment="1">
      <alignment vertical="center" wrapText="1"/>
      <protection/>
    </xf>
    <xf numFmtId="3" fontId="72" fillId="0" borderId="31" xfId="67" applyNumberFormat="1" applyFont="1" applyBorder="1" applyAlignment="1">
      <alignment vertical="center" wrapText="1"/>
      <protection/>
    </xf>
    <xf numFmtId="3" fontId="72" fillId="0" borderId="28" xfId="68" applyNumberFormat="1" applyFont="1" applyBorder="1" applyAlignment="1">
      <alignment vertical="center" wrapText="1"/>
      <protection/>
    </xf>
    <xf numFmtId="3" fontId="72" fillId="0" borderId="67" xfId="67" applyNumberFormat="1" applyFont="1" applyBorder="1" applyAlignment="1">
      <alignment vertical="center" wrapText="1"/>
      <protection/>
    </xf>
    <xf numFmtId="3" fontId="72" fillId="0" borderId="38" xfId="67" applyNumberFormat="1" applyFont="1" applyBorder="1" applyAlignment="1">
      <alignment vertical="center" wrapText="1"/>
      <protection/>
    </xf>
    <xf numFmtId="3" fontId="72" fillId="0" borderId="28" xfId="67" applyNumberFormat="1" applyFont="1" applyBorder="1" applyAlignment="1">
      <alignment vertical="center" wrapText="1"/>
      <protection/>
    </xf>
    <xf numFmtId="3" fontId="32" fillId="0" borderId="68" xfId="67" applyNumberFormat="1" applyFont="1" applyBorder="1" applyAlignment="1">
      <alignment vertical="center" wrapText="1"/>
      <protection/>
    </xf>
    <xf numFmtId="3" fontId="32" fillId="0" borderId="69" xfId="67" applyNumberFormat="1" applyFont="1" applyBorder="1" applyAlignment="1">
      <alignment vertical="center" wrapText="1"/>
      <protection/>
    </xf>
    <xf numFmtId="3" fontId="32" fillId="0" borderId="70" xfId="67" applyNumberFormat="1" applyFont="1" applyBorder="1" applyAlignment="1">
      <alignment vertical="center" wrapText="1"/>
      <protection/>
    </xf>
    <xf numFmtId="3" fontId="32" fillId="0" borderId="71" xfId="67" applyNumberFormat="1" applyFont="1" applyBorder="1" applyAlignment="1">
      <alignment vertical="center" wrapText="1"/>
      <protection/>
    </xf>
    <xf numFmtId="3" fontId="32" fillId="0" borderId="72" xfId="67" applyNumberFormat="1" applyFont="1" applyBorder="1" applyAlignment="1">
      <alignment vertical="center" wrapText="1"/>
      <protection/>
    </xf>
    <xf numFmtId="3" fontId="43" fillId="0" borderId="35" xfId="62" applyNumberFormat="1" applyFont="1" applyFill="1" applyBorder="1" applyAlignment="1">
      <alignment horizontal="center"/>
      <protection/>
    </xf>
    <xf numFmtId="3" fontId="45" fillId="0" borderId="31" xfId="62" applyNumberFormat="1" applyFont="1" applyFill="1" applyBorder="1">
      <alignment/>
      <protection/>
    </xf>
    <xf numFmtId="3" fontId="47" fillId="0" borderId="31" xfId="62" applyNumberFormat="1" applyFont="1" applyFill="1" applyBorder="1">
      <alignment/>
      <protection/>
    </xf>
    <xf numFmtId="3" fontId="50" fillId="0" borderId="60" xfId="62" applyNumberFormat="1" applyFont="1" applyFill="1" applyBorder="1">
      <alignment/>
      <protection/>
    </xf>
    <xf numFmtId="3" fontId="43" fillId="0" borderId="51" xfId="62" applyNumberFormat="1" applyFont="1" applyFill="1" applyBorder="1">
      <alignment/>
      <protection/>
    </xf>
    <xf numFmtId="0" fontId="39" fillId="0" borderId="31" xfId="63" applyFont="1" applyBorder="1" applyAlignment="1">
      <alignment horizontal="center" vertical="center" wrapText="1"/>
      <protection/>
    </xf>
    <xf numFmtId="3" fontId="39" fillId="0" borderId="31" xfId="63" applyNumberFormat="1" applyFont="1" applyBorder="1">
      <alignment/>
      <protection/>
    </xf>
    <xf numFmtId="3" fontId="39" fillId="0" borderId="51" xfId="63" applyNumberFormat="1" applyFont="1" applyBorder="1">
      <alignment/>
      <protection/>
    </xf>
    <xf numFmtId="3" fontId="39" fillId="0" borderId="31" xfId="63" applyNumberFormat="1" applyFont="1" applyBorder="1" applyAlignment="1">
      <alignment horizontal="right" vertical="center"/>
      <protection/>
    </xf>
    <xf numFmtId="3" fontId="51" fillId="0" borderId="31" xfId="63" applyNumberFormat="1" applyFont="1" applyBorder="1" applyAlignment="1">
      <alignment horizontal="right" vertical="center"/>
      <protection/>
    </xf>
    <xf numFmtId="3" fontId="51" fillId="0" borderId="31" xfId="62" applyNumberFormat="1" applyFont="1" applyFill="1" applyBorder="1">
      <alignment/>
      <protection/>
    </xf>
    <xf numFmtId="3" fontId="39" fillId="0" borderId="31" xfId="62" applyNumberFormat="1" applyFont="1" applyFill="1" applyBorder="1">
      <alignment/>
      <protection/>
    </xf>
    <xf numFmtId="0" fontId="73" fillId="0" borderId="0" xfId="0" applyFont="1"/>
    <xf numFmtId="0" fontId="52" fillId="0" borderId="0" xfId="62" applyFont="1" applyFill="1" applyBorder="1" applyAlignment="1">
      <alignment wrapText="1"/>
      <protection/>
    </xf>
    <xf numFmtId="3" fontId="52" fillId="0" borderId="0" xfId="62" applyNumberFormat="1" applyFont="1" applyFill="1" applyBorder="1">
      <alignment/>
      <protection/>
    </xf>
    <xf numFmtId="0" fontId="51" fillId="0" borderId="28" xfId="62" applyFont="1" applyFill="1" applyBorder="1" applyAlignment="1">
      <alignment wrapText="1"/>
      <protection/>
    </xf>
    <xf numFmtId="3" fontId="51" fillId="0" borderId="30" xfId="62" applyNumberFormat="1" applyFont="1" applyFill="1" applyBorder="1">
      <alignment/>
      <protection/>
    </xf>
    <xf numFmtId="3" fontId="51" fillId="0" borderId="41" xfId="62" applyNumberFormat="1" applyFont="1" applyFill="1" applyBorder="1">
      <alignment/>
      <protection/>
    </xf>
    <xf numFmtId="0" fontId="39" fillId="0" borderId="28" xfId="62" applyFont="1" applyFill="1" applyBorder="1" applyAlignment="1">
      <alignment wrapText="1"/>
      <protection/>
    </xf>
    <xf numFmtId="3" fontId="39" fillId="0" borderId="30" xfId="62" applyNumberFormat="1" applyFont="1" applyFill="1" applyBorder="1">
      <alignment/>
      <protection/>
    </xf>
    <xf numFmtId="3" fontId="39" fillId="0" borderId="41" xfId="62" applyNumberFormat="1" applyFont="1" applyFill="1" applyBorder="1">
      <alignment/>
      <protection/>
    </xf>
    <xf numFmtId="0" fontId="54" fillId="0" borderId="28" xfId="62" applyFont="1" applyFill="1" applyBorder="1" applyAlignment="1">
      <alignment wrapText="1"/>
      <protection/>
    </xf>
    <xf numFmtId="3" fontId="54" fillId="0" borderId="30" xfId="62" applyNumberFormat="1" applyFont="1" applyFill="1" applyBorder="1">
      <alignment/>
      <protection/>
    </xf>
    <xf numFmtId="3" fontId="54" fillId="0" borderId="41" xfId="62" applyNumberFormat="1" applyFont="1" applyFill="1" applyBorder="1">
      <alignment/>
      <protection/>
    </xf>
    <xf numFmtId="3" fontId="54" fillId="0" borderId="31" xfId="62" applyNumberFormat="1" applyFont="1" applyFill="1" applyBorder="1">
      <alignment/>
      <protection/>
    </xf>
    <xf numFmtId="0" fontId="53" fillId="0" borderId="29" xfId="62" applyFont="1" applyFill="1" applyBorder="1" applyAlignment="1">
      <alignment wrapText="1"/>
      <protection/>
    </xf>
    <xf numFmtId="3" fontId="39" fillId="0" borderId="10" xfId="62" applyNumberFormat="1" applyFont="1" applyFill="1" applyBorder="1">
      <alignment/>
      <protection/>
    </xf>
    <xf numFmtId="3" fontId="39" fillId="0" borderId="42" xfId="62" applyNumberFormat="1" applyFont="1" applyFill="1" applyBorder="1">
      <alignment/>
      <protection/>
    </xf>
    <xf numFmtId="3" fontId="39" fillId="0" borderId="51" xfId="62" applyNumberFormat="1" applyFont="1" applyFill="1" applyBorder="1">
      <alignment/>
      <protection/>
    </xf>
    <xf numFmtId="0" fontId="23" fillId="0" borderId="28" xfId="0" applyFont="1" applyBorder="1" applyAlignment="1">
      <alignment/>
    </xf>
    <xf numFmtId="0" fontId="23" fillId="0" borderId="30" xfId="0" applyFont="1" applyBorder="1" applyAlignment="1">
      <alignment/>
    </xf>
    <xf numFmtId="0" fontId="22" fillId="0" borderId="30" xfId="0" applyFont="1" applyBorder="1" applyAlignment="1">
      <alignment/>
    </xf>
    <xf numFmtId="0" fontId="22" fillId="0" borderId="28" xfId="0" applyFont="1" applyBorder="1"/>
    <xf numFmtId="0" fontId="22" fillId="0" borderId="28" xfId="0" applyFont="1" applyBorder="1" applyAlignment="1">
      <alignment/>
    </xf>
    <xf numFmtId="3" fontId="22" fillId="0" borderId="30" xfId="0" applyNumberFormat="1" applyFont="1" applyBorder="1" applyAlignment="1">
      <alignment/>
    </xf>
    <xf numFmtId="0" fontId="23" fillId="0" borderId="28" xfId="0" applyFont="1" applyBorder="1"/>
    <xf numFmtId="0" fontId="24" fillId="0" borderId="30" xfId="0" applyFont="1" applyBorder="1"/>
    <xf numFmtId="0" fontId="25" fillId="0" borderId="30" xfId="0" applyFont="1" applyBorder="1" applyAlignment="1">
      <alignment horizontal="left" wrapText="1"/>
    </xf>
    <xf numFmtId="3" fontId="24" fillId="0" borderId="30" xfId="0" applyNumberFormat="1" applyFont="1" applyBorder="1"/>
    <xf numFmtId="49" fontId="22" fillId="0" borderId="30" xfId="0" applyNumberFormat="1" applyFont="1" applyBorder="1"/>
    <xf numFmtId="0" fontId="22" fillId="0" borderId="30" xfId="0" applyFont="1" applyBorder="1" applyAlignment="1">
      <alignment horizontal="left" wrapText="1"/>
    </xf>
    <xf numFmtId="49" fontId="22" fillId="0" borderId="30" xfId="65" applyNumberFormat="1" applyFont="1" applyBorder="1" applyAlignment="1">
      <alignment wrapText="1"/>
      <protection/>
    </xf>
    <xf numFmtId="0" fontId="24" fillId="0" borderId="30" xfId="0" applyFont="1" applyBorder="1" applyAlignment="1">
      <alignment wrapText="1"/>
    </xf>
    <xf numFmtId="49" fontId="24" fillId="0" borderId="30" xfId="0" applyNumberFormat="1" applyFont="1" applyBorder="1"/>
    <xf numFmtId="49" fontId="23" fillId="0" borderId="28" xfId="0" applyNumberFormat="1" applyFont="1" applyBorder="1" applyAlignment="1">
      <alignment/>
    </xf>
    <xf numFmtId="0" fontId="26" fillId="0" borderId="30" xfId="0" applyFont="1" applyBorder="1" applyAlignment="1">
      <alignment/>
    </xf>
    <xf numFmtId="0" fontId="27" fillId="0" borderId="28" xfId="0" applyFont="1" applyBorder="1" applyAlignment="1">
      <alignment horizontal="left"/>
    </xf>
    <xf numFmtId="0" fontId="23" fillId="0" borderId="30" xfId="0" applyFont="1" applyBorder="1" applyAlignment="1">
      <alignment horizontal="left"/>
    </xf>
    <xf numFmtId="0" fontId="28" fillId="0" borderId="30" xfId="0" applyFont="1" applyBorder="1"/>
    <xf numFmtId="49" fontId="23" fillId="0" borderId="28" xfId="0" applyNumberFormat="1" applyFont="1" applyBorder="1" applyAlignment="1">
      <alignment horizontal="left" wrapText="1"/>
    </xf>
    <xf numFmtId="49" fontId="23" fillId="0" borderId="30" xfId="0" applyNumberFormat="1" applyFont="1" applyBorder="1" applyAlignment="1">
      <alignment horizontal="left" wrapText="1"/>
    </xf>
    <xf numFmtId="3" fontId="35" fillId="0" borderId="41" xfId="0" applyNumberFormat="1" applyFont="1" applyBorder="1" applyAlignment="1">
      <alignment horizontal="right" vertical="center" wrapText="1"/>
    </xf>
    <xf numFmtId="3" fontId="37" fillId="0" borderId="41" xfId="0" applyNumberFormat="1" applyFont="1" applyBorder="1"/>
    <xf numFmtId="3" fontId="37" fillId="0" borderId="41" xfId="0" applyNumberFormat="1" applyFont="1" applyBorder="1" applyAlignment="1">
      <alignment horizontal="right" vertical="center" wrapText="1"/>
    </xf>
    <xf numFmtId="3" fontId="35" fillId="0" borderId="41" xfId="0" applyNumberFormat="1" applyFont="1" applyBorder="1"/>
    <xf numFmtId="3" fontId="36" fillId="0" borderId="41" xfId="0" applyNumberFormat="1" applyFont="1" applyBorder="1"/>
    <xf numFmtId="0" fontId="42" fillId="24" borderId="28" xfId="62" applyFont="1" applyFill="1" applyBorder="1" applyAlignment="1">
      <alignment wrapText="1"/>
      <protection/>
    </xf>
    <xf numFmtId="0" fontId="42" fillId="0" borderId="28" xfId="62" applyFont="1" applyBorder="1" applyAlignment="1">
      <alignment wrapText="1"/>
      <protection/>
    </xf>
    <xf numFmtId="0" fontId="43" fillId="0" borderId="28" xfId="62" applyFont="1" applyBorder="1" applyAlignment="1">
      <alignment wrapText="1"/>
      <protection/>
    </xf>
    <xf numFmtId="3" fontId="36" fillId="0" borderId="30" xfId="0" applyNumberFormat="1" applyFont="1" applyBorder="1"/>
    <xf numFmtId="3" fontId="28" fillId="0" borderId="44" xfId="0" applyNumberFormat="1" applyFont="1" applyBorder="1"/>
    <xf numFmtId="3" fontId="29" fillId="0" borderId="44" xfId="65" applyNumberFormat="1" applyFont="1" applyBorder="1">
      <alignment/>
      <protection/>
    </xf>
    <xf numFmtId="3" fontId="51" fillId="0" borderId="73" xfId="62" applyNumberFormat="1" applyFont="1" applyFill="1" applyBorder="1">
      <alignment/>
      <protection/>
    </xf>
    <xf numFmtId="3" fontId="51" fillId="0" borderId="74" xfId="62" applyNumberFormat="1" applyFont="1" applyFill="1" applyBorder="1">
      <alignment/>
      <protection/>
    </xf>
    <xf numFmtId="3" fontId="22" fillId="0" borderId="75" xfId="79" applyNumberFormat="1" applyFont="1" applyFill="1" applyBorder="1" applyAlignment="1">
      <alignment horizontal="right" vertical="center" wrapText="1"/>
      <protection/>
    </xf>
    <xf numFmtId="0" fontId="22" fillId="0" borderId="75" xfId="79" applyFont="1" applyFill="1" applyBorder="1" applyAlignment="1">
      <alignment/>
      <protection/>
    </xf>
    <xf numFmtId="0" fontId="23" fillId="0" borderId="28" xfId="0" applyFont="1" applyBorder="1" applyAlignment="1">
      <alignment horizontal="left"/>
    </xf>
    <xf numFmtId="14" fontId="51" fillId="0" borderId="30" xfId="64" applyNumberFormat="1" applyFont="1" applyBorder="1" applyAlignment="1">
      <alignment horizontal="center" vertical="center" wrapText="1"/>
      <protection/>
    </xf>
    <xf numFmtId="170" fontId="51" fillId="0" borderId="30" xfId="64" applyNumberFormat="1" applyFont="1" applyBorder="1" applyAlignment="1">
      <alignment horizontal="center" vertical="center" wrapText="1"/>
      <protection/>
    </xf>
    <xf numFmtId="0" fontId="29" fillId="0" borderId="44" xfId="65" applyFont="1" applyBorder="1" applyAlignment="1">
      <alignment wrapText="1"/>
      <protection/>
    </xf>
    <xf numFmtId="3" fontId="35" fillId="0" borderId="30" xfId="0" applyNumberFormat="1" applyFont="1" applyBorder="1" applyAlignment="1">
      <alignment horizontal="right" vertical="center" wrapText="1"/>
    </xf>
    <xf numFmtId="3" fontId="22" fillId="0" borderId="41" xfId="0" applyNumberFormat="1" applyFont="1" applyBorder="1"/>
    <xf numFmtId="3" fontId="23" fillId="0" borderId="41" xfId="0" applyNumberFormat="1" applyFont="1" applyBorder="1" applyAlignment="1">
      <alignment/>
    </xf>
    <xf numFmtId="3" fontId="23" fillId="0" borderId="41" xfId="0" applyNumberFormat="1" applyFont="1" applyBorder="1"/>
    <xf numFmtId="0" fontId="22" fillId="0" borderId="41" xfId="0" applyFont="1" applyBorder="1"/>
    <xf numFmtId="3" fontId="22" fillId="0" borderId="41" xfId="0" applyNumberFormat="1" applyFont="1" applyBorder="1" applyAlignment="1">
      <alignment/>
    </xf>
    <xf numFmtId="3" fontId="23" fillId="0" borderId="42" xfId="0" applyNumberFormat="1" applyFont="1" applyBorder="1"/>
    <xf numFmtId="0" fontId="36" fillId="0" borderId="30" xfId="0" applyFont="1" applyBorder="1" applyAlignment="1">
      <alignment horizontal="center" vertical="center" wrapText="1"/>
    </xf>
    <xf numFmtId="3" fontId="35" fillId="0" borderId="30" xfId="0" applyNumberFormat="1" applyFont="1" applyBorder="1"/>
    <xf numFmtId="3" fontId="37" fillId="0" borderId="30" xfId="0" applyNumberFormat="1" applyFont="1" applyBorder="1" applyAlignment="1">
      <alignment horizontal="right" vertical="center" wrapText="1"/>
    </xf>
    <xf numFmtId="3" fontId="37" fillId="0" borderId="30" xfId="0" applyNumberFormat="1" applyFont="1" applyBorder="1"/>
    <xf numFmtId="3" fontId="38" fillId="0" borderId="30" xfId="0" applyNumberFormat="1" applyFont="1" applyBorder="1"/>
    <xf numFmtId="0" fontId="36" fillId="0" borderId="41" xfId="0" applyFont="1" applyBorder="1" applyAlignment="1">
      <alignment horizontal="center" vertical="center" wrapText="1"/>
    </xf>
    <xf numFmtId="3" fontId="40" fillId="0" borderId="41" xfId="0" applyNumberFormat="1" applyFont="1" applyBorder="1" applyAlignment="1">
      <alignment wrapText="1"/>
    </xf>
    <xf numFmtId="3" fontId="40" fillId="0" borderId="41" xfId="0" applyNumberFormat="1" applyFont="1" applyBorder="1"/>
    <xf numFmtId="164" fontId="26" fillId="0" borderId="31" xfId="0" applyNumberFormat="1" applyFont="1" applyBorder="1" applyAlignment="1">
      <alignment wrapText="1"/>
    </xf>
    <xf numFmtId="3" fontId="28" fillId="0" borderId="31" xfId="0" applyNumberFormat="1" applyFont="1" applyBorder="1"/>
    <xf numFmtId="3" fontId="51" fillId="0" borderId="76" xfId="62" applyNumberFormat="1" applyFont="1" applyFill="1" applyBorder="1">
      <alignment/>
      <protection/>
    </xf>
    <xf numFmtId="3" fontId="51" fillId="0" borderId="25" xfId="62" applyNumberFormat="1" applyFont="1" applyFill="1" applyBorder="1">
      <alignment/>
      <protection/>
    </xf>
    <xf numFmtId="3" fontId="42" fillId="0" borderId="31" xfId="62" applyNumberFormat="1" applyFont="1" applyBorder="1">
      <alignment/>
      <protection/>
    </xf>
    <xf numFmtId="3" fontId="43" fillId="0" borderId="31" xfId="62" applyNumberFormat="1" applyFont="1" applyBorder="1">
      <alignment/>
      <protection/>
    </xf>
    <xf numFmtId="3" fontId="43" fillId="0" borderId="77" xfId="62" applyNumberFormat="1" applyFont="1" applyBorder="1">
      <alignment/>
      <protection/>
    </xf>
    <xf numFmtId="3" fontId="42" fillId="0" borderId="74" xfId="62" applyNumberFormat="1" applyFont="1" applyBorder="1">
      <alignment/>
      <protection/>
    </xf>
    <xf numFmtId="3" fontId="47" fillId="0" borderId="31" xfId="62" applyNumberFormat="1" applyFont="1" applyBorder="1">
      <alignment/>
      <protection/>
    </xf>
    <xf numFmtId="3" fontId="45" fillId="0" borderId="31" xfId="62" applyNumberFormat="1" applyFont="1" applyBorder="1">
      <alignment/>
      <protection/>
    </xf>
    <xf numFmtId="3" fontId="39" fillId="0" borderId="30" xfId="63" applyNumberFormat="1" applyFont="1" applyBorder="1">
      <alignment/>
      <protection/>
    </xf>
    <xf numFmtId="3" fontId="51" fillId="0" borderId="30" xfId="63" applyNumberFormat="1" applyFont="1" applyBorder="1">
      <alignment/>
      <protection/>
    </xf>
    <xf numFmtId="3" fontId="39" fillId="0" borderId="30" xfId="63" applyNumberFormat="1" applyFont="1" applyBorder="1" applyAlignment="1">
      <alignment horizontal="right" vertical="center"/>
      <protection/>
    </xf>
    <xf numFmtId="3" fontId="51" fillId="0" borderId="30" xfId="63" applyNumberFormat="1" applyFont="1" applyBorder="1" applyAlignment="1">
      <alignment horizontal="right" vertical="center"/>
      <protection/>
    </xf>
    <xf numFmtId="3" fontId="51" fillId="0" borderId="41" xfId="63" applyNumberFormat="1" applyFont="1" applyBorder="1" applyAlignment="1">
      <alignment horizontal="right" vertical="center"/>
      <protection/>
    </xf>
    <xf numFmtId="0" fontId="51" fillId="0" borderId="0" xfId="63" applyFont="1" applyBorder="1">
      <alignment/>
      <protection/>
    </xf>
    <xf numFmtId="3" fontId="39" fillId="0" borderId="41" xfId="63" applyNumberFormat="1" applyFont="1" applyBorder="1" applyAlignment="1">
      <alignment horizontal="right" vertical="center"/>
      <protection/>
    </xf>
    <xf numFmtId="3" fontId="43" fillId="0" borderId="18" xfId="62" applyNumberFormat="1" applyFont="1" applyFill="1" applyBorder="1">
      <alignment/>
      <protection/>
    </xf>
    <xf numFmtId="0" fontId="43" fillId="0" borderId="30" xfId="86" applyFont="1" applyBorder="1" applyAlignment="1">
      <alignment horizontal="center" vertical="center" wrapText="1"/>
      <protection/>
    </xf>
    <xf numFmtId="0" fontId="36" fillId="0" borderId="78" xfId="0" applyFont="1" applyBorder="1" applyAlignment="1">
      <alignment horizontal="center" vertical="center" wrapText="1"/>
    </xf>
    <xf numFmtId="0" fontId="3" fillId="0" borderId="0" xfId="87">
      <alignment/>
      <protection/>
    </xf>
    <xf numFmtId="3" fontId="61" fillId="0" borderId="79" xfId="87" applyNumberFormat="1" applyFont="1" applyBorder="1" applyAlignment="1">
      <alignment horizontal="right" vertical="center"/>
      <protection/>
    </xf>
    <xf numFmtId="0" fontId="78" fillId="0" borderId="80" xfId="87" applyFont="1" applyBorder="1" applyAlignment="1">
      <alignment vertical="center" wrapText="1"/>
      <protection/>
    </xf>
    <xf numFmtId="0" fontId="68" fillId="0" borderId="81" xfId="87" applyFont="1" applyBorder="1" applyAlignment="1">
      <alignment vertical="center"/>
      <protection/>
    </xf>
    <xf numFmtId="3" fontId="68" fillId="0" borderId="55" xfId="87" applyNumberFormat="1" applyFont="1" applyBorder="1" applyAlignment="1">
      <alignment horizontal="right" vertical="center"/>
      <protection/>
    </xf>
    <xf numFmtId="0" fontId="68" fillId="0" borderId="55" xfId="87" applyFont="1" applyBorder="1" applyAlignment="1">
      <alignment horizontal="right" vertical="center"/>
      <protection/>
    </xf>
    <xf numFmtId="0" fontId="68" fillId="0" borderId="82" xfId="87" applyFont="1" applyBorder="1" applyAlignment="1">
      <alignment vertical="center" wrapText="1"/>
      <protection/>
    </xf>
    <xf numFmtId="3" fontId="68" fillId="27" borderId="55" xfId="87" applyNumberFormat="1" applyFont="1" applyFill="1" applyBorder="1" applyAlignment="1">
      <alignment horizontal="right" vertical="center"/>
      <protection/>
    </xf>
    <xf numFmtId="0" fontId="68" fillId="27" borderId="55" xfId="87" applyFont="1" applyFill="1" applyBorder="1" applyAlignment="1">
      <alignment horizontal="right" vertical="center"/>
      <protection/>
    </xf>
    <xf numFmtId="3" fontId="61" fillId="0" borderId="81" xfId="87" applyNumberFormat="1" applyFont="1" applyBorder="1" applyAlignment="1">
      <alignment horizontal="right" vertical="center"/>
      <protection/>
    </xf>
    <xf numFmtId="3" fontId="61" fillId="0" borderId="55" xfId="87" applyNumberFormat="1" applyFont="1" applyBorder="1" applyAlignment="1">
      <alignment horizontal="right" vertical="center"/>
      <protection/>
    </xf>
    <xf numFmtId="0" fontId="61" fillId="0" borderId="82" xfId="87" applyFont="1" applyBorder="1" applyAlignment="1">
      <alignment vertical="center" wrapText="1"/>
      <protection/>
    </xf>
    <xf numFmtId="0" fontId="68" fillId="0" borderId="55" xfId="87" applyFont="1" applyBorder="1" applyAlignment="1">
      <alignment vertical="center"/>
      <protection/>
    </xf>
    <xf numFmtId="0" fontId="79" fillId="0" borderId="81" xfId="87" applyFont="1" applyBorder="1" applyAlignment="1">
      <alignment horizontal="right" vertical="center"/>
      <protection/>
    </xf>
    <xf numFmtId="0" fontId="79" fillId="0" borderId="55" xfId="87" applyFont="1" applyBorder="1" applyAlignment="1">
      <alignment horizontal="right" vertical="center"/>
      <protection/>
    </xf>
    <xf numFmtId="0" fontId="79" fillId="0" borderId="82" xfId="87" applyFont="1" applyBorder="1" applyAlignment="1">
      <alignment vertical="center" wrapText="1"/>
      <protection/>
    </xf>
    <xf numFmtId="0" fontId="68" fillId="0" borderId="82" xfId="87" applyFont="1" applyBorder="1" applyAlignment="1">
      <alignment vertical="center"/>
      <protection/>
    </xf>
    <xf numFmtId="3" fontId="79" fillId="0" borderId="81" xfId="87" applyNumberFormat="1" applyFont="1" applyBorder="1" applyAlignment="1">
      <alignment horizontal="right" vertical="center"/>
      <protection/>
    </xf>
    <xf numFmtId="3" fontId="79" fillId="0" borderId="55" xfId="87" applyNumberFormat="1" applyFont="1" applyBorder="1" applyAlignment="1">
      <alignment horizontal="right" vertical="center"/>
      <protection/>
    </xf>
    <xf numFmtId="0" fontId="61" fillId="0" borderId="55" xfId="87" applyFont="1" applyBorder="1" applyAlignment="1">
      <alignment vertical="center"/>
      <protection/>
    </xf>
    <xf numFmtId="0" fontId="80" fillId="0" borderId="82" xfId="87" applyFont="1" applyBorder="1" applyAlignment="1">
      <alignment vertical="center"/>
      <protection/>
    </xf>
    <xf numFmtId="0" fontId="61" fillId="0" borderId="83" xfId="87" applyFont="1" applyBorder="1" applyAlignment="1">
      <alignment horizontal="center" vertical="center"/>
      <protection/>
    </xf>
    <xf numFmtId="0" fontId="61" fillId="0" borderId="84" xfId="87" applyFont="1" applyBorder="1" applyAlignment="1">
      <alignment horizontal="center" vertical="center"/>
      <protection/>
    </xf>
    <xf numFmtId="0" fontId="61" fillId="0" borderId="85" xfId="87" applyFont="1" applyBorder="1" applyAlignment="1">
      <alignment vertical="center" wrapText="1"/>
      <protection/>
    </xf>
    <xf numFmtId="0" fontId="39" fillId="0" borderId="0" xfId="62" applyFont="1" applyFill="1" applyBorder="1" applyAlignment="1">
      <alignment/>
      <protection/>
    </xf>
    <xf numFmtId="0" fontId="39" fillId="0" borderId="0" xfId="62" applyFont="1" applyFill="1" applyBorder="1" applyAlignment="1">
      <alignment vertical="center" wrapText="1"/>
      <protection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3" fontId="72" fillId="0" borderId="86" xfId="67" applyNumberFormat="1" applyFont="1" applyBorder="1" applyAlignment="1">
      <alignment horizontal="right" vertical="center" wrapText="1"/>
      <protection/>
    </xf>
    <xf numFmtId="3" fontId="72" fillId="0" borderId="87" xfId="67" applyNumberFormat="1" applyFont="1" applyBorder="1" applyAlignment="1">
      <alignment horizontal="right" vertical="center" wrapText="1"/>
      <protection/>
    </xf>
    <xf numFmtId="3" fontId="72" fillId="0" borderId="88" xfId="67" applyNumberFormat="1" applyFont="1" applyBorder="1" applyAlignment="1">
      <alignment horizontal="right" vertical="center" wrapText="1"/>
      <protection/>
    </xf>
    <xf numFmtId="3" fontId="33" fillId="0" borderId="89" xfId="68" applyNumberFormat="1" applyFont="1" applyBorder="1" applyAlignment="1">
      <alignment vertical="center" wrapText="1"/>
      <protection/>
    </xf>
    <xf numFmtId="3" fontId="33" fillId="0" borderId="90" xfId="67" applyNumberFormat="1" applyFont="1" applyBorder="1" applyAlignment="1">
      <alignment vertical="center" wrapText="1"/>
      <protection/>
    </xf>
    <xf numFmtId="3" fontId="33" fillId="0" borderId="91" xfId="67" applyNumberFormat="1" applyFont="1" applyBorder="1" applyAlignment="1">
      <alignment vertical="center" wrapText="1"/>
      <protection/>
    </xf>
    <xf numFmtId="3" fontId="72" fillId="0" borderId="89" xfId="67" applyNumberFormat="1" applyFont="1" applyBorder="1" applyAlignment="1">
      <alignment vertical="center" wrapText="1"/>
      <protection/>
    </xf>
    <xf numFmtId="3" fontId="72" fillId="0" borderId="90" xfId="67" applyNumberFormat="1" applyFont="1" applyBorder="1" applyAlignment="1">
      <alignment vertical="center" wrapText="1"/>
      <protection/>
    </xf>
    <xf numFmtId="3" fontId="72" fillId="0" borderId="91" xfId="67" applyNumberFormat="1" applyFont="1" applyBorder="1" applyAlignment="1">
      <alignment vertical="center" wrapText="1"/>
      <protection/>
    </xf>
    <xf numFmtId="3" fontId="32" fillId="0" borderId="92" xfId="67" applyNumberFormat="1" applyFont="1" applyBorder="1" applyAlignment="1">
      <alignment vertical="center" wrapText="1"/>
      <protection/>
    </xf>
    <xf numFmtId="3" fontId="1" fillId="0" borderId="93" xfId="62" applyNumberFormat="1" applyFont="1" applyBorder="1">
      <alignment/>
      <protection/>
    </xf>
    <xf numFmtId="3" fontId="43" fillId="0" borderId="94" xfId="62" applyNumberFormat="1" applyFont="1" applyBorder="1" applyAlignment="1">
      <alignment horizontal="center"/>
      <protection/>
    </xf>
    <xf numFmtId="0" fontId="26" fillId="0" borderId="95" xfId="0" applyFont="1" applyBorder="1"/>
    <xf numFmtId="0" fontId="28" fillId="0" borderId="96" xfId="0" applyFont="1" applyBorder="1" applyAlignment="1">
      <alignment horizontal="center" vertical="center" wrapText="1"/>
    </xf>
    <xf numFmtId="0" fontId="28" fillId="0" borderId="97" xfId="0" applyFont="1" applyBorder="1" applyAlignment="1">
      <alignment horizontal="center" vertical="center"/>
    </xf>
    <xf numFmtId="0" fontId="28" fillId="0" borderId="98" xfId="0" applyFont="1" applyBorder="1" applyAlignment="1">
      <alignment horizontal="center" vertical="center"/>
    </xf>
    <xf numFmtId="0" fontId="28" fillId="0" borderId="99" xfId="0" applyFont="1" applyBorder="1" applyAlignment="1">
      <alignment horizontal="center" vertical="center"/>
    </xf>
    <xf numFmtId="0" fontId="51" fillId="0" borderId="100" xfId="0" applyFont="1" applyBorder="1" applyAlignment="1">
      <alignment vertical="top" wrapText="1"/>
    </xf>
    <xf numFmtId="3" fontId="51" fillId="0" borderId="75" xfId="0" applyNumberFormat="1" applyFont="1" applyBorder="1" applyAlignment="1">
      <alignment horizontal="right"/>
    </xf>
    <xf numFmtId="0" fontId="51" fillId="0" borderId="101" xfId="0" applyFont="1" applyBorder="1"/>
    <xf numFmtId="0" fontId="51" fillId="0" borderId="102" xfId="0" applyFont="1" applyBorder="1"/>
    <xf numFmtId="0" fontId="51" fillId="0" borderId="100" xfId="0" applyFont="1" applyBorder="1" applyAlignment="1">
      <alignment horizontal="left" vertical="center" wrapText="1"/>
    </xf>
    <xf numFmtId="3" fontId="51" fillId="0" borderId="101" xfId="0" applyNumberFormat="1" applyFont="1" applyBorder="1" applyAlignment="1">
      <alignment horizontal="right"/>
    </xf>
    <xf numFmtId="3" fontId="51" fillId="0" borderId="102" xfId="0" applyNumberFormat="1" applyFont="1" applyBorder="1" applyAlignment="1">
      <alignment horizontal="right"/>
    </xf>
    <xf numFmtId="49" fontId="51" fillId="0" borderId="100" xfId="0" applyNumberFormat="1" applyFont="1" applyBorder="1" applyAlignment="1">
      <alignment vertical="top" wrapText="1"/>
    </xf>
    <xf numFmtId="0" fontId="39" fillId="0" borderId="100" xfId="0" applyFont="1" applyBorder="1" applyAlignment="1">
      <alignment vertical="top" wrapText="1"/>
    </xf>
    <xf numFmtId="3" fontId="39" fillId="0" borderId="75" xfId="0" applyNumberFormat="1" applyFont="1" applyBorder="1" applyAlignment="1">
      <alignment horizontal="right"/>
    </xf>
    <xf numFmtId="3" fontId="39" fillId="0" borderId="101" xfId="0" applyNumberFormat="1" applyFont="1" applyBorder="1" applyAlignment="1">
      <alignment horizontal="right"/>
    </xf>
    <xf numFmtId="3" fontId="39" fillId="0" borderId="102" xfId="0" applyNumberFormat="1" applyFont="1" applyBorder="1" applyAlignment="1">
      <alignment horizontal="right"/>
    </xf>
    <xf numFmtId="0" fontId="54" fillId="0" borderId="100" xfId="0" applyFont="1" applyBorder="1" applyAlignment="1">
      <alignment vertical="top" wrapText="1"/>
    </xf>
    <xf numFmtId="3" fontId="54" fillId="0" borderId="75" xfId="0" applyNumberFormat="1" applyFont="1" applyBorder="1" applyAlignment="1">
      <alignment horizontal="right"/>
    </xf>
    <xf numFmtId="0" fontId="42" fillId="0" borderId="101" xfId="0" applyFont="1" applyBorder="1"/>
    <xf numFmtId="0" fontId="42" fillId="0" borderId="102" xfId="0" applyFont="1" applyBorder="1"/>
    <xf numFmtId="0" fontId="51" fillId="0" borderId="103" xfId="0" applyFont="1" applyBorder="1"/>
    <xf numFmtId="0" fontId="42" fillId="0" borderId="104" xfId="0" applyFont="1" applyBorder="1"/>
    <xf numFmtId="0" fontId="42" fillId="0" borderId="105" xfId="0" applyFont="1" applyBorder="1"/>
    <xf numFmtId="0" fontId="84" fillId="0" borderId="96" xfId="0" applyFont="1" applyBorder="1" applyAlignment="1">
      <alignment horizontal="center" vertical="center" wrapText="1"/>
    </xf>
    <xf numFmtId="0" fontId="84" fillId="0" borderId="97" xfId="0" applyFont="1" applyBorder="1" applyAlignment="1">
      <alignment horizontal="center" vertical="center"/>
    </xf>
    <xf numFmtId="0" fontId="84" fillId="0" borderId="98" xfId="0" applyFont="1" applyBorder="1" applyAlignment="1">
      <alignment horizontal="center" vertical="center"/>
    </xf>
    <xf numFmtId="0" fontId="51" fillId="0" borderId="75" xfId="0" applyFont="1" applyBorder="1"/>
    <xf numFmtId="0" fontId="39" fillId="0" borderId="101" xfId="0" applyFont="1" applyBorder="1"/>
    <xf numFmtId="0" fontId="39" fillId="0" borderId="102" xfId="0" applyFont="1" applyBorder="1"/>
    <xf numFmtId="3" fontId="51" fillId="0" borderId="101" xfId="0" applyNumberFormat="1" applyFont="1" applyBorder="1"/>
    <xf numFmtId="3" fontId="51" fillId="0" borderId="102" xfId="0" applyNumberFormat="1" applyFont="1" applyBorder="1"/>
    <xf numFmtId="3" fontId="39" fillId="0" borderId="101" xfId="0" applyNumberFormat="1" applyFont="1" applyBorder="1"/>
    <xf numFmtId="3" fontId="39" fillId="0" borderId="102" xfId="0" applyNumberFormat="1" applyFont="1" applyBorder="1"/>
    <xf numFmtId="0" fontId="39" fillId="0" borderId="106" xfId="0" applyFont="1" applyBorder="1" applyAlignment="1">
      <alignment wrapText="1"/>
    </xf>
    <xf numFmtId="3" fontId="39" fillId="0" borderId="104" xfId="0" applyNumberFormat="1" applyFont="1" applyBorder="1"/>
    <xf numFmtId="3" fontId="39" fillId="0" borderId="105" xfId="0" applyNumberFormat="1" applyFont="1" applyBorder="1"/>
    <xf numFmtId="0" fontId="26" fillId="0" borderId="95" xfId="0" applyFont="1" applyBorder="1" applyAlignment="1">
      <alignment wrapText="1"/>
    </xf>
    <xf numFmtId="0" fontId="51" fillId="0" borderId="106" xfId="0" applyFont="1" applyBorder="1" applyAlignment="1">
      <alignment wrapText="1"/>
    </xf>
    <xf numFmtId="0" fontId="51" fillId="0" borderId="0" xfId="0" applyFont="1" applyBorder="1" applyAlignment="1">
      <alignment wrapText="1"/>
    </xf>
    <xf numFmtId="0" fontId="42" fillId="0" borderId="0" xfId="0" applyFont="1" applyAlignment="1">
      <alignment wrapText="1"/>
    </xf>
    <xf numFmtId="0" fontId="51" fillId="0" borderId="100" xfId="0" applyFont="1" applyBorder="1" applyAlignment="1">
      <alignment wrapText="1"/>
    </xf>
    <xf numFmtId="0" fontId="39" fillId="0" borderId="100" xfId="0" applyFont="1" applyBorder="1" applyAlignment="1">
      <alignment wrapText="1"/>
    </xf>
    <xf numFmtId="0" fontId="0" fillId="0" borderId="0" xfId="0" applyAlignment="1">
      <alignment wrapText="1"/>
    </xf>
    <xf numFmtId="2" fontId="43" fillId="0" borderId="105" xfId="0" applyNumberFormat="1" applyFont="1" applyBorder="1" applyAlignment="1">
      <alignment horizontal="center"/>
    </xf>
    <xf numFmtId="0" fontId="43" fillId="0" borderId="75" xfId="0" applyFont="1" applyBorder="1" applyAlignment="1">
      <alignment horizontal="center" vertical="center" wrapText="1"/>
    </xf>
    <xf numFmtId="0" fontId="43" fillId="0" borderId="102" xfId="0" applyFont="1" applyBorder="1" applyAlignment="1">
      <alignment horizontal="center" vertical="center" wrapText="1"/>
    </xf>
    <xf numFmtId="0" fontId="42" fillId="0" borderId="100" xfId="0" applyFont="1" applyBorder="1" applyAlignment="1">
      <alignment horizontal="justify" vertical="top" wrapText="1"/>
    </xf>
    <xf numFmtId="2" fontId="42" fillId="0" borderId="75" xfId="0" applyNumberFormat="1" applyFont="1" applyBorder="1" applyAlignment="1">
      <alignment horizontal="center" vertical="top" wrapText="1"/>
    </xf>
    <xf numFmtId="2" fontId="42" fillId="0" borderId="102" xfId="0" applyNumberFormat="1" applyFont="1" applyBorder="1" applyAlignment="1">
      <alignment horizontal="center" vertical="top" wrapText="1"/>
    </xf>
    <xf numFmtId="0" fontId="25" fillId="0" borderId="100" xfId="0" applyFont="1" applyBorder="1" applyAlignment="1">
      <alignment horizontal="justify" vertical="top" wrapText="1"/>
    </xf>
    <xf numFmtId="2" fontId="25" fillId="0" borderId="75" xfId="0" applyNumberFormat="1" applyFont="1" applyBorder="1" applyAlignment="1">
      <alignment horizontal="center" vertical="top" wrapText="1"/>
    </xf>
    <xf numFmtId="2" fontId="25" fillId="0" borderId="102" xfId="0" applyNumberFormat="1" applyFont="1" applyBorder="1" applyAlignment="1">
      <alignment horizontal="center" vertical="top" wrapText="1"/>
    </xf>
    <xf numFmtId="0" fontId="42" fillId="0" borderId="100" xfId="0" applyFont="1" applyBorder="1" applyAlignment="1">
      <alignment horizontal="left" vertical="center" wrapText="1"/>
    </xf>
    <xf numFmtId="0" fontId="43" fillId="0" borderId="100" xfId="0" applyFont="1" applyBorder="1" applyAlignment="1">
      <alignment horizontal="justify" vertical="top" wrapText="1"/>
    </xf>
    <xf numFmtId="2" fontId="43" fillId="0" borderId="75" xfId="0" applyNumberFormat="1" applyFont="1" applyBorder="1" applyAlignment="1">
      <alignment horizontal="center" vertical="top" wrapText="1"/>
    </xf>
    <xf numFmtId="2" fontId="43" fillId="0" borderId="102" xfId="0" applyNumberFormat="1" applyFont="1" applyBorder="1" applyAlignment="1">
      <alignment horizontal="center" vertical="top" wrapText="1"/>
    </xf>
    <xf numFmtId="2" fontId="42" fillId="0" borderId="75" xfId="0" applyNumberFormat="1" applyFont="1" applyBorder="1" applyAlignment="1">
      <alignment horizontal="center"/>
    </xf>
    <xf numFmtId="2" fontId="42" fillId="0" borderId="102" xfId="0" applyNumberFormat="1" applyFont="1" applyBorder="1" applyAlignment="1">
      <alignment horizontal="center"/>
    </xf>
    <xf numFmtId="49" fontId="42" fillId="0" borderId="100" xfId="0" applyNumberFormat="1" applyFont="1" applyBorder="1" applyAlignment="1">
      <alignment horizontal="justify" vertical="top" wrapText="1"/>
    </xf>
    <xf numFmtId="0" fontId="43" fillId="0" borderId="106" xfId="0" applyFont="1" applyBorder="1" applyAlignment="1">
      <alignment horizontal="justify" vertical="top" wrapText="1"/>
    </xf>
    <xf numFmtId="2" fontId="43" fillId="0" borderId="103" xfId="0" applyNumberFormat="1" applyFont="1" applyBorder="1" applyAlignment="1">
      <alignment horizontal="center" vertical="top" wrapText="1"/>
    </xf>
    <xf numFmtId="2" fontId="43" fillId="0" borderId="105" xfId="0" applyNumberFormat="1" applyFont="1" applyBorder="1" applyAlignment="1">
      <alignment horizontal="center" vertical="top" wrapText="1"/>
    </xf>
    <xf numFmtId="0" fontId="42" fillId="0" borderId="100" xfId="0" applyFont="1" applyBorder="1"/>
    <xf numFmtId="0" fontId="43" fillId="0" borderId="106" xfId="0" applyFont="1" applyBorder="1"/>
    <xf numFmtId="2" fontId="43" fillId="0" borderId="103" xfId="0" applyNumberFormat="1" applyFont="1" applyBorder="1" applyAlignment="1">
      <alignment horizontal="center"/>
    </xf>
    <xf numFmtId="3" fontId="82" fillId="0" borderId="107" xfId="87" applyNumberFormat="1" applyFont="1" applyBorder="1" applyAlignment="1">
      <alignment horizontal="center"/>
      <protection/>
    </xf>
    <xf numFmtId="3" fontId="61" fillId="0" borderId="108" xfId="87" applyNumberFormat="1" applyFont="1" applyBorder="1" applyAlignment="1">
      <alignment horizontal="right" vertical="center"/>
      <protection/>
    </xf>
    <xf numFmtId="3" fontId="68" fillId="0" borderId="81" xfId="87" applyNumberFormat="1" applyFont="1" applyBorder="1" applyAlignment="1">
      <alignment vertical="center"/>
      <protection/>
    </xf>
    <xf numFmtId="3" fontId="61" fillId="0" borderId="109" xfId="87" applyNumberFormat="1" applyFont="1" applyBorder="1" applyAlignment="1">
      <alignment horizontal="right" vertical="center"/>
      <protection/>
    </xf>
    <xf numFmtId="3" fontId="85" fillId="0" borderId="109" xfId="87" applyNumberFormat="1" applyFont="1" applyBorder="1">
      <alignment/>
      <protection/>
    </xf>
    <xf numFmtId="3" fontId="61" fillId="0" borderId="110" xfId="87" applyNumberFormat="1" applyFont="1" applyBorder="1" applyAlignment="1">
      <alignment horizontal="right" vertical="center"/>
      <protection/>
    </xf>
    <xf numFmtId="3" fontId="81" fillId="0" borderId="109" xfId="87" applyNumberFormat="1" applyFont="1" applyBorder="1">
      <alignment/>
      <protection/>
    </xf>
    <xf numFmtId="0" fontId="68" fillId="0" borderId="81" xfId="87" applyFont="1" applyBorder="1" applyAlignment="1">
      <alignment horizontal="right" vertical="center"/>
      <protection/>
    </xf>
    <xf numFmtId="3" fontId="68" fillId="0" borderId="81" xfId="87" applyNumberFormat="1" applyFont="1" applyBorder="1" applyAlignment="1">
      <alignment horizontal="right" vertical="center"/>
      <protection/>
    </xf>
    <xf numFmtId="3" fontId="85" fillId="0" borderId="109" xfId="87" applyNumberFormat="1" applyFont="1" applyBorder="1" applyAlignment="1">
      <alignment horizontal="right" vertical="center"/>
      <protection/>
    </xf>
    <xf numFmtId="3" fontId="61" fillId="0" borderId="81" xfId="87" applyNumberFormat="1" applyFont="1" applyBorder="1" applyAlignment="1">
      <alignment vertical="center"/>
      <protection/>
    </xf>
    <xf numFmtId="3" fontId="79" fillId="0" borderId="109" xfId="87" applyNumberFormat="1" applyFont="1" applyBorder="1" applyAlignment="1">
      <alignment horizontal="right" vertical="center"/>
      <protection/>
    </xf>
    <xf numFmtId="3" fontId="68" fillId="27" borderId="81" xfId="87" applyNumberFormat="1" applyFont="1" applyFill="1" applyBorder="1" applyAlignment="1">
      <alignment vertical="center"/>
      <protection/>
    </xf>
    <xf numFmtId="3" fontId="61" fillId="0" borderId="111" xfId="87" applyNumberFormat="1" applyFont="1" applyBorder="1" applyAlignment="1">
      <alignment horizontal="right" vertical="center"/>
      <protection/>
    </xf>
    <xf numFmtId="0" fontId="39" fillId="0" borderId="27" xfId="62" applyFont="1" applyFill="1" applyBorder="1" applyAlignment="1">
      <alignment wrapText="1"/>
      <protection/>
    </xf>
    <xf numFmtId="3" fontId="39" fillId="0" borderId="64" xfId="62" applyNumberFormat="1" applyFont="1" applyFill="1" applyBorder="1" applyAlignment="1">
      <alignment horizontal="center"/>
      <protection/>
    </xf>
    <xf numFmtId="3" fontId="39" fillId="0" borderId="40" xfId="62" applyNumberFormat="1" applyFont="1" applyFill="1" applyBorder="1" applyAlignment="1">
      <alignment horizontal="center"/>
      <protection/>
    </xf>
    <xf numFmtId="3" fontId="39" fillId="0" borderId="35" xfId="62" applyNumberFormat="1" applyFont="1" applyFill="1" applyBorder="1" applyAlignment="1">
      <alignment horizontal="center"/>
      <protection/>
    </xf>
    <xf numFmtId="0" fontId="49" fillId="0" borderId="112" xfId="0" applyFont="1" applyBorder="1" applyAlignment="1">
      <alignment horizontal="center"/>
    </xf>
    <xf numFmtId="0" fontId="0" fillId="0" borderId="113" xfId="0" applyBorder="1"/>
    <xf numFmtId="3" fontId="39" fillId="0" borderId="114" xfId="62" applyNumberFormat="1" applyFont="1" applyFill="1" applyBorder="1">
      <alignment/>
      <protection/>
    </xf>
    <xf numFmtId="3" fontId="39" fillId="0" borderId="115" xfId="62" applyNumberFormat="1" applyFont="1" applyFill="1" applyBorder="1">
      <alignment/>
      <protection/>
    </xf>
    <xf numFmtId="3" fontId="86" fillId="0" borderId="113" xfId="0" applyNumberFormat="1" applyFont="1" applyBorder="1"/>
    <xf numFmtId="3" fontId="0" fillId="0" borderId="113" xfId="0" applyNumberFormat="1" applyBorder="1"/>
    <xf numFmtId="3" fontId="87" fillId="0" borderId="113" xfId="62" applyNumberFormat="1" applyFont="1" applyFill="1" applyBorder="1">
      <alignment/>
      <protection/>
    </xf>
    <xf numFmtId="3" fontId="0" fillId="0" borderId="113" xfId="0" applyNumberFormat="1" applyBorder="1" applyAlignment="1">
      <alignment horizontal="right"/>
    </xf>
    <xf numFmtId="3" fontId="88" fillId="0" borderId="113" xfId="0" applyNumberFormat="1" applyFont="1" applyBorder="1"/>
    <xf numFmtId="3" fontId="89" fillId="0" borderId="113" xfId="0" applyNumberFormat="1" applyFont="1" applyBorder="1"/>
    <xf numFmtId="3" fontId="90" fillId="0" borderId="113" xfId="62" applyNumberFormat="1" applyFont="1" applyFill="1" applyBorder="1">
      <alignment/>
      <protection/>
    </xf>
    <xf numFmtId="3" fontId="54" fillId="0" borderId="115" xfId="62" applyNumberFormat="1" applyFont="1" applyFill="1" applyBorder="1">
      <alignment/>
      <protection/>
    </xf>
    <xf numFmtId="3" fontId="51" fillId="0" borderId="116" xfId="62" applyNumberFormat="1" applyFont="1" applyFill="1" applyBorder="1">
      <alignment/>
      <protection/>
    </xf>
    <xf numFmtId="3" fontId="39" fillId="0" borderId="117" xfId="62" applyNumberFormat="1" applyFont="1" applyFill="1" applyBorder="1">
      <alignment/>
      <protection/>
    </xf>
    <xf numFmtId="3" fontId="51" fillId="0" borderId="113" xfId="62" applyNumberFormat="1" applyFont="1" applyFill="1" applyBorder="1">
      <alignment/>
      <protection/>
    </xf>
    <xf numFmtId="3" fontId="39" fillId="0" borderId="118" xfId="62" applyNumberFormat="1" applyFont="1" applyFill="1" applyBorder="1">
      <alignment/>
      <protection/>
    </xf>
    <xf numFmtId="49" fontId="64" fillId="0" borderId="55" xfId="81" applyNumberFormat="1" applyFont="1" applyFill="1" applyBorder="1" applyAlignment="1">
      <alignment horizontal="left" vertical="center" wrapText="1"/>
      <protection/>
    </xf>
    <xf numFmtId="0" fontId="70" fillId="0" borderId="119" xfId="0" applyFont="1" applyBorder="1"/>
    <xf numFmtId="0" fontId="92" fillId="0" borderId="0" xfId="77" applyFont="1">
      <alignment/>
      <protection/>
    </xf>
    <xf numFmtId="0" fontId="92" fillId="0" borderId="0" xfId="82" applyFont="1">
      <alignment/>
      <protection/>
    </xf>
    <xf numFmtId="0" fontId="74" fillId="0" borderId="30" xfId="88" applyFont="1" applyBorder="1" applyAlignment="1">
      <alignment horizontal="left" vertical="center" wrapText="1"/>
      <protection/>
    </xf>
    <xf numFmtId="0" fontId="51" fillId="0" borderId="120" xfId="63" applyFont="1" applyBorder="1">
      <alignment/>
      <protection/>
    </xf>
    <xf numFmtId="0" fontId="53" fillId="0" borderId="0" xfId="63" applyFont="1" applyBorder="1">
      <alignment/>
      <protection/>
    </xf>
    <xf numFmtId="0" fontId="39" fillId="0" borderId="39" xfId="63" applyFont="1" applyBorder="1" applyAlignment="1">
      <alignment horizontal="center" vertical="center"/>
      <protection/>
    </xf>
    <xf numFmtId="0" fontId="39" fillId="0" borderId="39" xfId="63" applyFont="1" applyBorder="1" applyAlignment="1">
      <alignment wrapText="1"/>
      <protection/>
    </xf>
    <xf numFmtId="0" fontId="51" fillId="0" borderId="39" xfId="63" applyFont="1" applyBorder="1" applyAlignment="1">
      <alignment wrapText="1"/>
      <protection/>
    </xf>
    <xf numFmtId="0" fontId="39" fillId="0" borderId="58" xfId="63" applyFont="1" applyBorder="1">
      <alignment/>
      <protection/>
    </xf>
    <xf numFmtId="0" fontId="39" fillId="0" borderId="28" xfId="63" applyFont="1" applyBorder="1" applyAlignment="1">
      <alignment horizontal="center" vertical="center"/>
      <protection/>
    </xf>
    <xf numFmtId="0" fontId="39" fillId="0" borderId="30" xfId="63" applyFont="1" applyBorder="1" applyAlignment="1">
      <alignment horizontal="center" vertical="center" wrapText="1"/>
      <protection/>
    </xf>
    <xf numFmtId="0" fontId="39" fillId="0" borderId="39" xfId="63" applyFont="1" applyBorder="1" applyAlignment="1">
      <alignment horizontal="center" vertical="center" wrapText="1"/>
      <protection/>
    </xf>
    <xf numFmtId="0" fontId="39" fillId="0" borderId="117" xfId="63" applyFont="1" applyBorder="1" applyAlignment="1">
      <alignment horizontal="center" vertical="center" wrapText="1"/>
      <protection/>
    </xf>
    <xf numFmtId="0" fontId="39" fillId="0" borderId="28" xfId="63" applyFont="1" applyBorder="1">
      <alignment/>
      <protection/>
    </xf>
    <xf numFmtId="0" fontId="51" fillId="0" borderId="28" xfId="63" applyFont="1" applyBorder="1">
      <alignment/>
      <protection/>
    </xf>
    <xf numFmtId="3" fontId="51" fillId="0" borderId="31" xfId="63" applyNumberFormat="1" applyFont="1" applyBorder="1">
      <alignment/>
      <protection/>
    </xf>
    <xf numFmtId="0" fontId="39" fillId="0" borderId="29" xfId="63" applyFont="1" applyBorder="1">
      <alignment/>
      <protection/>
    </xf>
    <xf numFmtId="0" fontId="39" fillId="0" borderId="41" xfId="63" applyFont="1" applyBorder="1" applyAlignment="1">
      <alignment horizontal="center" wrapText="1"/>
      <protection/>
    </xf>
    <xf numFmtId="3" fontId="39" fillId="0" borderId="42" xfId="63" applyNumberFormat="1" applyFont="1" applyBorder="1" applyAlignment="1">
      <alignment horizontal="right" vertical="center"/>
      <protection/>
    </xf>
    <xf numFmtId="0" fontId="39" fillId="0" borderId="28" xfId="63" applyFont="1" applyBorder="1" applyAlignment="1">
      <alignment horizontal="left" vertical="center"/>
      <protection/>
    </xf>
    <xf numFmtId="0" fontId="51" fillId="0" borderId="28" xfId="63" applyFont="1" applyBorder="1" applyAlignment="1">
      <alignment horizontal="left" vertical="center" wrapText="1"/>
      <protection/>
    </xf>
    <xf numFmtId="0" fontId="39" fillId="0" borderId="28" xfId="63" applyFont="1" applyBorder="1" applyAlignment="1">
      <alignment horizontal="left" vertical="center" wrapText="1"/>
      <protection/>
    </xf>
    <xf numFmtId="0" fontId="39" fillId="0" borderId="29" xfId="63" applyFont="1" applyBorder="1" applyAlignment="1">
      <alignment horizontal="left" vertical="center"/>
      <protection/>
    </xf>
    <xf numFmtId="3" fontId="39" fillId="0" borderId="51" xfId="63" applyNumberFormat="1" applyFont="1" applyBorder="1" applyAlignment="1">
      <alignment horizontal="right" vertical="center"/>
      <protection/>
    </xf>
    <xf numFmtId="0" fontId="39" fillId="0" borderId="38" xfId="63" applyFont="1" applyBorder="1" applyAlignment="1">
      <alignment horizontal="center" vertical="center"/>
      <protection/>
    </xf>
    <xf numFmtId="0" fontId="39" fillId="0" borderId="38" xfId="63" applyFont="1" applyBorder="1" applyAlignment="1">
      <alignment horizontal="left" vertical="center"/>
      <protection/>
    </xf>
    <xf numFmtId="3" fontId="39" fillId="0" borderId="54" xfId="63" applyNumberFormat="1" applyFont="1" applyBorder="1" applyAlignment="1">
      <alignment horizontal="right" vertical="center"/>
      <protection/>
    </xf>
    <xf numFmtId="3" fontId="39" fillId="0" borderId="77" xfId="63" applyNumberFormat="1" applyFont="1" applyBorder="1" applyAlignment="1">
      <alignment horizontal="right" vertical="center"/>
      <protection/>
    </xf>
    <xf numFmtId="0" fontId="22" fillId="0" borderId="121" xfId="79" applyFont="1" applyFill="1" applyBorder="1" applyAlignment="1">
      <alignment horizontal="center" vertical="center" wrapText="1"/>
      <protection/>
    </xf>
    <xf numFmtId="49" fontId="22" fillId="0" borderId="122" xfId="79" applyNumberFormat="1" applyFont="1" applyFill="1" applyBorder="1" applyAlignment="1">
      <alignment vertical="center" wrapText="1"/>
      <protection/>
    </xf>
    <xf numFmtId="0" fontId="0" fillId="0" borderId="0" xfId="79" applyFont="1" applyFill="1">
      <alignment/>
      <protection/>
    </xf>
    <xf numFmtId="0" fontId="23" fillId="0" borderId="0" xfId="79" applyFont="1" applyFill="1" applyAlignment="1">
      <alignment horizontal="center"/>
      <protection/>
    </xf>
    <xf numFmtId="0" fontId="22" fillId="0" borderId="0" xfId="79" applyFont="1" applyFill="1">
      <alignment/>
      <protection/>
    </xf>
    <xf numFmtId="0" fontId="43" fillId="0" borderId="123" xfId="79" applyFont="1" applyFill="1" applyBorder="1" applyAlignment="1">
      <alignment horizontal="center"/>
      <protection/>
    </xf>
    <xf numFmtId="0" fontId="22" fillId="0" borderId="124" xfId="79" applyFont="1" applyFill="1" applyBorder="1" applyAlignment="1">
      <alignment horizontal="center" vertical="center" wrapText="1"/>
      <protection/>
    </xf>
    <xf numFmtId="0" fontId="23" fillId="0" borderId="125" xfId="79" applyFont="1" applyFill="1" applyBorder="1" applyAlignment="1">
      <alignment horizontal="center" vertical="center" wrapText="1"/>
      <protection/>
    </xf>
    <xf numFmtId="3" fontId="22" fillId="0" borderId="126" xfId="79" applyNumberFormat="1" applyFont="1" applyFill="1" applyBorder="1">
      <alignment/>
      <protection/>
    </xf>
    <xf numFmtId="3" fontId="22" fillId="0" borderId="127" xfId="79" applyNumberFormat="1" applyFont="1" applyFill="1" applyBorder="1">
      <alignment/>
      <protection/>
    </xf>
    <xf numFmtId="3" fontId="22" fillId="0" borderId="49" xfId="79" applyNumberFormat="1" applyFont="1" applyFill="1" applyBorder="1">
      <alignment/>
      <protection/>
    </xf>
    <xf numFmtId="3" fontId="22" fillId="0" borderId="128" xfId="79" applyNumberFormat="1" applyFont="1" applyFill="1" applyBorder="1">
      <alignment/>
      <protection/>
    </xf>
    <xf numFmtId="0" fontId="0" fillId="0" borderId="129" xfId="79" applyFont="1" applyFill="1" applyBorder="1">
      <alignment/>
      <protection/>
    </xf>
    <xf numFmtId="0" fontId="58" fillId="0" borderId="130" xfId="79" applyFont="1" applyFill="1" applyBorder="1">
      <alignment/>
      <protection/>
    </xf>
    <xf numFmtId="49" fontId="58" fillId="0" borderId="131" xfId="79" applyNumberFormat="1" applyFont="1" applyFill="1" applyBorder="1">
      <alignment/>
      <protection/>
    </xf>
    <xf numFmtId="2" fontId="22" fillId="0" borderId="126" xfId="79" applyNumberFormat="1" applyFont="1" applyFill="1" applyBorder="1">
      <alignment/>
      <protection/>
    </xf>
    <xf numFmtId="3" fontId="22" fillId="0" borderId="126" xfId="79" applyNumberFormat="1" applyFont="1" applyFill="1" applyBorder="1" applyAlignment="1">
      <alignment horizontal="center"/>
      <protection/>
    </xf>
    <xf numFmtId="3" fontId="22" fillId="0" borderId="126" xfId="79" applyNumberFormat="1" applyFont="1" applyFill="1" applyBorder="1" applyAlignment="1">
      <alignment horizontal="right"/>
      <protection/>
    </xf>
    <xf numFmtId="3" fontId="58" fillId="0" borderId="50" xfId="79" applyNumberFormat="1" applyFont="1" applyFill="1" applyBorder="1" applyAlignment="1">
      <alignment horizontal="right"/>
      <protection/>
    </xf>
    <xf numFmtId="3" fontId="58" fillId="0" borderId="75" xfId="79" applyNumberFormat="1" applyFont="1" applyFill="1" applyBorder="1" applyAlignment="1">
      <alignment horizontal="right"/>
      <protection/>
    </xf>
    <xf numFmtId="3" fontId="22" fillId="0" borderId="75" xfId="79" applyNumberFormat="1" applyFont="1" applyFill="1" applyBorder="1">
      <alignment/>
      <protection/>
    </xf>
    <xf numFmtId="3" fontId="22" fillId="0" borderId="132" xfId="79" applyNumberFormat="1" applyFont="1" applyFill="1" applyBorder="1">
      <alignment/>
      <protection/>
    </xf>
    <xf numFmtId="3" fontId="0" fillId="0" borderId="133" xfId="79" applyNumberFormat="1" applyFont="1" applyFill="1" applyBorder="1">
      <alignment/>
      <protection/>
    </xf>
    <xf numFmtId="0" fontId="22" fillId="0" borderId="134" xfId="79" applyFont="1" applyFill="1" applyBorder="1">
      <alignment/>
      <protection/>
    </xf>
    <xf numFmtId="49" fontId="22" fillId="0" borderId="122" xfId="79" applyNumberFormat="1" applyFont="1" applyFill="1" applyBorder="1">
      <alignment/>
      <protection/>
    </xf>
    <xf numFmtId="2" fontId="22" fillId="0" borderId="75" xfId="79" applyNumberFormat="1" applyFont="1" applyFill="1" applyBorder="1">
      <alignment/>
      <protection/>
    </xf>
    <xf numFmtId="3" fontId="22" fillId="0" borderId="75" xfId="79" applyNumberFormat="1" applyFont="1" applyFill="1" applyBorder="1" applyAlignment="1">
      <alignment horizontal="center"/>
      <protection/>
    </xf>
    <xf numFmtId="3" fontId="22" fillId="0" borderId="75" xfId="79" applyNumberFormat="1" applyFont="1" applyFill="1" applyBorder="1" applyAlignment="1">
      <alignment horizontal="right"/>
      <protection/>
    </xf>
    <xf numFmtId="3" fontId="22" fillId="0" borderId="101" xfId="79" applyNumberFormat="1" applyFont="1" applyFill="1" applyBorder="1" applyAlignment="1">
      <alignment horizontal="right"/>
      <protection/>
    </xf>
    <xf numFmtId="0" fontId="0" fillId="0" borderId="133" xfId="79" applyFont="1" applyFill="1" applyBorder="1">
      <alignment/>
      <protection/>
    </xf>
    <xf numFmtId="0" fontId="24" fillId="0" borderId="134" xfId="79" applyFont="1" applyFill="1" applyBorder="1">
      <alignment/>
      <protection/>
    </xf>
    <xf numFmtId="49" fontId="24" fillId="0" borderId="122" xfId="79" applyNumberFormat="1" applyFont="1" applyFill="1" applyBorder="1">
      <alignment/>
      <protection/>
    </xf>
    <xf numFmtId="166" fontId="22" fillId="0" borderId="75" xfId="79" applyNumberFormat="1" applyFont="1" applyFill="1" applyBorder="1" applyAlignment="1">
      <alignment horizontal="right"/>
      <protection/>
    </xf>
    <xf numFmtId="3" fontId="24" fillId="0" borderId="50" xfId="79" applyNumberFormat="1" applyFont="1" applyFill="1" applyBorder="1" applyAlignment="1">
      <alignment horizontal="right"/>
      <protection/>
    </xf>
    <xf numFmtId="3" fontId="24" fillId="0" borderId="75" xfId="79" applyNumberFormat="1" applyFont="1" applyFill="1" applyBorder="1" applyAlignment="1">
      <alignment horizontal="right"/>
      <protection/>
    </xf>
    <xf numFmtId="49" fontId="25" fillId="0" borderId="122" xfId="79" applyNumberFormat="1" applyFont="1" applyFill="1" applyBorder="1">
      <alignment/>
      <protection/>
    </xf>
    <xf numFmtId="0" fontId="42" fillId="0" borderId="75" xfId="79" applyFont="1" applyFill="1" applyBorder="1">
      <alignment/>
      <protection/>
    </xf>
    <xf numFmtId="3" fontId="42" fillId="0" borderId="75" xfId="79" applyNumberFormat="1" applyFont="1" applyFill="1" applyBorder="1" applyAlignment="1">
      <alignment horizontal="center"/>
      <protection/>
    </xf>
    <xf numFmtId="3" fontId="42" fillId="0" borderId="75" xfId="79" applyNumberFormat="1" applyFont="1" applyFill="1" applyBorder="1" applyAlignment="1">
      <alignment horizontal="right"/>
      <protection/>
    </xf>
    <xf numFmtId="3" fontId="24" fillId="0" borderId="101" xfId="79" applyNumberFormat="1" applyFont="1" applyFill="1" applyBorder="1" applyAlignment="1">
      <alignment horizontal="right"/>
      <protection/>
    </xf>
    <xf numFmtId="3" fontId="42" fillId="0" borderId="75" xfId="79" applyNumberFormat="1" applyFont="1" applyFill="1" applyBorder="1">
      <alignment/>
      <protection/>
    </xf>
    <xf numFmtId="0" fontId="42" fillId="0" borderId="0" xfId="79" applyFont="1" applyFill="1" applyBorder="1">
      <alignment/>
      <protection/>
    </xf>
    <xf numFmtId="49" fontId="24" fillId="0" borderId="122" xfId="79" applyNumberFormat="1" applyFont="1" applyFill="1" applyBorder="1">
      <alignment/>
      <protection/>
    </xf>
    <xf numFmtId="3" fontId="22" fillId="0" borderId="75" xfId="79" applyNumberFormat="1" applyFont="1" applyFill="1" applyBorder="1">
      <alignment/>
      <protection/>
    </xf>
    <xf numFmtId="0" fontId="22" fillId="0" borderId="75" xfId="79" applyFont="1" applyFill="1" applyBorder="1">
      <alignment/>
      <protection/>
    </xf>
    <xf numFmtId="3" fontId="22" fillId="0" borderId="75" xfId="79" applyNumberFormat="1" applyFont="1" applyFill="1" applyBorder="1" applyAlignment="1">
      <alignment horizontal="right"/>
      <protection/>
    </xf>
    <xf numFmtId="0" fontId="58" fillId="0" borderId="134" xfId="79" applyFont="1" applyFill="1" applyBorder="1">
      <alignment/>
      <protection/>
    </xf>
    <xf numFmtId="49" fontId="58" fillId="0" borderId="122" xfId="79" applyNumberFormat="1" applyFont="1" applyFill="1" applyBorder="1">
      <alignment/>
      <protection/>
    </xf>
    <xf numFmtId="49" fontId="42" fillId="0" borderId="75" xfId="79" applyNumberFormat="1" applyFont="1" applyFill="1" applyBorder="1" applyAlignment="1">
      <alignment horizontal="right"/>
      <protection/>
    </xf>
    <xf numFmtId="3" fontId="58" fillId="0" borderId="101" xfId="79" applyNumberFormat="1" applyFont="1" applyFill="1" applyBorder="1" applyAlignment="1">
      <alignment horizontal="right"/>
      <protection/>
    </xf>
    <xf numFmtId="3" fontId="58" fillId="0" borderId="132" xfId="79" applyNumberFormat="1" applyFont="1" applyFill="1" applyBorder="1" applyAlignment="1">
      <alignment horizontal="right"/>
      <protection/>
    </xf>
    <xf numFmtId="49" fontId="58" fillId="0" borderId="135" xfId="79" applyNumberFormat="1" applyFont="1" applyFill="1" applyBorder="1">
      <alignment/>
      <protection/>
    </xf>
    <xf numFmtId="3" fontId="22" fillId="0" borderId="122" xfId="79" applyNumberFormat="1" applyFont="1" applyFill="1" applyBorder="1" applyAlignment="1">
      <alignment horizontal="center"/>
      <protection/>
    </xf>
    <xf numFmtId="3" fontId="22" fillId="0" borderId="75" xfId="79" applyNumberFormat="1" applyFont="1" applyFill="1" applyBorder="1" applyAlignment="1">
      <alignment horizontal="center"/>
      <protection/>
    </xf>
    <xf numFmtId="0" fontId="23" fillId="0" borderId="134" xfId="79" applyFont="1" applyFill="1" applyBorder="1">
      <alignment/>
      <protection/>
    </xf>
    <xf numFmtId="49" fontId="23" fillId="0" borderId="122" xfId="79" applyNumberFormat="1" applyFont="1" applyFill="1" applyBorder="1" applyAlignment="1">
      <alignment/>
      <protection/>
    </xf>
    <xf numFmtId="0" fontId="23" fillId="0" borderId="75" xfId="79" applyFont="1" applyFill="1" applyBorder="1" applyAlignment="1">
      <alignment/>
      <protection/>
    </xf>
    <xf numFmtId="3" fontId="23" fillId="0" borderId="75" xfId="79" applyNumberFormat="1" applyFont="1" applyFill="1" applyBorder="1" applyAlignment="1">
      <alignment horizontal="center"/>
      <protection/>
    </xf>
    <xf numFmtId="0" fontId="23" fillId="0" borderId="75" xfId="79" applyFont="1" applyFill="1" applyBorder="1" applyAlignment="1">
      <alignment horizontal="right" vertical="center" wrapText="1"/>
      <protection/>
    </xf>
    <xf numFmtId="3" fontId="23" fillId="0" borderId="101" xfId="79" applyNumberFormat="1" applyFont="1" applyFill="1" applyBorder="1" applyAlignment="1">
      <alignment horizontal="right"/>
      <protection/>
    </xf>
    <xf numFmtId="3" fontId="23" fillId="0" borderId="75" xfId="79" applyNumberFormat="1" applyFont="1" applyFill="1" applyBorder="1" applyAlignment="1">
      <alignment horizontal="right"/>
      <protection/>
    </xf>
    <xf numFmtId="3" fontId="23" fillId="0" borderId="132" xfId="79" applyNumberFormat="1" applyFont="1" applyFill="1" applyBorder="1" applyAlignment="1">
      <alignment horizontal="right"/>
      <protection/>
    </xf>
    <xf numFmtId="3" fontId="23" fillId="0" borderId="135" xfId="79" applyNumberFormat="1" applyFont="1" applyFill="1" applyBorder="1" applyAlignment="1">
      <alignment horizontal="right"/>
      <protection/>
    </xf>
    <xf numFmtId="49" fontId="58" fillId="0" borderId="122" xfId="79" applyNumberFormat="1" applyFont="1" applyFill="1" applyBorder="1" applyAlignment="1">
      <alignment vertical="center" wrapText="1"/>
      <protection/>
    </xf>
    <xf numFmtId="166" fontId="42" fillId="0" borderId="75" xfId="79" applyNumberFormat="1" applyFont="1" applyFill="1" applyBorder="1">
      <alignment/>
      <protection/>
    </xf>
    <xf numFmtId="3" fontId="22" fillId="0" borderId="101" xfId="79" applyNumberFormat="1" applyFont="1" applyFill="1" applyBorder="1" applyAlignment="1">
      <alignment horizontal="right"/>
      <protection/>
    </xf>
    <xf numFmtId="49" fontId="23" fillId="0" borderId="122" xfId="79" applyNumberFormat="1" applyFont="1" applyFill="1" applyBorder="1" applyAlignment="1">
      <alignment vertical="center" wrapText="1"/>
      <protection/>
    </xf>
    <xf numFmtId="0" fontId="22" fillId="0" borderId="75" xfId="79" applyFont="1" applyFill="1" applyBorder="1">
      <alignment/>
      <protection/>
    </xf>
    <xf numFmtId="0" fontId="22" fillId="0" borderId="134" xfId="79" applyFont="1" applyFill="1" applyBorder="1">
      <alignment/>
      <protection/>
    </xf>
    <xf numFmtId="3" fontId="22" fillId="0" borderId="135" xfId="79" applyNumberFormat="1" applyFont="1" applyFill="1" applyBorder="1" applyAlignment="1">
      <alignment horizontal="right"/>
      <protection/>
    </xf>
    <xf numFmtId="49" fontId="23" fillId="0" borderId="122" xfId="79" applyNumberFormat="1" applyFont="1" applyFill="1" applyBorder="1">
      <alignment/>
      <protection/>
    </xf>
    <xf numFmtId="49" fontId="22" fillId="0" borderId="122" xfId="79" applyNumberFormat="1" applyFont="1" applyFill="1" applyBorder="1">
      <alignment/>
      <protection/>
    </xf>
    <xf numFmtId="4" fontId="22" fillId="0" borderId="75" xfId="79" applyNumberFormat="1" applyFont="1" applyFill="1" applyBorder="1" applyAlignment="1">
      <alignment horizontal="right"/>
      <protection/>
    </xf>
    <xf numFmtId="3" fontId="42" fillId="0" borderId="75" xfId="79" applyNumberFormat="1" applyFont="1" applyFill="1" applyBorder="1" applyAlignment="1">
      <alignment horizontal="center" wrapText="1"/>
      <protection/>
    </xf>
    <xf numFmtId="0" fontId="22" fillId="0" borderId="121" xfId="79" applyFont="1" applyFill="1" applyBorder="1">
      <alignment/>
      <protection/>
    </xf>
    <xf numFmtId="49" fontId="23" fillId="0" borderId="134" xfId="79" applyNumberFormat="1" applyFont="1" applyFill="1" applyBorder="1" applyAlignment="1">
      <alignment vertical="center" wrapText="1"/>
      <protection/>
    </xf>
    <xf numFmtId="49" fontId="23" fillId="0" borderId="100" xfId="79" applyNumberFormat="1" applyFont="1" applyFill="1" applyBorder="1">
      <alignment/>
      <protection/>
    </xf>
    <xf numFmtId="4" fontId="22" fillId="0" borderId="101" xfId="79" applyNumberFormat="1" applyFont="1" applyFill="1" applyBorder="1" applyAlignment="1">
      <alignment horizontal="right"/>
      <protection/>
    </xf>
    <xf numFmtId="166" fontId="22" fillId="0" borderId="75" xfId="79" applyNumberFormat="1" applyFont="1" applyFill="1" applyBorder="1" applyAlignment="1">
      <alignment horizontal="right"/>
      <protection/>
    </xf>
    <xf numFmtId="0" fontId="23" fillId="0" borderId="130" xfId="79" applyFont="1" applyFill="1" applyBorder="1">
      <alignment/>
      <protection/>
    </xf>
    <xf numFmtId="49" fontId="23" fillId="0" borderId="131" xfId="79" applyNumberFormat="1" applyFont="1" applyFill="1" applyBorder="1">
      <alignment/>
      <protection/>
    </xf>
    <xf numFmtId="3" fontId="22" fillId="0" borderId="126" xfId="79" applyNumberFormat="1" applyFont="1" applyFill="1" applyBorder="1" applyAlignment="1">
      <alignment horizontal="center"/>
      <protection/>
    </xf>
    <xf numFmtId="3" fontId="22" fillId="0" borderId="126" xfId="79" applyNumberFormat="1" applyFont="1" applyFill="1" applyBorder="1" applyAlignment="1">
      <alignment horizontal="right"/>
      <protection/>
    </xf>
    <xf numFmtId="3" fontId="23" fillId="0" borderId="136" xfId="79" applyNumberFormat="1" applyFont="1" applyFill="1" applyBorder="1" applyAlignment="1">
      <alignment horizontal="right"/>
      <protection/>
    </xf>
    <xf numFmtId="3" fontId="23" fillId="0" borderId="126" xfId="79" applyNumberFormat="1" applyFont="1" applyFill="1" applyBorder="1" applyAlignment="1">
      <alignment horizontal="right"/>
      <protection/>
    </xf>
    <xf numFmtId="49" fontId="23" fillId="0" borderId="131" xfId="79" applyNumberFormat="1" applyFont="1" applyFill="1" applyBorder="1" applyAlignment="1">
      <alignment vertical="center" wrapText="1"/>
      <protection/>
    </xf>
    <xf numFmtId="49" fontId="22" fillId="0" borderId="131" xfId="79" applyNumberFormat="1" applyFont="1" applyFill="1" applyBorder="1" applyAlignment="1">
      <alignment vertical="center" wrapText="1"/>
      <protection/>
    </xf>
    <xf numFmtId="49" fontId="23" fillId="0" borderId="130" xfId="79" applyNumberFormat="1" applyFont="1" applyFill="1" applyBorder="1" applyAlignment="1">
      <alignment vertical="center" wrapText="1"/>
      <protection/>
    </xf>
    <xf numFmtId="0" fontId="22" fillId="0" borderId="126" xfId="79" applyFont="1" applyFill="1" applyBorder="1">
      <alignment/>
      <protection/>
    </xf>
    <xf numFmtId="3" fontId="58" fillId="0" borderId="135" xfId="79" applyNumberFormat="1" applyFont="1" applyFill="1" applyBorder="1" applyAlignment="1">
      <alignment horizontal="right"/>
      <protection/>
    </xf>
    <xf numFmtId="49" fontId="23" fillId="0" borderId="134" xfId="79" applyNumberFormat="1" applyFont="1" applyFill="1" applyBorder="1" applyAlignment="1">
      <alignment horizontal="left" wrapText="1"/>
      <protection/>
    </xf>
    <xf numFmtId="3" fontId="22" fillId="0" borderId="121" xfId="79" applyNumberFormat="1" applyFont="1" applyFill="1" applyBorder="1" applyAlignment="1">
      <alignment horizontal="center"/>
      <protection/>
    </xf>
    <xf numFmtId="3" fontId="22" fillId="0" borderId="121" xfId="79" applyNumberFormat="1" applyFont="1" applyFill="1" applyBorder="1" applyAlignment="1">
      <alignment horizontal="right"/>
      <protection/>
    </xf>
    <xf numFmtId="3" fontId="23" fillId="0" borderId="137" xfId="79" applyNumberFormat="1" applyFont="1" applyFill="1" applyBorder="1" applyAlignment="1">
      <alignment horizontal="right"/>
      <protection/>
    </xf>
    <xf numFmtId="49" fontId="22" fillId="0" borderId="75" xfId="79" applyNumberFormat="1" applyFont="1" applyFill="1" applyBorder="1" applyAlignment="1">
      <alignment horizontal="right"/>
      <protection/>
    </xf>
    <xf numFmtId="3" fontId="23" fillId="0" borderId="75" xfId="79" applyNumberFormat="1" applyFont="1" applyFill="1" applyBorder="1">
      <alignment/>
      <protection/>
    </xf>
    <xf numFmtId="3" fontId="23" fillId="0" borderId="132" xfId="79" applyNumberFormat="1" applyFont="1" applyFill="1" applyBorder="1">
      <alignment/>
      <protection/>
    </xf>
    <xf numFmtId="0" fontId="58" fillId="0" borderId="138" xfId="79" applyFont="1" applyFill="1" applyBorder="1">
      <alignment/>
      <protection/>
    </xf>
    <xf numFmtId="49" fontId="45" fillId="0" borderId="139" xfId="79" applyNumberFormat="1" applyFont="1" applyFill="1" applyBorder="1">
      <alignment/>
      <protection/>
    </xf>
    <xf numFmtId="0" fontId="45" fillId="0" borderId="140" xfId="79" applyFont="1" applyFill="1" applyBorder="1">
      <alignment/>
      <protection/>
    </xf>
    <xf numFmtId="3" fontId="58" fillId="0" borderId="140" xfId="79" applyNumberFormat="1" applyFont="1" applyFill="1" applyBorder="1" applyAlignment="1">
      <alignment horizontal="center"/>
      <protection/>
    </xf>
    <xf numFmtId="3" fontId="58" fillId="0" borderId="141" xfId="79" applyNumberFormat="1" applyFont="1" applyFill="1" applyBorder="1">
      <alignment/>
      <protection/>
    </xf>
    <xf numFmtId="3" fontId="23" fillId="0" borderId="142" xfId="79" applyNumberFormat="1" applyFont="1" applyFill="1" applyBorder="1">
      <alignment/>
      <protection/>
    </xf>
    <xf numFmtId="3" fontId="23" fillId="0" borderId="141" xfId="79" applyNumberFormat="1" applyFont="1" applyFill="1" applyBorder="1">
      <alignment/>
      <protection/>
    </xf>
    <xf numFmtId="3" fontId="23" fillId="0" borderId="121" xfId="79" applyNumberFormat="1" applyFont="1" applyFill="1" applyBorder="1">
      <alignment/>
      <protection/>
    </xf>
    <xf numFmtId="3" fontId="23" fillId="0" borderId="143" xfId="79" applyNumberFormat="1" applyFont="1" applyFill="1" applyBorder="1">
      <alignment/>
      <protection/>
    </xf>
    <xf numFmtId="0" fontId="22" fillId="0" borderId="144" xfId="79" applyFont="1" applyFill="1" applyBorder="1">
      <alignment/>
      <protection/>
    </xf>
    <xf numFmtId="49" fontId="22" fillId="0" borderId="0" xfId="79" applyNumberFormat="1" applyFont="1" applyFill="1" applyBorder="1">
      <alignment/>
      <protection/>
    </xf>
    <xf numFmtId="0" fontId="22" fillId="0" borderId="0" xfId="79" applyFont="1" applyFill="1" applyBorder="1">
      <alignment/>
      <protection/>
    </xf>
    <xf numFmtId="3" fontId="23" fillId="0" borderId="0" xfId="79" applyNumberFormat="1" applyFont="1" applyFill="1" applyBorder="1" applyAlignment="1">
      <alignment horizontal="center"/>
      <protection/>
    </xf>
    <xf numFmtId="3" fontId="23" fillId="0" borderId="0" xfId="79" applyNumberFormat="1" applyFont="1" applyFill="1" applyBorder="1">
      <alignment/>
      <protection/>
    </xf>
    <xf numFmtId="3" fontId="22" fillId="0" borderId="0" xfId="79" applyNumberFormat="1" applyFont="1" applyFill="1" applyBorder="1">
      <alignment/>
      <protection/>
    </xf>
    <xf numFmtId="0" fontId="22" fillId="0" borderId="127" xfId="79" applyFont="1" applyFill="1" applyBorder="1">
      <alignment/>
      <protection/>
    </xf>
    <xf numFmtId="3" fontId="22" fillId="0" borderId="145" xfId="79" applyNumberFormat="1" applyFont="1" applyFill="1" applyBorder="1">
      <alignment/>
      <protection/>
    </xf>
    <xf numFmtId="3" fontId="22" fillId="0" borderId="146" xfId="79" applyNumberFormat="1" applyFont="1" applyFill="1" applyBorder="1">
      <alignment/>
      <protection/>
    </xf>
    <xf numFmtId="0" fontId="22" fillId="0" borderId="147" xfId="79" applyFont="1" applyFill="1" applyBorder="1">
      <alignment/>
      <protection/>
    </xf>
    <xf numFmtId="49" fontId="22" fillId="0" borderId="49" xfId="79" applyNumberFormat="1" applyFont="1" applyFill="1" applyBorder="1">
      <alignment/>
      <protection/>
    </xf>
    <xf numFmtId="0" fontId="22" fillId="0" borderId="49" xfId="79" applyFont="1" applyFill="1" applyBorder="1">
      <alignment/>
      <protection/>
    </xf>
    <xf numFmtId="3" fontId="23" fillId="0" borderId="49" xfId="79" applyNumberFormat="1" applyFont="1" applyFill="1" applyBorder="1" applyAlignment="1">
      <alignment horizontal="center"/>
      <protection/>
    </xf>
    <xf numFmtId="3" fontId="23" fillId="0" borderId="49" xfId="79" applyNumberFormat="1" applyFont="1" applyFill="1" applyBorder="1">
      <alignment/>
      <protection/>
    </xf>
    <xf numFmtId="3" fontId="22" fillId="0" borderId="48" xfId="79" applyNumberFormat="1" applyFont="1" applyFill="1" applyBorder="1">
      <alignment/>
      <protection/>
    </xf>
    <xf numFmtId="3" fontId="22" fillId="0" borderId="148" xfId="79" applyNumberFormat="1" applyFont="1" applyFill="1" applyBorder="1">
      <alignment/>
      <protection/>
    </xf>
    <xf numFmtId="0" fontId="22" fillId="0" borderId="149" xfId="79" applyFont="1" applyFill="1" applyBorder="1">
      <alignment/>
      <protection/>
    </xf>
    <xf numFmtId="49" fontId="22" fillId="0" borderId="126" xfId="79" applyNumberFormat="1" applyFont="1" applyFill="1" applyBorder="1">
      <alignment/>
      <protection/>
    </xf>
    <xf numFmtId="3" fontId="23" fillId="0" borderId="126" xfId="79" applyNumberFormat="1" applyFont="1" applyFill="1" applyBorder="1" applyAlignment="1">
      <alignment horizontal="center"/>
      <protection/>
    </xf>
    <xf numFmtId="3" fontId="23" fillId="0" borderId="126" xfId="79" applyNumberFormat="1" applyFont="1" applyFill="1" applyBorder="1">
      <alignment/>
      <protection/>
    </xf>
    <xf numFmtId="3" fontId="22" fillId="0" borderId="101" xfId="79" applyNumberFormat="1" applyFont="1" applyFill="1" applyBorder="1">
      <alignment/>
      <protection/>
    </xf>
    <xf numFmtId="3" fontId="22" fillId="0" borderId="126" xfId="79" applyNumberFormat="1" applyFont="1" applyFill="1" applyBorder="1" applyAlignment="1">
      <alignment horizontal="center" vertical="center" wrapText="1"/>
      <protection/>
    </xf>
    <xf numFmtId="3" fontId="22" fillId="0" borderId="126" xfId="79" applyNumberFormat="1" applyFont="1" applyFill="1" applyBorder="1">
      <alignment/>
      <protection/>
    </xf>
    <xf numFmtId="3" fontId="22" fillId="0" borderId="50" xfId="79" applyNumberFormat="1" applyFont="1" applyFill="1" applyBorder="1">
      <alignment/>
      <protection/>
    </xf>
    <xf numFmtId="49" fontId="58" fillId="0" borderId="126" xfId="79" applyNumberFormat="1" applyFont="1" applyFill="1" applyBorder="1">
      <alignment/>
      <protection/>
    </xf>
    <xf numFmtId="3" fontId="58" fillId="0" borderId="50" xfId="79" applyNumberFormat="1" applyFont="1" applyFill="1" applyBorder="1">
      <alignment/>
      <protection/>
    </xf>
    <xf numFmtId="0" fontId="22" fillId="0" borderId="150" xfId="79" applyFont="1" applyFill="1" applyBorder="1">
      <alignment/>
      <protection/>
    </xf>
    <xf numFmtId="49" fontId="22" fillId="0" borderId="75" xfId="79" applyNumberFormat="1" applyFont="1" applyFill="1" applyBorder="1">
      <alignment/>
      <protection/>
    </xf>
    <xf numFmtId="3" fontId="23" fillId="0" borderId="75" xfId="79" applyNumberFormat="1" applyFont="1" applyFill="1" applyBorder="1" applyAlignment="1">
      <alignment horizontal="center"/>
      <protection/>
    </xf>
    <xf numFmtId="3" fontId="23" fillId="0" borderId="75" xfId="79" applyNumberFormat="1" applyFont="1" applyFill="1" applyBorder="1">
      <alignment/>
      <protection/>
    </xf>
    <xf numFmtId="0" fontId="22" fillId="0" borderId="151" xfId="79" applyFont="1" applyFill="1" applyBorder="1">
      <alignment/>
      <protection/>
    </xf>
    <xf numFmtId="49" fontId="58" fillId="0" borderId="75" xfId="79" applyNumberFormat="1" applyFont="1" applyFill="1" applyBorder="1" applyAlignment="1">
      <alignment vertical="center" wrapText="1"/>
      <protection/>
    </xf>
    <xf numFmtId="3" fontId="22" fillId="0" borderId="127" xfId="79" applyNumberFormat="1" applyFont="1" applyFill="1" applyBorder="1" applyAlignment="1">
      <alignment horizontal="center" vertical="center" wrapText="1"/>
      <protection/>
    </xf>
    <xf numFmtId="3" fontId="22" fillId="0" borderId="127" xfId="79" applyNumberFormat="1" applyFont="1" applyFill="1" applyBorder="1">
      <alignment/>
      <protection/>
    </xf>
    <xf numFmtId="3" fontId="58" fillId="0" borderId="152" xfId="79" applyNumberFormat="1" applyFont="1" applyFill="1" applyBorder="1">
      <alignment/>
      <protection/>
    </xf>
    <xf numFmtId="3" fontId="58" fillId="0" borderId="121" xfId="79" applyNumberFormat="1" applyFont="1" applyFill="1" applyBorder="1" applyAlignment="1">
      <alignment horizontal="right"/>
      <protection/>
    </xf>
    <xf numFmtId="49" fontId="45" fillId="0" borderId="122" xfId="79" applyNumberFormat="1" applyFont="1" applyFill="1" applyBorder="1">
      <alignment/>
      <protection/>
    </xf>
    <xf numFmtId="3" fontId="23" fillId="0" borderId="101" xfId="79" applyNumberFormat="1" applyFont="1" applyFill="1" applyBorder="1">
      <alignment/>
      <protection/>
    </xf>
    <xf numFmtId="0" fontId="22" fillId="0" borderId="133" xfId="79" applyFont="1" applyFill="1" applyBorder="1" applyAlignment="1">
      <alignment horizontal="left"/>
      <protection/>
    </xf>
    <xf numFmtId="0" fontId="22" fillId="0" borderId="135" xfId="79" applyFont="1" applyFill="1" applyBorder="1" applyAlignment="1">
      <alignment horizontal="left"/>
      <protection/>
    </xf>
    <xf numFmtId="0" fontId="22" fillId="0" borderId="122" xfId="79" applyFont="1" applyFill="1" applyBorder="1" applyAlignment="1">
      <alignment horizontal="left"/>
      <protection/>
    </xf>
    <xf numFmtId="3" fontId="23" fillId="0" borderId="50" xfId="79" applyNumberFormat="1" applyFont="1" applyFill="1" applyBorder="1">
      <alignment/>
      <protection/>
    </xf>
    <xf numFmtId="3" fontId="22" fillId="0" borderId="153" xfId="79" applyNumberFormat="1" applyFont="1" applyFill="1" applyBorder="1">
      <alignment/>
      <protection/>
    </xf>
    <xf numFmtId="3" fontId="22" fillId="0" borderId="141" xfId="79" applyNumberFormat="1" applyFont="1" applyFill="1" applyBorder="1">
      <alignment/>
      <protection/>
    </xf>
    <xf numFmtId="3" fontId="23" fillId="0" borderId="154" xfId="79" applyNumberFormat="1" applyFont="1" applyFill="1" applyBorder="1">
      <alignment/>
      <protection/>
    </xf>
    <xf numFmtId="3" fontId="0" fillId="0" borderId="155" xfId="79" applyNumberFormat="1" applyFont="1" applyFill="1" applyBorder="1">
      <alignment/>
      <protection/>
    </xf>
    <xf numFmtId="49" fontId="22" fillId="0" borderId="0" xfId="79" applyNumberFormat="1" applyFont="1" applyFill="1">
      <alignment/>
      <protection/>
    </xf>
    <xf numFmtId="3" fontId="23" fillId="0" borderId="0" xfId="79" applyNumberFormat="1" applyFont="1" applyFill="1" applyAlignment="1">
      <alignment horizontal="center"/>
      <protection/>
    </xf>
    <xf numFmtId="3" fontId="23" fillId="0" borderId="0" xfId="79" applyNumberFormat="1" applyFont="1" applyFill="1">
      <alignment/>
      <protection/>
    </xf>
    <xf numFmtId="3" fontId="22" fillId="0" borderId="0" xfId="79" applyNumberFormat="1" applyFont="1" applyFill="1">
      <alignment/>
      <protection/>
    </xf>
    <xf numFmtId="49" fontId="22" fillId="0" borderId="101" xfId="79" applyNumberFormat="1" applyFont="1" applyFill="1" applyBorder="1">
      <alignment/>
      <protection/>
    </xf>
    <xf numFmtId="49" fontId="23" fillId="0" borderId="75" xfId="79" applyNumberFormat="1" applyFont="1" applyFill="1" applyBorder="1">
      <alignment/>
      <protection/>
    </xf>
    <xf numFmtId="49" fontId="23" fillId="0" borderId="75" xfId="79" applyNumberFormat="1" applyFont="1" applyFill="1" applyBorder="1" applyAlignment="1">
      <alignment horizontal="right"/>
      <protection/>
    </xf>
    <xf numFmtId="3" fontId="22" fillId="0" borderId="122" xfId="79" applyNumberFormat="1" applyFont="1" applyFill="1" applyBorder="1">
      <alignment/>
      <protection/>
    </xf>
    <xf numFmtId="3" fontId="22" fillId="0" borderId="121" xfId="79" applyNumberFormat="1" applyFont="1" applyFill="1" applyBorder="1">
      <alignment/>
      <protection/>
    </xf>
    <xf numFmtId="3" fontId="23" fillId="0" borderId="156" xfId="79" applyNumberFormat="1" applyFont="1" applyFill="1" applyBorder="1">
      <alignment/>
      <protection/>
    </xf>
    <xf numFmtId="49" fontId="29" fillId="0" borderId="46" xfId="65" applyNumberFormat="1" applyFont="1" applyBorder="1" applyAlignment="1">
      <alignment wrapText="1"/>
      <protection/>
    </xf>
    <xf numFmtId="3" fontId="29" fillId="0" borderId="46" xfId="65" applyNumberFormat="1" applyFont="1" applyBorder="1">
      <alignment/>
      <protection/>
    </xf>
    <xf numFmtId="0" fontId="29" fillId="0" borderId="46" xfId="65" applyFont="1" applyBorder="1" applyAlignment="1">
      <alignment wrapText="1"/>
      <protection/>
    </xf>
    <xf numFmtId="0" fontId="27" fillId="0" borderId="45" xfId="65" applyFont="1" applyBorder="1" applyAlignment="1">
      <alignment wrapText="1"/>
      <protection/>
    </xf>
    <xf numFmtId="0" fontId="22" fillId="0" borderId="45" xfId="65" applyFont="1" applyBorder="1">
      <alignment/>
      <protection/>
    </xf>
    <xf numFmtId="0" fontId="27" fillId="0" borderId="12" xfId="65" applyFont="1" applyBorder="1" applyAlignment="1">
      <alignment wrapText="1"/>
      <protection/>
    </xf>
    <xf numFmtId="3" fontId="27" fillId="0" borderId="12" xfId="65" applyNumberFormat="1" applyFont="1" applyBorder="1">
      <alignment/>
      <protection/>
    </xf>
    <xf numFmtId="0" fontId="27" fillId="0" borderId="12" xfId="69" applyFont="1" applyBorder="1" applyAlignment="1">
      <alignment wrapText="1"/>
      <protection/>
    </xf>
    <xf numFmtId="3" fontId="27" fillId="0" borderId="12" xfId="69" applyNumberFormat="1" applyFont="1" applyBorder="1">
      <alignment/>
      <protection/>
    </xf>
    <xf numFmtId="0" fontId="27" fillId="0" borderId="23" xfId="65" applyFont="1" applyBorder="1" applyAlignment="1">
      <alignment horizontal="center" wrapText="1"/>
      <protection/>
    </xf>
    <xf numFmtId="0" fontId="27" fillId="0" borderId="157" xfId="65" applyFont="1" applyBorder="1" applyAlignment="1">
      <alignment horizontal="center"/>
      <protection/>
    </xf>
    <xf numFmtId="0" fontId="27" fillId="0" borderId="158" xfId="65" applyFont="1" applyBorder="1" applyAlignment="1">
      <alignment horizontal="center"/>
      <protection/>
    </xf>
    <xf numFmtId="0" fontId="27" fillId="0" borderId="46" xfId="65" applyFont="1" applyBorder="1" applyAlignment="1">
      <alignment horizontal="center"/>
      <protection/>
    </xf>
    <xf numFmtId="0" fontId="27" fillId="0" borderId="14" xfId="65" applyFont="1" applyBorder="1" applyAlignment="1">
      <alignment horizontal="left" wrapText="1"/>
      <protection/>
    </xf>
    <xf numFmtId="0" fontId="27" fillId="0" borderId="14" xfId="65" applyFont="1" applyBorder="1" applyAlignment="1">
      <alignment horizontal="center"/>
      <protection/>
    </xf>
    <xf numFmtId="3" fontId="27" fillId="0" borderId="14" xfId="65" applyNumberFormat="1" applyFont="1" applyBorder="1">
      <alignment/>
      <protection/>
    </xf>
    <xf numFmtId="0" fontId="27" fillId="0" borderId="44" xfId="65" applyFont="1" applyBorder="1" applyAlignment="1">
      <alignment horizontal="left" wrapText="1"/>
      <protection/>
    </xf>
    <xf numFmtId="0" fontId="27" fillId="0" borderId="44" xfId="65" applyFont="1" applyBorder="1" applyAlignment="1">
      <alignment horizontal="center"/>
      <protection/>
    </xf>
    <xf numFmtId="3" fontId="27" fillId="0" borderId="44" xfId="65" applyNumberFormat="1" applyFont="1" applyBorder="1" applyAlignment="1">
      <alignment horizontal="right"/>
      <protection/>
    </xf>
    <xf numFmtId="0" fontId="29" fillId="0" borderId="44" xfId="65" applyFont="1" applyBorder="1" applyAlignment="1">
      <alignment horizontal="left" wrapText="1"/>
      <protection/>
    </xf>
    <xf numFmtId="49" fontId="27" fillId="0" borderId="44" xfId="65" applyNumberFormat="1" applyFont="1" applyBorder="1" applyAlignment="1">
      <alignment wrapText="1"/>
      <protection/>
    </xf>
    <xf numFmtId="0" fontId="33" fillId="0" borderId="44" xfId="0" applyFont="1" applyBorder="1" applyAlignment="1">
      <alignment/>
    </xf>
    <xf numFmtId="49" fontId="29" fillId="0" borderId="26" xfId="65" applyNumberFormat="1" applyFont="1" applyBorder="1" applyAlignment="1">
      <alignment wrapText="1"/>
      <protection/>
    </xf>
    <xf numFmtId="3" fontId="29" fillId="0" borderId="26" xfId="65" applyNumberFormat="1" applyFont="1" applyBorder="1">
      <alignment/>
      <protection/>
    </xf>
    <xf numFmtId="0" fontId="27" fillId="0" borderId="14" xfId="65" applyFont="1" applyBorder="1" applyAlignment="1">
      <alignment horizontal="center" wrapText="1"/>
      <protection/>
    </xf>
    <xf numFmtId="0" fontId="27" fillId="0" borderId="44" xfId="65" applyFont="1" applyBorder="1" applyAlignment="1">
      <alignment horizontal="center" wrapText="1"/>
      <protection/>
    </xf>
    <xf numFmtId="0" fontId="23" fillId="0" borderId="44" xfId="65" applyFont="1" applyBorder="1">
      <alignment/>
      <protection/>
    </xf>
    <xf numFmtId="0" fontId="27" fillId="0" borderId="44" xfId="65" applyFont="1" applyBorder="1" applyAlignment="1">
      <alignment horizontal="left" wrapText="1"/>
      <protection/>
    </xf>
    <xf numFmtId="0" fontId="31" fillId="0" borderId="44" xfId="0" applyFont="1" applyBorder="1" applyAlignment="1">
      <alignment wrapText="1"/>
    </xf>
    <xf numFmtId="0" fontId="31" fillId="0" borderId="44" xfId="65" applyFont="1" applyBorder="1" applyAlignment="1">
      <alignment wrapText="1"/>
      <protection/>
    </xf>
    <xf numFmtId="3" fontId="31" fillId="0" borderId="26" xfId="65" applyNumberFormat="1" applyFont="1" applyBorder="1" applyAlignment="1">
      <alignment wrapText="1"/>
      <protection/>
    </xf>
    <xf numFmtId="3" fontId="31" fillId="0" borderId="26" xfId="65" applyNumberFormat="1" applyFont="1" applyBorder="1">
      <alignment/>
      <protection/>
    </xf>
    <xf numFmtId="0" fontId="22" fillId="0" borderId="26" xfId="65" applyFont="1" applyBorder="1">
      <alignment/>
      <protection/>
    </xf>
    <xf numFmtId="0" fontId="29" fillId="0" borderId="45" xfId="65" applyFont="1" applyBorder="1" applyAlignment="1">
      <alignment wrapText="1"/>
      <protection/>
    </xf>
    <xf numFmtId="3" fontId="29" fillId="0" borderId="45" xfId="65" applyNumberFormat="1" applyFont="1" applyBorder="1">
      <alignment/>
      <protection/>
    </xf>
    <xf numFmtId="0" fontId="22" fillId="0" borderId="44" xfId="65" applyFont="1" applyBorder="1" applyAlignment="1">
      <alignment wrapText="1"/>
      <protection/>
    </xf>
    <xf numFmtId="3" fontId="33" fillId="0" borderId="44" xfId="0" applyNumberFormat="1" applyFont="1" applyBorder="1" applyAlignment="1">
      <alignment wrapText="1"/>
    </xf>
    <xf numFmtId="3" fontId="33" fillId="0" borderId="44" xfId="0" applyNumberFormat="1" applyFont="1" applyBorder="1" applyAlignment="1">
      <alignment wrapText="1"/>
    </xf>
    <xf numFmtId="3" fontId="33" fillId="0" borderId="46" xfId="0" applyNumberFormat="1" applyFont="1" applyBorder="1" applyAlignment="1">
      <alignment wrapText="1"/>
    </xf>
    <xf numFmtId="3" fontId="29" fillId="0" borderId="46" xfId="65" applyNumberFormat="1" applyFont="1" applyBorder="1">
      <alignment/>
      <protection/>
    </xf>
    <xf numFmtId="3" fontId="29" fillId="0" borderId="44" xfId="65" applyNumberFormat="1" applyFont="1" applyBorder="1">
      <alignment/>
      <protection/>
    </xf>
    <xf numFmtId="0" fontId="22" fillId="0" borderId="44" xfId="65" applyFont="1" applyBorder="1">
      <alignment/>
      <protection/>
    </xf>
    <xf numFmtId="0" fontId="29" fillId="0" borderId="44" xfId="65" applyFont="1" applyBorder="1" applyAlignment="1">
      <alignment wrapText="1"/>
      <protection/>
    </xf>
    <xf numFmtId="0" fontId="29" fillId="0" borderId="46" xfId="65" applyFont="1" applyBorder="1" applyAlignment="1">
      <alignment wrapText="1"/>
      <protection/>
    </xf>
    <xf numFmtId="3" fontId="28" fillId="0" borderId="31" xfId="0" applyNumberFormat="1" applyFont="1" applyBorder="1" applyAlignment="1">
      <alignment horizontal="center" wrapText="1"/>
    </xf>
    <xf numFmtId="0" fontId="28" fillId="0" borderId="44" xfId="0" applyFont="1" applyBorder="1"/>
    <xf numFmtId="0" fontId="28" fillId="0" borderId="44" xfId="0" applyFont="1" applyBorder="1" applyAlignment="1">
      <alignment wrapText="1"/>
    </xf>
    <xf numFmtId="0" fontId="26" fillId="0" borderId="44" xfId="0" applyFont="1" applyBorder="1"/>
    <xf numFmtId="0" fontId="26" fillId="0" borderId="44" xfId="0" applyFont="1" applyBorder="1" applyAlignment="1">
      <alignment horizontal="left" wrapText="1"/>
    </xf>
    <xf numFmtId="0" fontId="26" fillId="0" borderId="44" xfId="0" applyFont="1" applyBorder="1"/>
    <xf numFmtId="0" fontId="41" fillId="0" borderId="44" xfId="0" applyFont="1" applyBorder="1"/>
    <xf numFmtId="0" fontId="41" fillId="0" borderId="44" xfId="0" applyFont="1" applyBorder="1" applyAlignment="1">
      <alignment wrapText="1"/>
    </xf>
    <xf numFmtId="49" fontId="41" fillId="0" borderId="44" xfId="0" applyNumberFormat="1" applyFont="1" applyBorder="1" applyAlignment="1">
      <alignment wrapText="1"/>
    </xf>
    <xf numFmtId="3" fontId="28" fillId="0" borderId="44" xfId="0" applyNumberFormat="1" applyFont="1" applyBorder="1"/>
    <xf numFmtId="0" fontId="28" fillId="0" borderId="26" xfId="0" applyFont="1" applyBorder="1" applyAlignment="1">
      <alignment wrapText="1"/>
    </xf>
    <xf numFmtId="3" fontId="36" fillId="0" borderId="57" xfId="0" applyNumberFormat="1" applyFont="1" applyBorder="1" applyAlignment="1">
      <alignment shrinkToFit="1"/>
    </xf>
    <xf numFmtId="3" fontId="36" fillId="0" borderId="29" xfId="0" applyNumberFormat="1" applyFont="1" applyBorder="1"/>
    <xf numFmtId="3" fontId="36" fillId="0" borderId="10" xfId="0" applyNumberFormat="1" applyFont="1" applyBorder="1"/>
    <xf numFmtId="3" fontId="36" fillId="0" borderId="51" xfId="0" applyNumberFormat="1" applyFont="1" applyBorder="1"/>
    <xf numFmtId="3" fontId="36" fillId="0" borderId="58" xfId="0" applyNumberFormat="1" applyFont="1" applyBorder="1"/>
    <xf numFmtId="3" fontId="36" fillId="0" borderId="42" xfId="0" applyNumberFormat="1" applyFont="1" applyBorder="1"/>
    <xf numFmtId="168" fontId="64" fillId="0" borderId="55" xfId="81" applyFont="1" applyFill="1" applyBorder="1" applyAlignment="1">
      <alignment vertical="center"/>
      <protection/>
    </xf>
    <xf numFmtId="168" fontId="64" fillId="0" borderId="159" xfId="81" applyFont="1" applyFill="1" applyBorder="1" applyAlignment="1">
      <alignment vertical="center"/>
      <protection/>
    </xf>
    <xf numFmtId="168" fontId="64" fillId="0" borderId="160" xfId="81" applyFont="1" applyFill="1" applyBorder="1" applyAlignment="1">
      <alignment vertical="center"/>
      <protection/>
    </xf>
    <xf numFmtId="168" fontId="64" fillId="0" borderId="161" xfId="81" applyFont="1" applyFill="1" applyBorder="1" applyAlignment="1">
      <alignment vertical="center"/>
      <protection/>
    </xf>
    <xf numFmtId="0" fontId="0" fillId="0" borderId="0" xfId="88" applyAlignment="1">
      <alignment vertical="center"/>
      <protection/>
    </xf>
    <xf numFmtId="49" fontId="0" fillId="0" borderId="0" xfId="88" applyNumberFormat="1" applyAlignment="1">
      <alignment vertical="center" wrapText="1"/>
      <protection/>
    </xf>
    <xf numFmtId="169" fontId="91" fillId="28" borderId="0" xfId="88" applyNumberFormat="1" applyFont="1" applyFill="1" applyAlignment="1">
      <alignment vertical="center"/>
      <protection/>
    </xf>
    <xf numFmtId="0" fontId="0" fillId="0" borderId="0" xfId="88" applyFill="1" applyAlignment="1">
      <alignment vertical="center"/>
      <protection/>
    </xf>
    <xf numFmtId="49" fontId="0" fillId="0" borderId="0" xfId="88" applyNumberFormat="1" applyFill="1" applyAlignment="1">
      <alignment vertical="center" wrapText="1"/>
      <protection/>
    </xf>
    <xf numFmtId="49" fontId="64" fillId="0" borderId="55" xfId="81" applyNumberFormat="1" applyFont="1" applyFill="1" applyBorder="1" applyAlignment="1">
      <alignment vertical="center" wrapText="1"/>
      <protection/>
    </xf>
    <xf numFmtId="49" fontId="64" fillId="0" borderId="159" xfId="81" applyNumberFormat="1" applyFont="1" applyFill="1" applyBorder="1" applyAlignment="1">
      <alignment horizontal="center" vertical="center"/>
      <protection/>
    </xf>
    <xf numFmtId="49" fontId="64" fillId="0" borderId="159" xfId="81" applyNumberFormat="1" applyFont="1" applyFill="1" applyBorder="1" applyAlignment="1">
      <alignment vertical="center" wrapText="1"/>
      <protection/>
    </xf>
    <xf numFmtId="49" fontId="64" fillId="0" borderId="160" xfId="81" applyNumberFormat="1" applyFont="1" applyFill="1" applyBorder="1" applyAlignment="1">
      <alignment horizontal="center" vertical="center"/>
      <protection/>
    </xf>
    <xf numFmtId="49" fontId="64" fillId="0" borderId="160" xfId="81" applyNumberFormat="1" applyFont="1" applyFill="1" applyBorder="1" applyAlignment="1">
      <alignment vertical="center" wrapText="1"/>
      <protection/>
    </xf>
    <xf numFmtId="49" fontId="64" fillId="0" borderId="161" xfId="81" applyNumberFormat="1" applyFont="1" applyFill="1" applyBorder="1" applyAlignment="1">
      <alignment horizontal="center" vertical="center"/>
      <protection/>
    </xf>
    <xf numFmtId="49" fontId="64" fillId="0" borderId="161" xfId="81" applyNumberFormat="1" applyFont="1" applyFill="1" applyBorder="1" applyAlignment="1">
      <alignment vertical="center" wrapText="1"/>
      <protection/>
    </xf>
    <xf numFmtId="49" fontId="66" fillId="0" borderId="55" xfId="81" applyNumberFormat="1" applyFont="1" applyFill="1" applyBorder="1" applyAlignment="1">
      <alignment horizontal="left" vertical="center" wrapText="1"/>
      <protection/>
    </xf>
    <xf numFmtId="168" fontId="64" fillId="0" borderId="55" xfId="81" applyFont="1" applyFill="1" applyBorder="1" applyAlignment="1">
      <alignment horizontal="left" vertical="center"/>
      <protection/>
    </xf>
    <xf numFmtId="168" fontId="64" fillId="0" borderId="159" xfId="81" applyFont="1" applyFill="1" applyBorder="1" applyAlignment="1">
      <alignment horizontal="left" vertical="center"/>
      <protection/>
    </xf>
    <xf numFmtId="168" fontId="64" fillId="0" borderId="160" xfId="81" applyFont="1" applyFill="1" applyBorder="1" applyAlignment="1">
      <alignment horizontal="left" vertical="center"/>
      <protection/>
    </xf>
    <xf numFmtId="168" fontId="64" fillId="0" borderId="161" xfId="81" applyFont="1" applyFill="1" applyBorder="1" applyAlignment="1">
      <alignment horizontal="left" vertical="center"/>
      <protection/>
    </xf>
    <xf numFmtId="169" fontId="66" fillId="0" borderId="55" xfId="81" applyNumberFormat="1" applyFont="1" applyFill="1" applyBorder="1" applyAlignment="1">
      <alignment vertical="center"/>
      <protection/>
    </xf>
    <xf numFmtId="168" fontId="64" fillId="0" borderId="0" xfId="81" applyFont="1" applyFill="1" applyAlignment="1">
      <alignment horizontal="center" vertical="center"/>
      <protection/>
    </xf>
    <xf numFmtId="169" fontId="66" fillId="0" borderId="0" xfId="81" applyNumberFormat="1" applyFont="1" applyFill="1" applyAlignment="1">
      <alignment horizontal="right" vertical="center"/>
      <protection/>
    </xf>
    <xf numFmtId="169" fontId="64" fillId="0" borderId="0" xfId="81" applyNumberFormat="1" applyFont="1" applyFill="1" applyAlignment="1">
      <alignment vertical="center"/>
      <protection/>
    </xf>
    <xf numFmtId="169" fontId="64" fillId="0" borderId="55" xfId="81" applyNumberFormat="1" applyFont="1" applyFill="1" applyBorder="1" applyAlignment="1">
      <alignment vertical="center"/>
      <protection/>
    </xf>
    <xf numFmtId="169" fontId="64" fillId="0" borderId="55" xfId="81" applyNumberFormat="1" applyFont="1" applyFill="1" applyBorder="1" applyAlignment="1">
      <alignment horizontal="right" vertical="center"/>
      <protection/>
    </xf>
    <xf numFmtId="169" fontId="66" fillId="0" borderId="159" xfId="81" applyNumberFormat="1" applyFont="1" applyFill="1" applyBorder="1" applyAlignment="1">
      <alignment vertical="center"/>
      <protection/>
    </xf>
    <xf numFmtId="169" fontId="64" fillId="0" borderId="159" xfId="81" applyNumberFormat="1" applyFont="1" applyFill="1" applyBorder="1" applyAlignment="1">
      <alignment horizontal="right" vertical="center"/>
      <protection/>
    </xf>
    <xf numFmtId="169" fontId="64" fillId="0" borderId="159" xfId="81" applyNumberFormat="1" applyFont="1" applyFill="1" applyBorder="1" applyAlignment="1">
      <alignment vertical="center"/>
      <protection/>
    </xf>
    <xf numFmtId="169" fontId="66" fillId="0" borderId="160" xfId="81" applyNumberFormat="1" applyFont="1" applyFill="1" applyBorder="1" applyAlignment="1">
      <alignment vertical="center"/>
      <protection/>
    </xf>
    <xf numFmtId="169" fontId="64" fillId="0" borderId="160" xfId="81" applyNumberFormat="1" applyFont="1" applyFill="1" applyBorder="1" applyAlignment="1">
      <alignment horizontal="right" vertical="center"/>
      <protection/>
    </xf>
    <xf numFmtId="169" fontId="64" fillId="0" borderId="160" xfId="81" applyNumberFormat="1" applyFont="1" applyFill="1" applyBorder="1" applyAlignment="1">
      <alignment vertical="center"/>
      <protection/>
    </xf>
    <xf numFmtId="169" fontId="66" fillId="0" borderId="161" xfId="81" applyNumberFormat="1" applyFont="1" applyFill="1" applyBorder="1" applyAlignment="1">
      <alignment vertical="center"/>
      <protection/>
    </xf>
    <xf numFmtId="169" fontId="64" fillId="0" borderId="161" xfId="81" applyNumberFormat="1" applyFont="1" applyFill="1" applyBorder="1" applyAlignment="1">
      <alignment vertical="center"/>
      <protection/>
    </xf>
    <xf numFmtId="168" fontId="64" fillId="0" borderId="55" xfId="81" applyFont="1" applyFill="1" applyBorder="1" applyAlignment="1">
      <alignment horizontal="right" vertical="center"/>
      <protection/>
    </xf>
    <xf numFmtId="3" fontId="1" fillId="0" borderId="93" xfId="62" applyNumberFormat="1" applyFont="1" applyBorder="1">
      <alignment/>
      <protection/>
    </xf>
    <xf numFmtId="3" fontId="43" fillId="0" borderId="162" xfId="62" applyNumberFormat="1" applyFont="1" applyBorder="1" applyAlignment="1">
      <alignment horizontal="center"/>
      <protection/>
    </xf>
    <xf numFmtId="3" fontId="42" fillId="0" borderId="67" xfId="62" applyNumberFormat="1" applyFont="1" applyBorder="1">
      <alignment/>
      <protection/>
    </xf>
    <xf numFmtId="0" fontId="43" fillId="0" borderId="38" xfId="62" applyFont="1" applyBorder="1" applyAlignment="1">
      <alignment wrapText="1"/>
      <protection/>
    </xf>
    <xf numFmtId="3" fontId="43" fillId="0" borderId="67" xfId="62" applyNumberFormat="1" applyFont="1" applyBorder="1">
      <alignment/>
      <protection/>
    </xf>
    <xf numFmtId="0" fontId="83" fillId="0" borderId="163" xfId="85" applyFont="1" applyBorder="1" applyAlignment="1">
      <alignment wrapText="1"/>
      <protection/>
    </xf>
    <xf numFmtId="3" fontId="43" fillId="0" borderId="164" xfId="62" applyNumberFormat="1" applyFont="1" applyBorder="1">
      <alignment/>
      <protection/>
    </xf>
    <xf numFmtId="0" fontId="27" fillId="0" borderId="12" xfId="65" applyFont="1" applyBorder="1" applyAlignment="1">
      <alignment horizontal="center" wrapText="1"/>
      <protection/>
    </xf>
    <xf numFmtId="0" fontId="27" fillId="0" borderId="12" xfId="65" applyFont="1" applyBorder="1" applyAlignment="1">
      <alignment horizontal="center"/>
      <protection/>
    </xf>
    <xf numFmtId="0" fontId="23" fillId="0" borderId="165" xfId="0" applyFont="1" applyBorder="1" applyAlignment="1">
      <alignment/>
    </xf>
    <xf numFmtId="0" fontId="23" fillId="0" borderId="24" xfId="0" applyFont="1" applyBorder="1" applyAlignment="1">
      <alignment/>
    </xf>
    <xf numFmtId="3" fontId="23" fillId="0" borderId="24" xfId="0" applyNumberFormat="1" applyFont="1" applyBorder="1"/>
    <xf numFmtId="3" fontId="23" fillId="0" borderId="24" xfId="0" applyNumberFormat="1" applyFont="1" applyBorder="1"/>
    <xf numFmtId="0" fontId="23" fillId="0" borderId="24" xfId="0" applyFont="1" applyBorder="1"/>
    <xf numFmtId="0" fontId="22" fillId="0" borderId="24" xfId="0" applyFont="1" applyBorder="1"/>
    <xf numFmtId="3" fontId="23" fillId="0" borderId="24" xfId="0" applyNumberFormat="1" applyFont="1" applyBorder="1" applyAlignment="1">
      <alignment/>
    </xf>
    <xf numFmtId="3" fontId="23" fillId="0" borderId="25" xfId="0" applyNumberFormat="1" applyFont="1" applyBorder="1" applyAlignment="1">
      <alignment/>
    </xf>
    <xf numFmtId="3" fontId="23" fillId="0" borderId="74" xfId="0" applyNumberFormat="1" applyFont="1" applyBorder="1" applyAlignment="1">
      <alignment/>
    </xf>
    <xf numFmtId="3" fontId="23" fillId="0" borderId="10" xfId="0" applyNumberFormat="1" applyFont="1" applyBorder="1" applyAlignment="1">
      <alignment horizontal="center" vertical="center" wrapText="1"/>
    </xf>
    <xf numFmtId="3" fontId="23" fillId="0" borderId="42" xfId="0" applyNumberFormat="1" applyFont="1" applyBorder="1" applyAlignment="1">
      <alignment horizontal="center" vertical="center" wrapText="1"/>
    </xf>
    <xf numFmtId="3" fontId="23" fillId="0" borderId="51" xfId="0" applyNumberFormat="1" applyFont="1" applyBorder="1" applyAlignment="1">
      <alignment horizontal="center" vertical="center" wrapText="1"/>
    </xf>
    <xf numFmtId="0" fontId="74" fillId="0" borderId="30" xfId="88" applyFont="1" applyBorder="1" applyAlignment="1">
      <alignment horizontal="left" vertical="center"/>
      <protection/>
    </xf>
    <xf numFmtId="168" fontId="66" fillId="0" borderId="55" xfId="81" applyFont="1" applyFill="1" applyBorder="1" applyAlignment="1">
      <alignment horizontal="left" vertical="center"/>
      <protection/>
    </xf>
    <xf numFmtId="168" fontId="99" fillId="0" borderId="55" xfId="90" applyFont="1" applyFill="1" applyBorder="1" applyAlignment="1">
      <alignment horizontal="center" vertical="center" wrapText="1"/>
      <protection/>
    </xf>
    <xf numFmtId="168" fontId="99" fillId="0" borderId="166" xfId="90" applyFont="1" applyFill="1" applyBorder="1" applyAlignment="1">
      <alignment horizontal="center" vertical="center"/>
      <protection/>
    </xf>
    <xf numFmtId="168" fontId="98" fillId="0" borderId="166" xfId="90" applyFont="1" applyFill="1" applyBorder="1" applyAlignment="1">
      <alignment horizontal="center" vertical="center" wrapText="1"/>
      <protection/>
    </xf>
    <xf numFmtId="3" fontId="2" fillId="0" borderId="167" xfId="87" applyNumberFormat="1" applyFont="1" applyBorder="1">
      <alignment/>
      <protection/>
    </xf>
    <xf numFmtId="3" fontId="2" fillId="0" borderId="109" xfId="87" applyNumberFormat="1" applyFont="1" applyBorder="1">
      <alignment/>
      <protection/>
    </xf>
    <xf numFmtId="3" fontId="2" fillId="0" borderId="109" xfId="87" applyNumberFormat="1" applyFont="1" applyBorder="1" applyAlignment="1">
      <alignment horizontal="right" vertical="center"/>
      <protection/>
    </xf>
    <xf numFmtId="3" fontId="2" fillId="0" borderId="109" xfId="87" applyNumberFormat="1" applyFont="1" applyBorder="1" applyAlignment="1">
      <alignment horizontal="right"/>
      <protection/>
    </xf>
    <xf numFmtId="3" fontId="2" fillId="0" borderId="109" xfId="87" applyNumberFormat="1" applyFont="1" applyBorder="1" applyAlignment="1">
      <alignment vertical="center"/>
      <protection/>
    </xf>
    <xf numFmtId="0" fontId="42" fillId="0" borderId="0" xfId="87" applyFont="1" applyFill="1">
      <alignment/>
      <protection/>
    </xf>
    <xf numFmtId="0" fontId="96" fillId="0" borderId="152" xfId="87" applyFont="1" applyFill="1" applyBorder="1" applyAlignment="1">
      <alignment horizontal="center" vertical="center" wrapText="1"/>
      <protection/>
    </xf>
    <xf numFmtId="0" fontId="42" fillId="0" borderId="75" xfId="87" applyFont="1" applyFill="1" applyBorder="1" applyAlignment="1">
      <alignment horizontal="center" vertical="center" wrapText="1"/>
      <protection/>
    </xf>
    <xf numFmtId="0" fontId="42" fillId="0" borderId="75" xfId="87" applyFont="1" applyFill="1" applyBorder="1" applyAlignment="1">
      <alignment vertical="center" wrapText="1"/>
      <protection/>
    </xf>
    <xf numFmtId="3" fontId="42" fillId="0" borderId="75" xfId="87" applyNumberFormat="1" applyFont="1" applyFill="1" applyBorder="1" applyAlignment="1">
      <alignment vertical="center"/>
      <protection/>
    </xf>
    <xf numFmtId="3" fontId="43" fillId="0" borderId="75" xfId="87" applyNumberFormat="1" applyFont="1" applyFill="1" applyBorder="1" applyAlignment="1">
      <alignment vertical="center"/>
      <protection/>
    </xf>
    <xf numFmtId="3" fontId="42" fillId="0" borderId="0" xfId="87" applyNumberFormat="1" applyFont="1" applyFill="1">
      <alignment/>
      <protection/>
    </xf>
    <xf numFmtId="0" fontId="42" fillId="0" borderId="75" xfId="87" applyFont="1" applyFill="1" applyBorder="1" applyAlignment="1">
      <alignment horizontal="left" vertical="center" wrapText="1"/>
      <protection/>
    </xf>
    <xf numFmtId="3" fontId="42" fillId="0" borderId="0" xfId="87" applyNumberFormat="1" applyFont="1" applyFill="1" applyBorder="1" applyAlignment="1">
      <alignment vertical="center"/>
      <protection/>
    </xf>
    <xf numFmtId="0" fontId="43" fillId="0" borderId="75" xfId="87" applyFont="1" applyFill="1" applyBorder="1" applyAlignment="1">
      <alignment vertical="center" wrapText="1"/>
      <protection/>
    </xf>
    <xf numFmtId="0" fontId="43" fillId="0" borderId="0" xfId="87" applyFont="1" applyFill="1">
      <alignment/>
      <protection/>
    </xf>
    <xf numFmtId="3" fontId="43" fillId="0" borderId="0" xfId="87" applyNumberFormat="1" applyFont="1" applyFill="1">
      <alignment/>
      <protection/>
    </xf>
    <xf numFmtId="0" fontId="43" fillId="0" borderId="75" xfId="87" applyFont="1" applyFill="1" applyBorder="1" applyAlignment="1">
      <alignment horizontal="left" vertical="center" wrapText="1"/>
      <protection/>
    </xf>
    <xf numFmtId="3" fontId="42" fillId="0" borderId="75" xfId="87" applyNumberFormat="1" applyFont="1" applyFill="1" applyBorder="1">
      <alignment/>
      <protection/>
    </xf>
    <xf numFmtId="3" fontId="43" fillId="0" borderId="75" xfId="87" applyNumberFormat="1" applyFont="1" applyFill="1" applyBorder="1">
      <alignment/>
      <protection/>
    </xf>
    <xf numFmtId="3" fontId="42" fillId="0" borderId="75" xfId="87" applyNumberFormat="1" applyFont="1" applyFill="1" applyBorder="1" applyAlignment="1">
      <alignment horizontal="right" vertical="center" wrapText="1"/>
      <protection/>
    </xf>
    <xf numFmtId="3" fontId="42" fillId="0" borderId="0" xfId="87" applyNumberFormat="1" applyFont="1" applyFill="1" applyBorder="1">
      <alignment/>
      <protection/>
    </xf>
    <xf numFmtId="0" fontId="43" fillId="0" borderId="122" xfId="87" applyFont="1" applyFill="1" applyBorder="1" applyAlignment="1">
      <alignment vertical="center" wrapText="1"/>
      <protection/>
    </xf>
    <xf numFmtId="0" fontId="42" fillId="0" borderId="75" xfId="87" applyFont="1" applyFill="1" applyBorder="1">
      <alignment/>
      <protection/>
    </xf>
    <xf numFmtId="0" fontId="42" fillId="0" borderId="122" xfId="87" applyFont="1" applyFill="1" applyBorder="1">
      <alignment/>
      <protection/>
    </xf>
    <xf numFmtId="0" fontId="42" fillId="0" borderId="122" xfId="87" applyFont="1" applyFill="1" applyBorder="1" applyAlignment="1">
      <alignment vertical="center" wrapText="1"/>
      <protection/>
    </xf>
    <xf numFmtId="0" fontId="42" fillId="0" borderId="0" xfId="87" applyFont="1" applyFill="1" applyAlignment="1">
      <alignment horizontal="center"/>
      <protection/>
    </xf>
    <xf numFmtId="0" fontId="62" fillId="0" borderId="0" xfId="82" applyFont="1">
      <alignment/>
      <protection/>
    </xf>
    <xf numFmtId="0" fontId="62" fillId="0" borderId="0" xfId="82" applyFont="1" applyAlignment="1">
      <alignment horizontal="center"/>
      <protection/>
    </xf>
    <xf numFmtId="0" fontId="62" fillId="0" borderId="0" xfId="82" applyFont="1" applyAlignment="1">
      <alignment horizontal="right"/>
      <protection/>
    </xf>
    <xf numFmtId="3" fontId="63" fillId="0" borderId="0" xfId="82" applyNumberFormat="1" applyFont="1" applyAlignment="1">
      <alignment horizontal="right"/>
      <protection/>
    </xf>
    <xf numFmtId="0" fontId="75" fillId="0" borderId="30" xfId="88" applyFont="1" applyBorder="1" applyAlignment="1">
      <alignment horizontal="left"/>
      <protection/>
    </xf>
    <xf numFmtId="3" fontId="74" fillId="0" borderId="30" xfId="88" applyNumberFormat="1" applyFont="1" applyBorder="1">
      <alignment/>
      <protection/>
    </xf>
    <xf numFmtId="3" fontId="75" fillId="0" borderId="30" xfId="88" applyNumberFormat="1" applyFont="1" applyBorder="1">
      <alignment/>
      <protection/>
    </xf>
    <xf numFmtId="0" fontId="75" fillId="0" borderId="30" xfId="88" applyFont="1" applyBorder="1">
      <alignment/>
      <protection/>
    </xf>
    <xf numFmtId="49" fontId="75" fillId="0" borderId="30" xfId="88" applyNumberFormat="1" applyFont="1" applyBorder="1" applyAlignment="1">
      <alignment horizontal="center"/>
      <protection/>
    </xf>
    <xf numFmtId="0" fontId="75" fillId="0" borderId="30" xfId="88" applyFont="1" applyBorder="1" applyAlignment="1">
      <alignment wrapText="1"/>
      <protection/>
    </xf>
    <xf numFmtId="3" fontId="75" fillId="0" borderId="30" xfId="88" applyNumberFormat="1" applyFont="1" applyBorder="1" applyAlignment="1">
      <alignment horizontal="right"/>
      <protection/>
    </xf>
    <xf numFmtId="0" fontId="75" fillId="28" borderId="30" xfId="88" applyFont="1" applyFill="1" applyBorder="1" applyAlignment="1">
      <alignment horizontal="left"/>
      <protection/>
    </xf>
    <xf numFmtId="3" fontId="74" fillId="28" borderId="30" xfId="88" applyNumberFormat="1" applyFont="1" applyFill="1" applyBorder="1">
      <alignment/>
      <protection/>
    </xf>
    <xf numFmtId="3" fontId="75" fillId="28" borderId="30" xfId="88" applyNumberFormat="1" applyFont="1" applyFill="1" applyBorder="1" applyAlignment="1">
      <alignment horizontal="right"/>
      <protection/>
    </xf>
    <xf numFmtId="0" fontId="75" fillId="28" borderId="30" xfId="88" applyFont="1" applyFill="1" applyBorder="1">
      <alignment/>
      <protection/>
    </xf>
    <xf numFmtId="3" fontId="93" fillId="28" borderId="30" xfId="88" applyNumberFormat="1" applyFont="1" applyFill="1" applyBorder="1" applyAlignment="1">
      <alignment horizontal="right"/>
      <protection/>
    </xf>
    <xf numFmtId="3" fontId="75" fillId="28" borderId="30" xfId="88" applyNumberFormat="1" applyFont="1" applyFill="1" applyBorder="1">
      <alignment/>
      <protection/>
    </xf>
    <xf numFmtId="3" fontId="74" fillId="0" borderId="30" xfId="88" applyNumberFormat="1" applyFont="1" applyFill="1" applyBorder="1">
      <alignment/>
      <protection/>
    </xf>
    <xf numFmtId="3" fontId="94" fillId="28" borderId="30" xfId="88" applyNumberFormat="1" applyFont="1" applyFill="1" applyBorder="1" applyAlignment="1">
      <alignment horizontal="right"/>
      <protection/>
    </xf>
    <xf numFmtId="3" fontId="76" fillId="0" borderId="30" xfId="88" applyNumberFormat="1" applyFont="1" applyBorder="1" applyAlignment="1">
      <alignment horizontal="left" wrapText="1"/>
      <protection/>
    </xf>
    <xf numFmtId="0" fontId="75" fillId="0" borderId="30" xfId="88" applyFont="1" applyFill="1" applyBorder="1" applyAlignment="1">
      <alignment horizontal="left"/>
      <protection/>
    </xf>
    <xf numFmtId="0" fontId="75" fillId="0" borderId="30" xfId="88" applyFont="1" applyFill="1" applyBorder="1">
      <alignment/>
      <protection/>
    </xf>
    <xf numFmtId="49" fontId="75" fillId="0" borderId="30" xfId="88" applyNumberFormat="1" applyFont="1" applyFill="1" applyBorder="1" applyAlignment="1">
      <alignment horizontal="center"/>
      <protection/>
    </xf>
    <xf numFmtId="0" fontId="75" fillId="0" borderId="30" xfId="88" applyFont="1" applyFill="1" applyBorder="1" applyAlignment="1">
      <alignment wrapText="1"/>
      <protection/>
    </xf>
    <xf numFmtId="0" fontId="75" fillId="29" borderId="30" xfId="88" applyFont="1" applyFill="1" applyBorder="1" applyAlignment="1">
      <alignment horizontal="left"/>
      <protection/>
    </xf>
    <xf numFmtId="3" fontId="74" fillId="29" borderId="30" xfId="88" applyNumberFormat="1" applyFont="1" applyFill="1" applyBorder="1">
      <alignment/>
      <protection/>
    </xf>
    <xf numFmtId="3" fontId="74" fillId="30" borderId="30" xfId="88" applyNumberFormat="1" applyFont="1" applyFill="1" applyBorder="1">
      <alignment/>
      <protection/>
    </xf>
    <xf numFmtId="3" fontId="75" fillId="29" borderId="30" xfId="88" applyNumberFormat="1" applyFont="1" applyFill="1" applyBorder="1">
      <alignment/>
      <protection/>
    </xf>
    <xf numFmtId="0" fontId="75" fillId="29" borderId="30" xfId="88" applyFont="1" applyFill="1" applyBorder="1">
      <alignment/>
      <protection/>
    </xf>
    <xf numFmtId="0" fontId="75" fillId="31" borderId="30" xfId="88" applyFont="1" applyFill="1" applyBorder="1" applyAlignment="1">
      <alignment horizontal="left"/>
      <protection/>
    </xf>
    <xf numFmtId="3" fontId="74" fillId="31" borderId="30" xfId="88" applyNumberFormat="1" applyFont="1" applyFill="1" applyBorder="1">
      <alignment/>
      <protection/>
    </xf>
    <xf numFmtId="3" fontId="74" fillId="32" borderId="30" xfId="88" applyNumberFormat="1" applyFont="1" applyFill="1" applyBorder="1">
      <alignment/>
      <protection/>
    </xf>
    <xf numFmtId="3" fontId="75" fillId="31" borderId="30" xfId="88" applyNumberFormat="1" applyFont="1" applyFill="1" applyBorder="1">
      <alignment/>
      <protection/>
    </xf>
    <xf numFmtId="0" fontId="75" fillId="31" borderId="30" xfId="88" applyFont="1" applyFill="1" applyBorder="1">
      <alignment/>
      <protection/>
    </xf>
    <xf numFmtId="3" fontId="75" fillId="31" borderId="30" xfId="88" applyNumberFormat="1" applyFont="1" applyFill="1" applyBorder="1" applyAlignment="1">
      <alignment horizontal="right"/>
      <protection/>
    </xf>
    <xf numFmtId="0" fontId="93" fillId="0" borderId="30" xfId="88" applyFont="1" applyBorder="1" applyAlignment="1">
      <alignment wrapText="1"/>
      <protection/>
    </xf>
    <xf numFmtId="0" fontId="75" fillId="0" borderId="30" xfId="88" applyFont="1" applyBorder="1" applyAlignment="1">
      <alignment horizontal="right"/>
      <protection/>
    </xf>
    <xf numFmtId="0" fontId="75" fillId="33" borderId="30" xfId="88" applyFont="1" applyFill="1" applyBorder="1" applyAlignment="1">
      <alignment horizontal="left"/>
      <protection/>
    </xf>
    <xf numFmtId="3" fontId="74" fillId="33" borderId="30" xfId="88" applyNumberFormat="1" applyFont="1" applyFill="1" applyBorder="1">
      <alignment/>
      <protection/>
    </xf>
    <xf numFmtId="3" fontId="74" fillId="34" borderId="30" xfId="88" applyNumberFormat="1" applyFont="1" applyFill="1" applyBorder="1">
      <alignment/>
      <protection/>
    </xf>
    <xf numFmtId="3" fontId="75" fillId="33" borderId="30" xfId="88" applyNumberFormat="1" applyFont="1" applyFill="1" applyBorder="1" applyAlignment="1">
      <alignment horizontal="right"/>
      <protection/>
    </xf>
    <xf numFmtId="0" fontId="75" fillId="33" borderId="30" xfId="88" applyFont="1" applyFill="1" applyBorder="1" applyAlignment="1">
      <alignment horizontal="right"/>
      <protection/>
    </xf>
    <xf numFmtId="0" fontId="75" fillId="33" borderId="30" xfId="88" applyFont="1" applyFill="1" applyBorder="1">
      <alignment/>
      <protection/>
    </xf>
    <xf numFmtId="3" fontId="95" fillId="34" borderId="30" xfId="88" applyNumberFormat="1" applyFont="1" applyFill="1" applyBorder="1">
      <alignment/>
      <protection/>
    </xf>
    <xf numFmtId="0" fontId="74" fillId="0" borderId="30" xfId="88" applyFont="1" applyBorder="1" applyAlignment="1">
      <alignment horizontal="left"/>
      <protection/>
    </xf>
    <xf numFmtId="0" fontId="74" fillId="28" borderId="30" xfId="88" applyFont="1" applyFill="1" applyBorder="1" applyAlignment="1">
      <alignment horizontal="left"/>
      <protection/>
    </xf>
    <xf numFmtId="0" fontId="74" fillId="24" borderId="30" xfId="88" applyFont="1" applyFill="1" applyBorder="1" applyAlignment="1">
      <alignment horizontal="left"/>
      <protection/>
    </xf>
    <xf numFmtId="3" fontId="74" fillId="24" borderId="30" xfId="88" applyNumberFormat="1" applyFont="1" applyFill="1" applyBorder="1">
      <alignment/>
      <protection/>
    </xf>
    <xf numFmtId="3" fontId="74" fillId="35" borderId="30" xfId="88" applyNumberFormat="1" applyFont="1" applyFill="1" applyBorder="1">
      <alignment/>
      <protection/>
    </xf>
    <xf numFmtId="3" fontId="74" fillId="0" borderId="30" xfId="88" applyNumberFormat="1" applyFont="1" applyBorder="1" applyAlignment="1">
      <alignment/>
      <protection/>
    </xf>
    <xf numFmtId="0" fontId="74" fillId="0" borderId="30" xfId="88" applyFont="1" applyBorder="1" applyAlignment="1">
      <alignment horizontal="left" wrapText="1"/>
      <protection/>
    </xf>
    <xf numFmtId="0" fontId="77" fillId="0" borderId="30" xfId="88" applyFont="1" applyBorder="1">
      <alignment/>
      <protection/>
    </xf>
    <xf numFmtId="0" fontId="77" fillId="0" borderId="30" xfId="88" applyFont="1" applyBorder="1" applyAlignment="1">
      <alignment wrapText="1"/>
      <protection/>
    </xf>
    <xf numFmtId="0" fontId="63" fillId="0" borderId="0" xfId="82" applyFont="1" applyBorder="1" applyAlignment="1">
      <alignment vertical="center" wrapText="1"/>
      <protection/>
    </xf>
    <xf numFmtId="169" fontId="102" fillId="0" borderId="55" xfId="81" applyNumberFormat="1" applyFont="1" applyFill="1" applyBorder="1" applyAlignment="1">
      <alignment vertical="center"/>
      <protection/>
    </xf>
    <xf numFmtId="0" fontId="0" fillId="0" borderId="166" xfId="88" applyBorder="1" applyAlignment="1">
      <alignment vertical="center"/>
      <protection/>
    </xf>
    <xf numFmtId="0" fontId="42" fillId="0" borderId="0" xfId="84" applyFont="1" applyFill="1" applyAlignment="1">
      <alignment horizontal="left"/>
      <protection/>
    </xf>
    <xf numFmtId="0" fontId="93" fillId="0" borderId="0" xfId="84" applyFont="1" applyFill="1" applyAlignment="1">
      <alignment horizontal="left"/>
      <protection/>
    </xf>
    <xf numFmtId="3" fontId="42" fillId="0" borderId="0" xfId="68" applyNumberFormat="1" applyFont="1" applyAlignment="1">
      <alignment horizontal="left" wrapText="1"/>
      <protection/>
    </xf>
    <xf numFmtId="0" fontId="23" fillId="0" borderId="28" xfId="0" applyFont="1" applyBorder="1" applyAlignment="1">
      <alignment horizontal="left"/>
    </xf>
    <xf numFmtId="0" fontId="23" fillId="0" borderId="30" xfId="0" applyFont="1" applyBorder="1" applyAlignment="1">
      <alignment horizontal="left"/>
    </xf>
    <xf numFmtId="3" fontId="23" fillId="0" borderId="30" xfId="0" applyNumberFormat="1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23" fillId="0" borderId="39" xfId="0" applyFont="1" applyBorder="1" applyAlignment="1">
      <alignment horizontal="left"/>
    </xf>
    <xf numFmtId="0" fontId="23" fillId="0" borderId="41" xfId="0" applyFont="1" applyBorder="1" applyAlignment="1">
      <alignment horizontal="left" wrapText="1"/>
    </xf>
    <xf numFmtId="0" fontId="23" fillId="0" borderId="39" xfId="0" applyFont="1" applyBorder="1" applyAlignment="1">
      <alignment horizontal="left" wrapText="1"/>
    </xf>
    <xf numFmtId="0" fontId="23" fillId="0" borderId="19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8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9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3" fillId="0" borderId="28" xfId="0" applyFont="1" applyBorder="1" applyAlignment="1">
      <alignment/>
    </xf>
    <xf numFmtId="0" fontId="23" fillId="0" borderId="30" xfId="0" applyFont="1" applyBorder="1" applyAlignment="1">
      <alignment/>
    </xf>
    <xf numFmtId="49" fontId="23" fillId="0" borderId="28" xfId="0" applyNumberFormat="1" applyFont="1" applyBorder="1" applyAlignment="1">
      <alignment horizontal="left" wrapText="1"/>
    </xf>
    <xf numFmtId="49" fontId="23" fillId="0" borderId="30" xfId="0" applyNumberFormat="1" applyFont="1" applyBorder="1" applyAlignment="1">
      <alignment horizontal="left" wrapText="1"/>
    </xf>
    <xf numFmtId="0" fontId="23" fillId="0" borderId="28" xfId="0" applyFont="1" applyBorder="1" applyAlignment="1">
      <alignment horizontal="left"/>
    </xf>
    <xf numFmtId="0" fontId="23" fillId="0" borderId="30" xfId="0" applyFont="1" applyBorder="1" applyAlignment="1">
      <alignment horizontal="left"/>
    </xf>
    <xf numFmtId="0" fontId="23" fillId="0" borderId="29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0" fillId="0" borderId="30" xfId="0" applyBorder="1" applyAlignment="1">
      <alignment/>
    </xf>
    <xf numFmtId="0" fontId="27" fillId="0" borderId="0" xfId="65" applyFont="1" applyBorder="1" applyAlignment="1">
      <alignment horizontal="center"/>
      <protection/>
    </xf>
    <xf numFmtId="0" fontId="27" fillId="0" borderId="19" xfId="65" applyFont="1" applyBorder="1" applyAlignment="1">
      <alignment horizontal="center"/>
      <protection/>
    </xf>
    <xf numFmtId="0" fontId="27" fillId="0" borderId="15" xfId="65" applyFont="1" applyBorder="1" applyAlignment="1">
      <alignment horizontal="center"/>
      <protection/>
    </xf>
    <xf numFmtId="0" fontId="27" fillId="0" borderId="169" xfId="65" applyFont="1" applyBorder="1" applyAlignment="1">
      <alignment horizontal="center"/>
      <protection/>
    </xf>
    <xf numFmtId="0" fontId="27" fillId="0" borderId="12" xfId="65" applyFont="1" applyBorder="1" applyAlignment="1">
      <alignment horizontal="center"/>
      <protection/>
    </xf>
    <xf numFmtId="0" fontId="27" fillId="0" borderId="17" xfId="65" applyFont="1" applyBorder="1" applyAlignment="1">
      <alignment horizontal="center"/>
      <protection/>
    </xf>
    <xf numFmtId="0" fontId="27" fillId="0" borderId="18" xfId="65" applyFont="1" applyBorder="1" applyAlignment="1">
      <alignment horizontal="center"/>
      <protection/>
    </xf>
    <xf numFmtId="0" fontId="27" fillId="0" borderId="170" xfId="65" applyFont="1" applyBorder="1" applyAlignment="1">
      <alignment horizontal="center"/>
      <protection/>
    </xf>
    <xf numFmtId="0" fontId="36" fillId="0" borderId="0" xfId="0" applyFont="1" applyBorder="1" applyAlignment="1">
      <alignment horizontal="center" shrinkToFit="1"/>
    </xf>
    <xf numFmtId="0" fontId="36" fillId="0" borderId="19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69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/>
    </xf>
    <xf numFmtId="0" fontId="36" fillId="0" borderId="169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8" fillId="0" borderId="14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9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9" xfId="0" applyFont="1" applyBorder="1" applyAlignment="1">
      <alignment horizontal="center" vertical="center"/>
    </xf>
    <xf numFmtId="3" fontId="93" fillId="0" borderId="0" xfId="68" applyNumberFormat="1" applyFont="1" applyAlignment="1">
      <alignment horizontal="left" wrapText="1"/>
      <protection/>
    </xf>
    <xf numFmtId="168" fontId="66" fillId="0" borderId="55" xfId="81" applyFont="1" applyFill="1" applyBorder="1" applyAlignment="1">
      <alignment horizontal="left" vertical="center"/>
      <protection/>
    </xf>
    <xf numFmtId="168" fontId="66" fillId="0" borderId="55" xfId="81" applyFont="1" applyFill="1" applyBorder="1" applyAlignment="1">
      <alignment horizontal="center" vertical="center" wrapText="1"/>
      <protection/>
    </xf>
    <xf numFmtId="169" fontId="66" fillId="0" borderId="55" xfId="81" applyNumberFormat="1" applyFont="1" applyFill="1" applyBorder="1" applyAlignment="1">
      <alignment horizontal="center" vertical="center" wrapText="1"/>
      <protection/>
    </xf>
    <xf numFmtId="168" fontId="65" fillId="0" borderId="0" xfId="81" applyFont="1" applyFill="1" applyAlignment="1">
      <alignment horizontal="center" vertical="center"/>
      <protection/>
    </xf>
    <xf numFmtId="168" fontId="64" fillId="0" borderId="55" xfId="81" applyFont="1" applyFill="1" applyBorder="1" applyAlignment="1">
      <alignment horizontal="center" vertical="center"/>
      <protection/>
    </xf>
    <xf numFmtId="168" fontId="66" fillId="0" borderId="55" xfId="81" applyFont="1" applyFill="1" applyBorder="1" applyAlignment="1">
      <alignment horizontal="center" vertical="center"/>
      <protection/>
    </xf>
    <xf numFmtId="0" fontId="74" fillId="0" borderId="30" xfId="88" applyFont="1" applyBorder="1" applyAlignment="1">
      <alignment horizontal="center"/>
      <protection/>
    </xf>
    <xf numFmtId="0" fontId="74" fillId="0" borderId="30" xfId="88" applyFont="1" applyBorder="1" applyAlignment="1">
      <alignment horizontal="center" vertical="center" wrapText="1"/>
      <protection/>
    </xf>
    <xf numFmtId="0" fontId="74" fillId="0" borderId="30" xfId="88" applyFont="1" applyBorder="1" applyAlignment="1">
      <alignment horizontal="center" vertical="center"/>
      <protection/>
    </xf>
    <xf numFmtId="0" fontId="74" fillId="0" borderId="30" xfId="88" applyFont="1" applyBorder="1" applyAlignment="1">
      <alignment horizontal="left" vertical="center"/>
      <protection/>
    </xf>
    <xf numFmtId="0" fontId="63" fillId="0" borderId="0" xfId="82" applyFont="1" applyBorder="1" applyAlignment="1">
      <alignment horizontal="center" vertical="center" wrapText="1"/>
      <protection/>
    </xf>
    <xf numFmtId="0" fontId="74" fillId="24" borderId="30" xfId="88" applyFont="1" applyFill="1" applyBorder="1" applyAlignment="1">
      <alignment horizontal="left" vertical="center"/>
      <protection/>
    </xf>
    <xf numFmtId="3" fontId="74" fillId="0" borderId="30" xfId="88" applyNumberFormat="1" applyFont="1" applyBorder="1" applyAlignment="1">
      <alignment horizontal="center" vertical="center" wrapText="1"/>
      <protection/>
    </xf>
    <xf numFmtId="0" fontId="74" fillId="0" borderId="30" xfId="88" applyFont="1" applyFill="1" applyBorder="1" applyAlignment="1">
      <alignment horizontal="left" vertical="center"/>
      <protection/>
    </xf>
    <xf numFmtId="168" fontId="99" fillId="0" borderId="0" xfId="90" applyFont="1" applyFill="1" applyBorder="1" applyAlignment="1">
      <alignment horizontal="center" vertical="center"/>
      <protection/>
    </xf>
    <xf numFmtId="168" fontId="99" fillId="0" borderId="0" xfId="90" applyFont="1" applyFill="1" applyBorder="1" applyAlignment="1">
      <alignment horizontal="center" vertical="center" wrapText="1"/>
      <protection/>
    </xf>
    <xf numFmtId="168" fontId="99" fillId="0" borderId="55" xfId="90" applyFont="1" applyFill="1" applyBorder="1" applyAlignment="1">
      <alignment horizontal="center" vertical="center" wrapText="1"/>
      <protection/>
    </xf>
    <xf numFmtId="0" fontId="101" fillId="0" borderId="55" xfId="91" applyFont="1" applyFill="1" applyBorder="1" applyAlignment="1">
      <alignment horizontal="center" vertical="center" wrapText="1"/>
      <protection/>
    </xf>
    <xf numFmtId="168" fontId="99" fillId="0" borderId="55" xfId="90" applyFont="1" applyFill="1" applyBorder="1" applyAlignment="1">
      <alignment horizontal="center" vertical="center"/>
      <protection/>
    </xf>
    <xf numFmtId="0" fontId="43" fillId="0" borderId="121" xfId="87" applyFont="1" applyFill="1" applyBorder="1" applyAlignment="1">
      <alignment horizontal="center" vertical="center" wrapText="1"/>
      <protection/>
    </xf>
    <xf numFmtId="0" fontId="43" fillId="0" borderId="127" xfId="87" applyFont="1" applyFill="1" applyBorder="1" applyAlignment="1">
      <alignment horizontal="center" vertical="center" wrapText="1"/>
      <protection/>
    </xf>
    <xf numFmtId="0" fontId="43" fillId="0" borderId="126" xfId="87" applyFont="1" applyFill="1" applyBorder="1" applyAlignment="1">
      <alignment horizontal="center" vertical="center" wrapText="1"/>
      <protection/>
    </xf>
    <xf numFmtId="3" fontId="43" fillId="0" borderId="121" xfId="87" applyNumberFormat="1" applyFont="1" applyFill="1" applyBorder="1" applyAlignment="1">
      <alignment horizontal="center" vertical="center" wrapText="1"/>
      <protection/>
    </xf>
    <xf numFmtId="3" fontId="43" fillId="0" borderId="127" xfId="87" applyNumberFormat="1" applyFont="1" applyFill="1" applyBorder="1" applyAlignment="1">
      <alignment horizontal="center" vertical="center" wrapText="1"/>
      <protection/>
    </xf>
    <xf numFmtId="3" fontId="43" fillId="0" borderId="126" xfId="87" applyNumberFormat="1" applyFont="1" applyFill="1" applyBorder="1" applyAlignment="1">
      <alignment horizontal="center" vertical="center" wrapText="1"/>
      <protection/>
    </xf>
    <xf numFmtId="168" fontId="99" fillId="0" borderId="171" xfId="90" applyFont="1" applyFill="1" applyBorder="1" applyAlignment="1">
      <alignment horizontal="center" vertical="center" wrapText="1"/>
      <protection/>
    </xf>
    <xf numFmtId="168" fontId="99" fillId="0" borderId="172" xfId="90" applyFont="1" applyFill="1" applyBorder="1" applyAlignment="1">
      <alignment horizontal="center" vertical="center" wrapText="1"/>
      <protection/>
    </xf>
    <xf numFmtId="168" fontId="99" fillId="0" borderId="110" xfId="90" applyFont="1" applyFill="1" applyBorder="1" applyAlignment="1">
      <alignment horizontal="center" vertical="center" wrapText="1"/>
      <protection/>
    </xf>
    <xf numFmtId="0" fontId="42" fillId="0" borderId="121" xfId="87" applyFont="1" applyFill="1" applyBorder="1" applyAlignment="1">
      <alignment horizontal="center" vertical="center" wrapText="1"/>
      <protection/>
    </xf>
    <xf numFmtId="0" fontId="42" fillId="0" borderId="127" xfId="87" applyFont="1" applyFill="1" applyBorder="1" applyAlignment="1">
      <alignment horizontal="center" vertical="center" wrapText="1"/>
      <protection/>
    </xf>
    <xf numFmtId="0" fontId="42" fillId="0" borderId="126" xfId="87" applyFont="1" applyFill="1" applyBorder="1" applyAlignment="1">
      <alignment horizontal="center" vertical="center" wrapText="1"/>
      <protection/>
    </xf>
    <xf numFmtId="0" fontId="1" fillId="0" borderId="126" xfId="87" applyFont="1" applyFill="1" applyBorder="1" applyAlignment="1">
      <alignment horizontal="center" vertical="center" wrapText="1"/>
      <protection/>
    </xf>
    <xf numFmtId="0" fontId="43" fillId="0" borderId="121" xfId="87" applyFont="1" applyFill="1" applyBorder="1" applyAlignment="1">
      <alignment horizontal="center" wrapText="1"/>
      <protection/>
    </xf>
    <xf numFmtId="0" fontId="43" fillId="0" borderId="127" xfId="87" applyFont="1" applyFill="1" applyBorder="1" applyAlignment="1">
      <alignment horizontal="center" wrapText="1"/>
      <protection/>
    </xf>
    <xf numFmtId="0" fontId="1" fillId="0" borderId="126" xfId="87" applyFont="1" applyFill="1" applyBorder="1" applyAlignment="1">
      <alignment horizontal="center" wrapText="1"/>
      <protection/>
    </xf>
    <xf numFmtId="0" fontId="39" fillId="0" borderId="0" xfId="62" applyFont="1" applyFill="1" applyBorder="1" applyAlignment="1">
      <alignment horizontal="center" vertical="center" wrapText="1"/>
      <protection/>
    </xf>
    <xf numFmtId="0" fontId="39" fillId="0" borderId="0" xfId="62" applyFont="1" applyFill="1" applyBorder="1" applyAlignment="1">
      <alignment horizontal="center"/>
      <protection/>
    </xf>
    <xf numFmtId="0" fontId="39" fillId="0" borderId="0" xfId="62" applyFont="1" applyFill="1" applyBorder="1" applyAlignment="1">
      <alignment horizontal="center" vertical="center"/>
      <protection/>
    </xf>
    <xf numFmtId="0" fontId="28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/>
    </xf>
    <xf numFmtId="0" fontId="39" fillId="0" borderId="0" xfId="62" applyFont="1" applyBorder="1" applyAlignment="1">
      <alignment horizontal="center" vertical="center" wrapText="1"/>
      <protection/>
    </xf>
    <xf numFmtId="0" fontId="32" fillId="0" borderId="22" xfId="62" applyFont="1" applyBorder="1" applyAlignment="1">
      <alignment horizontal="center"/>
      <protection/>
    </xf>
    <xf numFmtId="0" fontId="39" fillId="0" borderId="0" xfId="62" applyFont="1" applyBorder="1" applyAlignment="1">
      <alignment horizontal="center"/>
      <protection/>
    </xf>
    <xf numFmtId="0" fontId="43" fillId="0" borderId="0" xfId="0" applyFont="1" applyBorder="1" applyAlignment="1">
      <alignment horizontal="center" wrapText="1"/>
    </xf>
    <xf numFmtId="0" fontId="43" fillId="0" borderId="96" xfId="0" applyFont="1" applyBorder="1" applyAlignment="1">
      <alignment horizontal="center" vertical="center" wrapText="1"/>
    </xf>
    <xf numFmtId="0" fontId="43" fillId="0" borderId="100" xfId="0" applyFont="1" applyBorder="1" applyAlignment="1">
      <alignment horizontal="center" vertical="center" wrapText="1"/>
    </xf>
    <xf numFmtId="0" fontId="43" fillId="0" borderId="97" xfId="0" applyFont="1" applyBorder="1" applyAlignment="1">
      <alignment horizontal="center" vertical="center" wrapText="1"/>
    </xf>
    <xf numFmtId="0" fontId="43" fillId="0" borderId="99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/>
    </xf>
    <xf numFmtId="0" fontId="43" fillId="0" borderId="96" xfId="0" applyFont="1" applyBorder="1" applyAlignment="1">
      <alignment horizontal="center" vertical="center"/>
    </xf>
    <xf numFmtId="0" fontId="43" fillId="0" borderId="100" xfId="0" applyFont="1" applyBorder="1" applyAlignment="1">
      <alignment horizontal="center" vertical="center"/>
    </xf>
    <xf numFmtId="0" fontId="43" fillId="0" borderId="97" xfId="0" applyFont="1" applyBorder="1" applyAlignment="1">
      <alignment horizontal="center" vertical="center"/>
    </xf>
    <xf numFmtId="0" fontId="43" fillId="0" borderId="99" xfId="0" applyFont="1" applyBorder="1" applyAlignment="1">
      <alignment horizontal="center" vertical="center"/>
    </xf>
    <xf numFmtId="0" fontId="25" fillId="0" borderId="30" xfId="86" applyFont="1" applyBorder="1" applyAlignment="1">
      <alignment horizontal="left"/>
      <protection/>
    </xf>
    <xf numFmtId="0" fontId="43" fillId="0" borderId="0" xfId="86" applyFont="1" applyBorder="1" applyAlignment="1">
      <alignment horizontal="center" vertical="center"/>
      <protection/>
    </xf>
    <xf numFmtId="0" fontId="43" fillId="0" borderId="30" xfId="86" applyFont="1" applyBorder="1" applyAlignment="1">
      <alignment horizontal="center" vertical="center" wrapText="1"/>
      <protection/>
    </xf>
    <xf numFmtId="0" fontId="47" fillId="0" borderId="0" xfId="86" applyFont="1" applyFill="1" applyBorder="1" applyAlignment="1">
      <alignment horizontal="center" vertical="center"/>
      <protection/>
    </xf>
    <xf numFmtId="0" fontId="69" fillId="0" borderId="0" xfId="0" applyFont="1" applyBorder="1" applyAlignment="1">
      <alignment horizontal="center"/>
    </xf>
    <xf numFmtId="0" fontId="71" fillId="0" borderId="30" xfId="0" applyFont="1" applyBorder="1" applyAlignment="1">
      <alignment horizontal="center" vertical="center" wrapText="1"/>
    </xf>
    <xf numFmtId="0" fontId="39" fillId="0" borderId="0" xfId="63" applyFont="1" applyBorder="1" applyAlignment="1">
      <alignment horizontal="center"/>
      <protection/>
    </xf>
    <xf numFmtId="0" fontId="39" fillId="0" borderId="19" xfId="63" applyFont="1" applyBorder="1" applyAlignment="1">
      <alignment horizontal="center"/>
      <protection/>
    </xf>
    <xf numFmtId="0" fontId="39" fillId="0" borderId="15" xfId="63" applyFont="1" applyBorder="1" applyAlignment="1">
      <alignment horizontal="center"/>
      <protection/>
    </xf>
    <xf numFmtId="0" fontId="39" fillId="0" borderId="169" xfId="63" applyFont="1" applyBorder="1" applyAlignment="1">
      <alignment horizontal="center"/>
      <protection/>
    </xf>
    <xf numFmtId="0" fontId="39" fillId="0" borderId="15" xfId="63" applyFont="1" applyBorder="1" applyAlignment="1">
      <alignment horizontal="center"/>
      <protection/>
    </xf>
    <xf numFmtId="0" fontId="39" fillId="0" borderId="169" xfId="63" applyFont="1" applyBorder="1" applyAlignment="1">
      <alignment horizontal="center"/>
      <protection/>
    </xf>
    <xf numFmtId="0" fontId="39" fillId="0" borderId="173" xfId="63" applyFont="1" applyBorder="1" applyAlignment="1">
      <alignment horizontal="center" vertical="center"/>
      <protection/>
    </xf>
    <xf numFmtId="0" fontId="39" fillId="0" borderId="174" xfId="63" applyFont="1" applyBorder="1" applyAlignment="1">
      <alignment horizontal="center" vertical="center"/>
      <protection/>
    </xf>
    <xf numFmtId="0" fontId="39" fillId="0" borderId="175" xfId="63" applyFont="1" applyBorder="1" applyAlignment="1">
      <alignment horizontal="center" vertical="center"/>
      <protection/>
    </xf>
    <xf numFmtId="0" fontId="39" fillId="0" borderId="19" xfId="63" applyFont="1" applyBorder="1" applyAlignment="1">
      <alignment horizontal="center" vertical="center" wrapText="1"/>
      <protection/>
    </xf>
    <xf numFmtId="0" fontId="39" fillId="0" borderId="15" xfId="63" applyFont="1" applyBorder="1" applyAlignment="1">
      <alignment horizontal="center" vertical="center" wrapText="1"/>
      <protection/>
    </xf>
    <xf numFmtId="0" fontId="39" fillId="0" borderId="169" xfId="63" applyFont="1" applyBorder="1" applyAlignment="1">
      <alignment horizontal="center" vertical="center" wrapText="1"/>
      <protection/>
    </xf>
    <xf numFmtId="0" fontId="32" fillId="0" borderId="176" xfId="67" applyFont="1" applyBorder="1" applyAlignment="1">
      <alignment horizontal="center" vertical="center" wrapText="1"/>
      <protection/>
    </xf>
    <xf numFmtId="0" fontId="32" fillId="0" borderId="177" xfId="67" applyFont="1" applyBorder="1" applyAlignment="1">
      <alignment horizontal="center" vertical="center" wrapText="1"/>
      <protection/>
    </xf>
    <xf numFmtId="0" fontId="32" fillId="0" borderId="178" xfId="67" applyFont="1" applyBorder="1" applyAlignment="1">
      <alignment horizontal="center" vertical="center" wrapText="1"/>
      <protection/>
    </xf>
    <xf numFmtId="0" fontId="32" fillId="0" borderId="179" xfId="67" applyFont="1" applyBorder="1" applyAlignment="1">
      <alignment horizontal="center" vertical="center" wrapText="1"/>
      <protection/>
    </xf>
    <xf numFmtId="0" fontId="32" fillId="0" borderId="180" xfId="67" applyFont="1" applyBorder="1" applyAlignment="1">
      <alignment horizontal="center" vertical="center" wrapText="1"/>
      <protection/>
    </xf>
    <xf numFmtId="0" fontId="32" fillId="0" borderId="94" xfId="67" applyFont="1" applyBorder="1" applyAlignment="1">
      <alignment horizontal="center" vertical="center" wrapText="1"/>
      <protection/>
    </xf>
    <xf numFmtId="0" fontId="32" fillId="0" borderId="162" xfId="67" applyFont="1" applyBorder="1" applyAlignment="1">
      <alignment horizontal="center" vertical="center" wrapText="1"/>
      <protection/>
    </xf>
    <xf numFmtId="0" fontId="32" fillId="0" borderId="0" xfId="67" applyFont="1" applyBorder="1" applyAlignment="1">
      <alignment horizontal="center" vertical="center" wrapText="1"/>
      <protection/>
    </xf>
    <xf numFmtId="0" fontId="72" fillId="0" borderId="0" xfId="67" applyFont="1" applyBorder="1" applyAlignment="1">
      <alignment horizontal="center" vertical="center" wrapText="1"/>
      <protection/>
    </xf>
    <xf numFmtId="0" fontId="32" fillId="0" borderId="181" xfId="67" applyFont="1" applyBorder="1" applyAlignment="1">
      <alignment horizontal="center" vertical="center" wrapText="1"/>
      <protection/>
    </xf>
    <xf numFmtId="0" fontId="32" fillId="0" borderId="182" xfId="67" applyFont="1" applyBorder="1" applyAlignment="1">
      <alignment horizontal="center" vertical="center" wrapText="1"/>
      <protection/>
    </xf>
    <xf numFmtId="0" fontId="32" fillId="0" borderId="183" xfId="67" applyFont="1" applyBorder="1" applyAlignment="1">
      <alignment horizontal="center" vertical="center" wrapText="1"/>
      <protection/>
    </xf>
    <xf numFmtId="0" fontId="32" fillId="0" borderId="184" xfId="67" applyFont="1" applyBorder="1" applyAlignment="1">
      <alignment horizontal="center" vertical="center" wrapText="1"/>
      <protection/>
    </xf>
    <xf numFmtId="0" fontId="32" fillId="0" borderId="185" xfId="67" applyFont="1" applyBorder="1" applyAlignment="1">
      <alignment horizontal="center" vertical="center" wrapText="1"/>
      <protection/>
    </xf>
    <xf numFmtId="0" fontId="24" fillId="0" borderId="150" xfId="79" applyFont="1" applyFill="1" applyBorder="1" applyAlignment="1">
      <alignment horizontal="left"/>
      <protection/>
    </xf>
    <xf numFmtId="0" fontId="24" fillId="0" borderId="75" xfId="79" applyFont="1" applyFill="1" applyBorder="1" applyAlignment="1">
      <alignment horizontal="left"/>
      <protection/>
    </xf>
    <xf numFmtId="0" fontId="22" fillId="0" borderId="133" xfId="79" applyFont="1" applyFill="1" applyBorder="1" applyAlignment="1">
      <alignment horizontal="left"/>
      <protection/>
    </xf>
    <xf numFmtId="0" fontId="22" fillId="0" borderId="135" xfId="79" applyFont="1" applyFill="1" applyBorder="1" applyAlignment="1">
      <alignment horizontal="left"/>
      <protection/>
    </xf>
    <xf numFmtId="0" fontId="23" fillId="0" borderId="133" xfId="79" applyFont="1" applyFill="1" applyBorder="1" applyAlignment="1">
      <alignment horizontal="left"/>
      <protection/>
    </xf>
    <xf numFmtId="0" fontId="23" fillId="0" borderId="135" xfId="79" applyFont="1" applyFill="1" applyBorder="1" applyAlignment="1">
      <alignment horizontal="left"/>
      <protection/>
    </xf>
    <xf numFmtId="0" fontId="23" fillId="0" borderId="122" xfId="79" applyFont="1" applyFill="1" applyBorder="1" applyAlignment="1">
      <alignment horizontal="left"/>
      <protection/>
    </xf>
    <xf numFmtId="0" fontId="23" fillId="0" borderId="155" xfId="79" applyFont="1" applyFill="1" applyBorder="1" applyAlignment="1">
      <alignment horizontal="left"/>
      <protection/>
    </xf>
    <xf numFmtId="0" fontId="23" fillId="0" borderId="186" xfId="79" applyFont="1" applyFill="1" applyBorder="1" applyAlignment="1">
      <alignment horizontal="left"/>
      <protection/>
    </xf>
    <xf numFmtId="0" fontId="23" fillId="0" borderId="187" xfId="79" applyFont="1" applyFill="1" applyBorder="1" applyAlignment="1">
      <alignment horizontal="left"/>
      <protection/>
    </xf>
    <xf numFmtId="0" fontId="23" fillId="0" borderId="0" xfId="79" applyFont="1" applyFill="1" applyBorder="1" applyAlignment="1">
      <alignment horizontal="center"/>
      <protection/>
    </xf>
    <xf numFmtId="0" fontId="23" fillId="0" borderId="0" xfId="79" applyFont="1" applyFill="1" applyAlignment="1">
      <alignment horizontal="center"/>
      <protection/>
    </xf>
    <xf numFmtId="3" fontId="23" fillId="0" borderId="49" xfId="79" applyNumberFormat="1" applyFont="1" applyFill="1" applyBorder="1" applyAlignment="1">
      <alignment horizontal="center" vertical="center" wrapText="1"/>
      <protection/>
    </xf>
    <xf numFmtId="3" fontId="22" fillId="0" borderId="141" xfId="79" applyNumberFormat="1" applyFont="1" applyFill="1" applyBorder="1" applyAlignment="1">
      <alignment horizontal="center" vertical="center" wrapText="1"/>
      <protection/>
    </xf>
    <xf numFmtId="3" fontId="23" fillId="0" borderId="128" xfId="79" applyNumberFormat="1" applyFont="1" applyFill="1" applyBorder="1" applyAlignment="1">
      <alignment horizontal="center" vertical="center" wrapText="1"/>
      <protection/>
    </xf>
    <xf numFmtId="3" fontId="22" fillId="0" borderId="154" xfId="79" applyNumberFormat="1" applyFont="1" applyFill="1" applyBorder="1" applyAlignment="1">
      <alignment horizontal="center" vertical="center" wrapText="1"/>
      <protection/>
    </xf>
    <xf numFmtId="3" fontId="23" fillId="0" borderId="129" xfId="79" applyNumberFormat="1" applyFont="1" applyFill="1" applyBorder="1" applyAlignment="1">
      <alignment horizontal="center" vertical="center" wrapText="1"/>
      <protection/>
    </xf>
    <xf numFmtId="3" fontId="22" fillId="0" borderId="155" xfId="79" applyNumberFormat="1" applyFont="1" applyFill="1" applyBorder="1" applyAlignment="1">
      <alignment horizontal="center" vertical="center" wrapText="1"/>
      <protection/>
    </xf>
    <xf numFmtId="0" fontId="22" fillId="0" borderId="137" xfId="79" applyFont="1" applyFill="1" applyBorder="1" applyAlignment="1">
      <alignment horizontal="center" vertical="center" wrapText="1"/>
      <protection/>
    </xf>
    <xf numFmtId="0" fontId="22" fillId="0" borderId="188" xfId="79" applyFont="1" applyFill="1" applyBorder="1" applyAlignment="1">
      <alignment horizontal="center" vertical="center" wrapText="1"/>
      <protection/>
    </xf>
    <xf numFmtId="3" fontId="23" fillId="0" borderId="189" xfId="79" applyNumberFormat="1" applyFont="1" applyFill="1" applyBorder="1" applyAlignment="1">
      <alignment horizontal="center" vertical="center" wrapText="1"/>
      <protection/>
    </xf>
    <xf numFmtId="3" fontId="23" fillId="0" borderId="140" xfId="79" applyNumberFormat="1" applyFont="1" applyFill="1" applyBorder="1" applyAlignment="1">
      <alignment horizontal="center" vertical="center" wrapText="1"/>
      <protection/>
    </xf>
    <xf numFmtId="3" fontId="22" fillId="0" borderId="101" xfId="79" applyNumberFormat="1" applyFont="1" applyFill="1" applyBorder="1" applyAlignment="1">
      <alignment horizontal="left"/>
      <protection/>
    </xf>
    <xf numFmtId="3" fontId="22" fillId="0" borderId="135" xfId="79" applyNumberFormat="1" applyFont="1" applyFill="1" applyBorder="1" applyAlignment="1">
      <alignment horizontal="left"/>
      <protection/>
    </xf>
    <xf numFmtId="3" fontId="22" fillId="0" borderId="122" xfId="79" applyNumberFormat="1" applyFont="1" applyFill="1" applyBorder="1" applyAlignment="1">
      <alignment horizontal="left"/>
      <protection/>
    </xf>
    <xf numFmtId="0" fontId="22" fillId="0" borderId="190" xfId="79" applyFont="1" applyFill="1" applyBorder="1" applyAlignment="1">
      <alignment horizontal="center" vertical="center" wrapText="1"/>
      <protection/>
    </xf>
    <xf numFmtId="0" fontId="22" fillId="0" borderId="191" xfId="79" applyFont="1" applyFill="1" applyBorder="1" applyAlignment="1">
      <alignment horizontal="center" vertical="center" wrapText="1"/>
      <protection/>
    </xf>
    <xf numFmtId="49" fontId="23" fillId="0" borderId="192" xfId="79" applyNumberFormat="1" applyFont="1" applyFill="1" applyBorder="1" applyAlignment="1">
      <alignment horizontal="center" vertical="center"/>
      <protection/>
    </xf>
    <xf numFmtId="49" fontId="23" fillId="0" borderId="193" xfId="79" applyNumberFormat="1" applyFont="1" applyFill="1" applyBorder="1" applyAlignment="1">
      <alignment horizontal="center" vertical="center"/>
      <protection/>
    </xf>
    <xf numFmtId="0" fontId="43" fillId="0" borderId="123" xfId="79" applyFont="1" applyFill="1" applyBorder="1" applyAlignment="1">
      <alignment horizontal="center"/>
      <protection/>
    </xf>
    <xf numFmtId="0" fontId="51" fillId="0" borderId="0" xfId="64" applyFont="1" applyBorder="1" applyAlignment="1">
      <alignment horizontal="left" wrapText="1"/>
      <protection/>
    </xf>
    <xf numFmtId="0" fontId="39" fillId="0" borderId="0" xfId="64" applyFont="1" applyBorder="1" applyAlignment="1">
      <alignment horizontal="center" wrapText="1"/>
      <protection/>
    </xf>
    <xf numFmtId="0" fontId="39" fillId="0" borderId="32" xfId="64" applyFont="1" applyBorder="1" applyAlignment="1">
      <alignment horizontal="center" vertical="center" wrapText="1"/>
      <protection/>
    </xf>
    <xf numFmtId="0" fontId="39" fillId="0" borderId="33" xfId="64" applyFont="1" applyBorder="1" applyAlignment="1">
      <alignment horizontal="center" vertical="center"/>
      <protection/>
    </xf>
    <xf numFmtId="0" fontId="39" fillId="0" borderId="33" xfId="64" applyFont="1" applyBorder="1" applyAlignment="1">
      <alignment horizontal="center" vertical="center" wrapText="1"/>
      <protection/>
    </xf>
    <xf numFmtId="3" fontId="39" fillId="0" borderId="64" xfId="64" applyNumberFormat="1" applyFont="1" applyBorder="1" applyAlignment="1">
      <alignment horizontal="center" vertical="center"/>
      <protection/>
    </xf>
    <xf numFmtId="3" fontId="39" fillId="0" borderId="34" xfId="64" applyNumberFormat="1" applyFont="1" applyBorder="1" applyAlignment="1">
      <alignment horizontal="center" vertical="center" wrapText="1"/>
      <protection/>
    </xf>
    <xf numFmtId="3" fontId="32" fillId="0" borderId="0" xfId="68" applyNumberFormat="1" applyFont="1" applyBorder="1" applyAlignment="1">
      <alignment horizontal="center"/>
      <protection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Linked Cell" xfId="60"/>
    <cellStyle name="Neutral" xfId="61"/>
    <cellStyle name="Normál_Beruh.felú-átadott-átvett" xfId="62"/>
    <cellStyle name="Normál_Brigitől kisebbségek_Munkafüzet1" xfId="63"/>
    <cellStyle name="Normál_EU-s_pályázatok 20150115" xfId="64"/>
    <cellStyle name="Normál_KTGVET98" xfId="65"/>
    <cellStyle name="Normál_Munkafüzet1" xfId="66"/>
    <cellStyle name="Normál_Munkafüzet1_1" xfId="67"/>
    <cellStyle name="Normál_Munkafüzet3" xfId="68"/>
    <cellStyle name="Normál_Táblák-1" xfId="69"/>
    <cellStyle name="Note" xfId="70"/>
    <cellStyle name="Output" xfId="71"/>
    <cellStyle name="TableStyleLight1" xfId="72"/>
    <cellStyle name="Title" xfId="73"/>
    <cellStyle name="Total" xfId="74"/>
    <cellStyle name="Warning Text" xfId="75"/>
    <cellStyle name="Normál 2" xfId="76"/>
    <cellStyle name="Normál 3" xfId="77"/>
    <cellStyle name="Magyarázó szöveg 2" xfId="78"/>
    <cellStyle name="Normál 4" xfId="79"/>
    <cellStyle name="Normál 5" xfId="80"/>
    <cellStyle name="Excel Built-in Normal" xfId="81"/>
    <cellStyle name="Magyarázó szöveg 3" xfId="82"/>
    <cellStyle name="Normál 6" xfId="83"/>
    <cellStyle name="Normál 7" xfId="84"/>
    <cellStyle name="Normál_Beruh.felú-átadott-átvett 2" xfId="85"/>
    <cellStyle name="Normál_Adósságszolgálat 2012 Brigi" xfId="86"/>
    <cellStyle name="Normál 8" xfId="87"/>
    <cellStyle name="Normál 2 2" xfId="88"/>
    <cellStyle name="Normál 9" xfId="89"/>
    <cellStyle name="Excel Built-in Normal 2" xfId="90"/>
    <cellStyle name="Normál 10" xfId="91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OMBOR~1\LOCALS~1\Temp\2012.%20&#233;vi%20k&#246;lts&#233;gvet&#233;si%20t&#225;bl&#225;k%202010.01.05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zomborimonika\Dokumentumok\el&#337;terjeszt&#233;sek\2011\November\Koncepci&#243;\Koncepci&#243;%20sz&#246;veg%20&#233;s%20t&#225;bla\Barbara\Exceleim\Buboros%20t&#225;bl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Local%20Settings\Temp\2012.%20&#233;vi%20k&#246;lts&#233;gvet&#233;si%20t&#225;bl&#225;k%202010.01.05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DOCUME~1\ZSOMBO~1\LOCALS~1\Temp\DOCUME~1\ZSOMBO~1\LOCALS~1\Temp\Barbara\10.%20mell&#233;klet%20Ic&#225;nak%20(%20cellat&#246;rl&#337;s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2012.%20k&#246;lts&#233;gvet&#233;si%20t&#225;bl&#225;k%202012%2002%2006-2(K&#246;tv&#233;nyes%20t&#225;bl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 melléklet"/>
      <sheetName val="1.a1.b. melléklet"/>
      <sheetName val="2. sz. melléklet"/>
      <sheetName val="3.sz. melléklet"/>
      <sheetName val="4. sz. melléklet"/>
      <sheetName val="5. sz. melléklet"/>
      <sheetName val="6. sz. melléklet"/>
      <sheetName val="8. sz. melléklet"/>
      <sheetName val="9. sz. melléklet"/>
      <sheetName val="10. sz. melléklet"/>
      <sheetName val="11. sz. melléklet"/>
      <sheetName val="12. sz. melléklet"/>
      <sheetName val="13. sz. melléklet"/>
      <sheetName val="14. sz. melléklet"/>
      <sheetName val="15. sz. melléklet"/>
      <sheetName val="16. sz. melléklet"/>
      <sheetName val="17.sz. melléklet"/>
      <sheetName val="17.a. 17.b. sz. melléklet"/>
      <sheetName val="18. sz. melléklet"/>
      <sheetName val="Kiadások elemzé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sz. melléklet"/>
      <sheetName val="1.a. 1.b. melléklet"/>
      <sheetName val="2. sz. melléklet"/>
      <sheetName val="3.sz. melléklet"/>
      <sheetName val="4.A sz. melléklet"/>
      <sheetName val="4.B-C. sz. melléklet"/>
      <sheetName val="5. sz. melléklet"/>
      <sheetName val="6. sz. melléklet"/>
      <sheetName val="7. sz. melléklet"/>
      <sheetName val="8. sz. melléklet"/>
      <sheetName val="9. sz. melléklet"/>
      <sheetName val="10. sz. melléklet"/>
      <sheetName val="10-a.sz. melléklet"/>
      <sheetName val="11. sz. melléklet"/>
      <sheetName val="12. sz. melléklet"/>
      <sheetName val="13. sz. melléklet"/>
      <sheetName val="14. sz. melléklet"/>
      <sheetName val="15. sz. melléklet"/>
      <sheetName val="16.sz. melléklet"/>
      <sheetName val="17.a. 17.b. sz. melléklet"/>
      <sheetName val="18."/>
      <sheetName val="19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62"/>
  <sheetViews>
    <sheetView view="pageBreakPreview" zoomScale="80" zoomScaleSheetLayoutView="80" workbookViewId="0" topLeftCell="A28">
      <selection activeCell="A59" sqref="A59:XFD59"/>
    </sheetView>
  </sheetViews>
  <sheetFormatPr defaultColWidth="9.00390625" defaultRowHeight="12.75" customHeight="1"/>
  <cols>
    <col min="1" max="1" width="6.125" style="1" customWidth="1"/>
    <col min="2" max="2" width="73.25390625" style="1" customWidth="1"/>
    <col min="3" max="3" width="11.375" style="2" customWidth="1"/>
    <col min="4" max="5" width="12.375" style="2" customWidth="1"/>
    <col min="6" max="6" width="6.125" style="1" customWidth="1"/>
    <col min="7" max="7" width="64.375" style="1" customWidth="1"/>
    <col min="8" max="8" width="11.375" style="2" customWidth="1"/>
    <col min="9" max="9" width="13.25390625" style="1" customWidth="1"/>
    <col min="10" max="10" width="11.875" style="1" customWidth="1"/>
    <col min="11" max="16384" width="9.125" style="1" customWidth="1"/>
  </cols>
  <sheetData>
    <row r="1" ht="12.75" customHeight="1">
      <c r="A1" s="3"/>
    </row>
    <row r="2" spans="1:10" ht="19.5" customHeight="1">
      <c r="A2" s="1049" t="s">
        <v>0</v>
      </c>
      <c r="B2" s="1049"/>
      <c r="C2" s="1049"/>
      <c r="D2" s="1049"/>
      <c r="E2" s="1049"/>
      <c r="F2" s="1049"/>
      <c r="G2" s="1049"/>
      <c r="H2" s="1049"/>
      <c r="I2" s="1049"/>
      <c r="J2" s="1049"/>
    </row>
    <row r="3" spans="6:7" ht="13.5" customHeight="1" thickBot="1">
      <c r="F3" s="2"/>
      <c r="G3" s="2"/>
    </row>
    <row r="4" spans="1:10" ht="13.5" customHeight="1">
      <c r="A4" s="1043" t="s">
        <v>1</v>
      </c>
      <c r="B4" s="1044"/>
      <c r="C4" s="1044"/>
      <c r="D4" s="1044"/>
      <c r="E4" s="1045"/>
      <c r="F4" s="1046" t="s">
        <v>2</v>
      </c>
      <c r="G4" s="1047"/>
      <c r="H4" s="1047"/>
      <c r="I4" s="1047"/>
      <c r="J4" s="1048"/>
    </row>
    <row r="5" spans="1:10" ht="14.25" customHeight="1" thickBot="1">
      <c r="A5" s="1058" t="s">
        <v>3</v>
      </c>
      <c r="B5" s="1059"/>
      <c r="C5" s="942" t="s">
        <v>4</v>
      </c>
      <c r="D5" s="942" t="s">
        <v>860</v>
      </c>
      <c r="E5" s="942" t="s">
        <v>1040</v>
      </c>
      <c r="F5" s="1059" t="s">
        <v>3</v>
      </c>
      <c r="G5" s="1059"/>
      <c r="H5" s="942" t="s">
        <v>5</v>
      </c>
      <c r="I5" s="943" t="s">
        <v>861</v>
      </c>
      <c r="J5" s="944" t="s">
        <v>1040</v>
      </c>
    </row>
    <row r="6" spans="1:10" ht="13.5" customHeight="1">
      <c r="A6" s="933" t="s">
        <v>6</v>
      </c>
      <c r="B6" s="934"/>
      <c r="C6" s="935">
        <f>'3. sz. melléklet'!K6</f>
        <v>1111271</v>
      </c>
      <c r="D6" s="936">
        <f>('3. sz. melléklet'!L6)</f>
        <v>1179194</v>
      </c>
      <c r="E6" s="936">
        <f>('3. sz. melléklet'!M6)</f>
        <v>1284391</v>
      </c>
      <c r="F6" s="937" t="s">
        <v>7</v>
      </c>
      <c r="G6" s="938"/>
      <c r="H6" s="939">
        <f>'4.sz. melléklet'!M6</f>
        <v>1169029</v>
      </c>
      <c r="I6" s="940">
        <f>'4.sz. melléklet'!N6</f>
        <v>1254393</v>
      </c>
      <c r="J6" s="941">
        <f>'4.sz. melléklet'!O6</f>
        <v>1158827</v>
      </c>
    </row>
    <row r="7" spans="1:10" ht="13.5" customHeight="1">
      <c r="A7" s="419" t="s">
        <v>811</v>
      </c>
      <c r="B7" s="420"/>
      <c r="C7" s="211"/>
      <c r="D7" s="243">
        <f>('3. sz. melléklet'!L9)</f>
        <v>15000</v>
      </c>
      <c r="E7" s="243">
        <f>('3. sz. melléklet'!M9)</f>
        <v>15000</v>
      </c>
      <c r="F7" s="212"/>
      <c r="G7" s="213"/>
      <c r="H7" s="214"/>
      <c r="I7" s="462"/>
      <c r="J7" s="218"/>
    </row>
    <row r="8" spans="1:10" ht="13.5" customHeight="1">
      <c r="A8" s="1036" t="s">
        <v>8</v>
      </c>
      <c r="B8" s="1037"/>
      <c r="C8" s="211">
        <f>SUM(C9)</f>
        <v>262200</v>
      </c>
      <c r="D8" s="211">
        <f>SUM(D9:D10)</f>
        <v>350090</v>
      </c>
      <c r="E8" s="211">
        <f>SUM(E9:E10)</f>
        <v>333604</v>
      </c>
      <c r="F8" s="212"/>
      <c r="G8" s="213"/>
      <c r="H8" s="211"/>
      <c r="I8" s="463"/>
      <c r="J8" s="219"/>
    </row>
    <row r="9" spans="1:10" ht="12.75" customHeight="1">
      <c r="A9" s="215"/>
      <c r="B9" s="421" t="s">
        <v>9</v>
      </c>
      <c r="C9" s="217">
        <f>('3. sz. melléklet'!K11)</f>
        <v>262200</v>
      </c>
      <c r="D9" s="243">
        <f>('3. sz. melléklet'!L11)</f>
        <v>348445</v>
      </c>
      <c r="E9" s="243">
        <f>('3. sz. melléklet'!M11)</f>
        <v>331959</v>
      </c>
      <c r="F9" s="212" t="s">
        <v>10</v>
      </c>
      <c r="G9" s="213"/>
      <c r="H9" s="211">
        <f>'4.sz. melléklet'!M7</f>
        <v>323248</v>
      </c>
      <c r="I9" s="463">
        <f>'4.sz. melléklet'!N7</f>
        <v>350472</v>
      </c>
      <c r="J9" s="219">
        <f>'4.sz. melléklet'!O7</f>
        <v>330815</v>
      </c>
    </row>
    <row r="10" spans="1:10" ht="12.75" customHeight="1">
      <c r="A10" s="456"/>
      <c r="B10" s="421" t="s">
        <v>1030</v>
      </c>
      <c r="C10" s="217"/>
      <c r="D10" s="243">
        <f>('3. sz. melléklet'!L12)</f>
        <v>1645</v>
      </c>
      <c r="E10" s="243">
        <f>('3. sz. melléklet'!M12)</f>
        <v>1645</v>
      </c>
      <c r="F10" s="212"/>
      <c r="G10" s="213"/>
      <c r="H10" s="211"/>
      <c r="I10" s="463"/>
      <c r="J10" s="219"/>
    </row>
    <row r="11" spans="1:10" ht="12.75" customHeight="1">
      <c r="A11" s="1036" t="s">
        <v>696</v>
      </c>
      <c r="B11" s="1060"/>
      <c r="C11" s="217"/>
      <c r="D11" s="243">
        <f>SUM(D12)</f>
        <v>46566</v>
      </c>
      <c r="E11" s="243">
        <f>SUM(E12)</f>
        <v>46566</v>
      </c>
      <c r="F11" s="212"/>
      <c r="G11" s="213"/>
      <c r="H11" s="211"/>
      <c r="I11" s="464"/>
      <c r="J11" s="220"/>
    </row>
    <row r="12" spans="1:10" ht="12.75" customHeight="1">
      <c r="A12" s="215"/>
      <c r="B12" s="421" t="s">
        <v>9</v>
      </c>
      <c r="C12" s="217"/>
      <c r="D12" s="217">
        <f>('3. sz. melléklet'!L14)</f>
        <v>46566</v>
      </c>
      <c r="E12" s="217">
        <f>('3. sz. melléklet'!M14)</f>
        <v>46566</v>
      </c>
      <c r="F12" s="212"/>
      <c r="G12" s="213"/>
      <c r="H12" s="211"/>
      <c r="I12" s="464"/>
      <c r="J12" s="220"/>
    </row>
    <row r="13" spans="1:10" ht="12.75" customHeight="1">
      <c r="A13" s="422"/>
      <c r="B13" s="421"/>
      <c r="C13" s="217"/>
      <c r="D13" s="217"/>
      <c r="E13" s="217"/>
      <c r="F13" s="212"/>
      <c r="G13" s="213"/>
      <c r="H13" s="211"/>
      <c r="I13" s="464"/>
      <c r="J13" s="220"/>
    </row>
    <row r="14" spans="1:10" ht="12.75" customHeight="1">
      <c r="A14" s="419" t="s">
        <v>11</v>
      </c>
      <c r="B14" s="212"/>
      <c r="C14" s="211">
        <f>SUM(C15:C20)</f>
        <v>2107748</v>
      </c>
      <c r="D14" s="211">
        <f>SUM(D15:D21)</f>
        <v>2149150</v>
      </c>
      <c r="E14" s="211">
        <f>SUM(E15:E21)</f>
        <v>1969081</v>
      </c>
      <c r="F14" s="212" t="s">
        <v>12</v>
      </c>
      <c r="G14" s="213"/>
      <c r="H14" s="211">
        <f>'4.sz. melléklet'!M8</f>
        <v>1700235</v>
      </c>
      <c r="I14" s="463">
        <f>'4.sz. melléklet'!N8</f>
        <v>1660067</v>
      </c>
      <c r="J14" s="219">
        <f>'4.sz. melléklet'!O8</f>
        <v>1469769</v>
      </c>
    </row>
    <row r="15" spans="1:10" ht="12.75" customHeight="1">
      <c r="A15" s="422"/>
      <c r="B15" s="213" t="s">
        <v>13</v>
      </c>
      <c r="C15" s="217">
        <f>'3. sz. melléklet'!K16</f>
        <v>460000</v>
      </c>
      <c r="D15" s="217">
        <f>('3. sz. melléklet'!L16)</f>
        <v>460000</v>
      </c>
      <c r="E15" s="217">
        <f>('3. sz. melléklet'!M16)</f>
        <v>456775</v>
      </c>
      <c r="F15" s="213"/>
      <c r="G15" s="213"/>
      <c r="H15" s="213"/>
      <c r="I15" s="464"/>
      <c r="J15" s="220"/>
    </row>
    <row r="16" spans="1:10" ht="12.75" customHeight="1">
      <c r="A16" s="423"/>
      <c r="B16" s="421" t="s">
        <v>14</v>
      </c>
      <c r="C16" s="217">
        <f>'3. sz. melléklet'!K19</f>
        <v>1630218</v>
      </c>
      <c r="D16" s="217">
        <f>('3. sz. melléklet'!L19)</f>
        <v>1670061</v>
      </c>
      <c r="E16" s="217">
        <f>('3. sz. melléklet'!M19)</f>
        <v>1501156</v>
      </c>
      <c r="F16" s="212" t="s">
        <v>15</v>
      </c>
      <c r="G16" s="213"/>
      <c r="H16" s="214">
        <f>'4.sz. melléklet'!M9</f>
        <v>71950</v>
      </c>
      <c r="I16" s="462">
        <f>'4.sz. melléklet'!N9</f>
        <v>74626</v>
      </c>
      <c r="J16" s="218">
        <f>'4.sz. melléklet'!O9</f>
        <v>75881</v>
      </c>
    </row>
    <row r="17" spans="1:10" ht="12.75" customHeight="1">
      <c r="A17" s="422"/>
      <c r="B17" s="216" t="s">
        <v>16</v>
      </c>
      <c r="C17" s="217">
        <f>'3. sz. melléklet'!K24</f>
        <v>30</v>
      </c>
      <c r="D17" s="217">
        <f>'3. sz. melléklet'!L24</f>
        <v>0</v>
      </c>
      <c r="E17" s="217">
        <f>'3. sz. melléklet'!M24</f>
        <v>0</v>
      </c>
      <c r="F17" s="213"/>
      <c r="G17" s="213"/>
      <c r="H17" s="213"/>
      <c r="I17" s="464"/>
      <c r="J17" s="220"/>
    </row>
    <row r="18" spans="1:10" ht="12.75" customHeight="1">
      <c r="A18" s="215"/>
      <c r="B18" s="216" t="s">
        <v>17</v>
      </c>
      <c r="C18" s="217">
        <f>'3. sz. melléklet'!K26</f>
        <v>13900</v>
      </c>
      <c r="D18" s="217">
        <f>'3. sz. melléklet'!L26</f>
        <v>13900</v>
      </c>
      <c r="E18" s="217">
        <f>'3. sz. melléklet'!M26</f>
        <v>6248</v>
      </c>
      <c r="F18" s="212" t="s">
        <v>18</v>
      </c>
      <c r="G18" s="213"/>
      <c r="H18" s="214">
        <f>SUM(H20:H22)</f>
        <v>983430</v>
      </c>
      <c r="I18" s="462">
        <f>SUM(I19:I22)</f>
        <v>950286</v>
      </c>
      <c r="J18" s="218">
        <f>SUM(J19:J22)</f>
        <v>970605</v>
      </c>
    </row>
    <row r="19" spans="1:10" ht="12.75" customHeight="1">
      <c r="A19" s="215"/>
      <c r="B19" s="216"/>
      <c r="C19" s="217"/>
      <c r="D19" s="217"/>
      <c r="E19" s="217"/>
      <c r="F19" s="212"/>
      <c r="G19" s="213" t="s">
        <v>759</v>
      </c>
      <c r="H19" s="214"/>
      <c r="I19" s="465">
        <f>'4.sz. melléklet'!N11</f>
        <v>18978</v>
      </c>
      <c r="J19" s="221">
        <f>'4.sz. melléklet'!O11</f>
        <v>19184</v>
      </c>
    </row>
    <row r="20" spans="1:10" ht="12.75" customHeight="1">
      <c r="A20" s="215"/>
      <c r="B20" s="216" t="s">
        <v>19</v>
      </c>
      <c r="C20" s="217">
        <f>'3. sz. melléklet'!K27</f>
        <v>3600</v>
      </c>
      <c r="D20" s="217">
        <f>'3. sz. melléklet'!L27</f>
        <v>5159</v>
      </c>
      <c r="E20" s="217">
        <f>'3. sz. melléklet'!M27</f>
        <v>4871</v>
      </c>
      <c r="F20" s="213"/>
      <c r="G20" s="213" t="s">
        <v>20</v>
      </c>
      <c r="H20" s="424">
        <f>'4.sz. melléklet'!M12</f>
        <v>2000</v>
      </c>
      <c r="I20" s="465">
        <f>'4.sz. melléklet'!N12</f>
        <v>5015</v>
      </c>
      <c r="J20" s="221">
        <f>'4.sz. melléklet'!O12</f>
        <v>5015</v>
      </c>
    </row>
    <row r="21" spans="1:10" ht="12.75" customHeight="1">
      <c r="A21" s="215"/>
      <c r="B21" s="216" t="s">
        <v>688</v>
      </c>
      <c r="C21" s="217"/>
      <c r="D21" s="217">
        <f>'3. sz. melléklet'!L28</f>
        <v>30</v>
      </c>
      <c r="E21" s="217">
        <f>'3. sz. melléklet'!M28</f>
        <v>31</v>
      </c>
      <c r="F21" s="213"/>
      <c r="G21" s="213" t="s">
        <v>21</v>
      </c>
      <c r="H21" s="424">
        <f>'4.sz. melléklet'!M13</f>
        <v>834630</v>
      </c>
      <c r="I21" s="465">
        <f>'4.sz. melléklet'!N13</f>
        <v>920560</v>
      </c>
      <c r="J21" s="221">
        <f>'4.sz. melléklet'!O13</f>
        <v>942571</v>
      </c>
    </row>
    <row r="22" spans="1:10" ht="12.75" customHeight="1">
      <c r="A22" s="425" t="s">
        <v>22</v>
      </c>
      <c r="B22" s="421"/>
      <c r="C22" s="211">
        <f>SUM(C23:C29)</f>
        <v>760994</v>
      </c>
      <c r="D22" s="211">
        <f>SUM(D23:D30)</f>
        <v>762816</v>
      </c>
      <c r="E22" s="211">
        <f>SUM(E23:E30)</f>
        <v>667377</v>
      </c>
      <c r="F22" s="213"/>
      <c r="G22" s="213" t="s">
        <v>23</v>
      </c>
      <c r="H22" s="424">
        <f>'4.sz. melléklet'!M14</f>
        <v>146800</v>
      </c>
      <c r="I22" s="465">
        <f>'4.sz. melléklet'!N14</f>
        <v>5733</v>
      </c>
      <c r="J22" s="221">
        <f>'4.sz. melléklet'!O14</f>
        <v>3835</v>
      </c>
    </row>
    <row r="23" spans="1:10" ht="12.75" customHeight="1">
      <c r="A23" s="422"/>
      <c r="B23" s="213" t="s">
        <v>24</v>
      </c>
      <c r="C23" s="217">
        <f>'3. sz. melléklet'!K30</f>
        <v>238395</v>
      </c>
      <c r="D23" s="217">
        <f>'3. sz. melléklet'!L30</f>
        <v>232473</v>
      </c>
      <c r="E23" s="217">
        <v>109295</v>
      </c>
      <c r="F23" s="213"/>
      <c r="G23" s="426" t="s">
        <v>25</v>
      </c>
      <c r="H23" s="424">
        <f>'4.sz. melléklet'!M15</f>
        <v>15000</v>
      </c>
      <c r="I23" s="465">
        <f>'4.sz. melléklet'!N15</f>
        <v>236</v>
      </c>
      <c r="J23" s="221">
        <f>'4.sz. melléklet'!O15</f>
        <v>138</v>
      </c>
    </row>
    <row r="24" spans="1:10" ht="27" customHeight="1">
      <c r="A24" s="422"/>
      <c r="B24" s="213" t="s">
        <v>26</v>
      </c>
      <c r="C24" s="217">
        <f>'3. sz. melléklet'!K31</f>
        <v>105947</v>
      </c>
      <c r="D24" s="217">
        <f>'3. sz. melléklet'!L31</f>
        <v>79996</v>
      </c>
      <c r="E24" s="217">
        <f>'3. sz. melléklet'!M31</f>
        <v>77823</v>
      </c>
      <c r="F24" s="213"/>
      <c r="G24" s="427" t="s">
        <v>698</v>
      </c>
      <c r="H24" s="424">
        <f>'4.sz. melléklet'!M16</f>
        <v>100000</v>
      </c>
      <c r="I24" s="465">
        <f>'4.sz. melléklet'!N16</f>
        <v>3697</v>
      </c>
      <c r="J24" s="221">
        <f>'4.sz. melléklet'!O16</f>
        <v>3697</v>
      </c>
    </row>
    <row r="25" spans="1:10" ht="12.75" customHeight="1">
      <c r="A25" s="422"/>
      <c r="B25" s="213" t="s">
        <v>27</v>
      </c>
      <c r="C25" s="217">
        <f>'3. sz. melléklet'!K32</f>
        <v>34000</v>
      </c>
      <c r="D25" s="217">
        <f>'3. sz. melléklet'!L32</f>
        <v>34731</v>
      </c>
      <c r="E25" s="217">
        <f>'3. sz. melléklet'!M32</f>
        <v>35736</v>
      </c>
      <c r="F25" s="213"/>
      <c r="G25" s="426" t="s">
        <v>28</v>
      </c>
      <c r="H25" s="424">
        <f>'4.sz. melléklet'!M17</f>
        <v>31800</v>
      </c>
      <c r="I25" s="465">
        <f>'4.sz. melléklet'!N17</f>
        <v>1800</v>
      </c>
      <c r="J25" s="221">
        <f>'4.sz. melléklet'!O17</f>
        <v>0</v>
      </c>
    </row>
    <row r="26" spans="1:10" ht="14.25" customHeight="1">
      <c r="A26" s="419"/>
      <c r="B26" s="213" t="s">
        <v>29</v>
      </c>
      <c r="C26" s="217">
        <f>'3. sz. melléklet'!K33</f>
        <v>75515</v>
      </c>
      <c r="D26" s="217">
        <f>'3. sz. melléklet'!L33</f>
        <v>79086</v>
      </c>
      <c r="E26" s="217">
        <f>'3. sz. melléklet'!M33</f>
        <v>120642</v>
      </c>
      <c r="F26" s="213"/>
      <c r="G26" s="426"/>
      <c r="H26" s="428"/>
      <c r="I26" s="464"/>
      <c r="J26" s="220"/>
    </row>
    <row r="27" spans="1:10" ht="12.75" customHeight="1">
      <c r="A27" s="422"/>
      <c r="B27" s="213" t="s">
        <v>30</v>
      </c>
      <c r="C27" s="217">
        <f>'3. sz. melléklet'!K35</f>
        <v>81492</v>
      </c>
      <c r="D27" s="217">
        <f>'3. sz. melléklet'!L35</f>
        <v>89492</v>
      </c>
      <c r="E27" s="217">
        <f>'3. sz. melléklet'!M35</f>
        <v>88815</v>
      </c>
      <c r="F27" s="213"/>
      <c r="G27" s="213"/>
      <c r="H27" s="217"/>
      <c r="I27" s="464"/>
      <c r="J27" s="220"/>
    </row>
    <row r="28" spans="1:10" ht="12.75" customHeight="1">
      <c r="A28" s="423"/>
      <c r="B28" s="421" t="s">
        <v>31</v>
      </c>
      <c r="C28" s="217">
        <f>'3. sz. melléklet'!K36</f>
        <v>214485</v>
      </c>
      <c r="D28" s="217">
        <f>'3. sz. melléklet'!L36</f>
        <v>223880</v>
      </c>
      <c r="E28" s="217">
        <f>'3. sz. melléklet'!M36</f>
        <v>225056</v>
      </c>
      <c r="F28" s="212" t="s">
        <v>32</v>
      </c>
      <c r="G28" s="213"/>
      <c r="H28" s="211">
        <f>'4.sz. melléklet'!M18</f>
        <v>193259</v>
      </c>
      <c r="I28" s="463">
        <f>'4.sz. melléklet'!N18</f>
        <v>277945</v>
      </c>
      <c r="J28" s="219">
        <f>'4.sz. melléklet'!O18</f>
        <v>385203</v>
      </c>
    </row>
    <row r="29" spans="1:10" ht="12.75" customHeight="1">
      <c r="A29" s="422"/>
      <c r="B29" s="429" t="s">
        <v>33</v>
      </c>
      <c r="C29" s="217">
        <f>'3. sz. melléklet'!K37</f>
        <v>11160</v>
      </c>
      <c r="D29" s="217">
        <f>'3. sz. melléklet'!L37</f>
        <v>18125</v>
      </c>
      <c r="E29" s="217">
        <f>'3. sz. melléklet'!M37</f>
        <v>4839</v>
      </c>
      <c r="F29" s="213"/>
      <c r="G29" s="426"/>
      <c r="H29" s="428"/>
      <c r="I29" s="464"/>
      <c r="J29" s="220"/>
    </row>
    <row r="30" spans="1:10" ht="12.75" customHeight="1">
      <c r="A30" s="422"/>
      <c r="B30" s="213" t="s">
        <v>683</v>
      </c>
      <c r="C30" s="217"/>
      <c r="D30" s="217">
        <f>'3. sz. melléklet'!L38</f>
        <v>5033</v>
      </c>
      <c r="E30" s="217">
        <f>'3. sz. melléklet'!M38</f>
        <v>5171</v>
      </c>
      <c r="F30" s="212" t="s">
        <v>34</v>
      </c>
      <c r="G30" s="213"/>
      <c r="H30" s="214">
        <f>'4.sz. melléklet'!M19</f>
        <v>162646</v>
      </c>
      <c r="I30" s="462">
        <f>'4.sz. melléklet'!N19</f>
        <v>205447</v>
      </c>
      <c r="J30" s="218">
        <f>'4.sz. melléklet'!O19</f>
        <v>189586</v>
      </c>
    </row>
    <row r="31" spans="1:10" ht="12.75" customHeight="1">
      <c r="A31" s="425" t="s">
        <v>35</v>
      </c>
      <c r="B31" s="421"/>
      <c r="C31" s="211">
        <f>SUM(C32)</f>
        <v>392724</v>
      </c>
      <c r="D31" s="211">
        <f>SUM(D32+D33)</f>
        <v>363002</v>
      </c>
      <c r="E31" s="211">
        <f>SUM(E32+E33)</f>
        <v>363033</v>
      </c>
      <c r="F31" s="430"/>
      <c r="G31" s="213"/>
      <c r="H31" s="424"/>
      <c r="I31" s="464"/>
      <c r="J31" s="220"/>
    </row>
    <row r="32" spans="1:10" ht="12.75" customHeight="1">
      <c r="A32" s="425"/>
      <c r="B32" s="213" t="s">
        <v>36</v>
      </c>
      <c r="C32" s="217">
        <f>'3. sz. melléklet'!K40</f>
        <v>392724</v>
      </c>
      <c r="D32" s="217">
        <f>'3. sz. melléklet'!L40</f>
        <v>362751</v>
      </c>
      <c r="E32" s="217">
        <f>'3. sz. melléklet'!M40</f>
        <v>362751</v>
      </c>
      <c r="F32" s="212" t="s">
        <v>37</v>
      </c>
      <c r="G32" s="213"/>
      <c r="H32" s="211">
        <f>'4.sz. melléklet'!M20</f>
        <v>339174</v>
      </c>
      <c r="I32" s="463">
        <f>'4.sz. melléklet'!N20</f>
        <v>397150</v>
      </c>
      <c r="J32" s="219">
        <f>'4.sz. melléklet'!O20</f>
        <v>373336</v>
      </c>
    </row>
    <row r="33" spans="1:10" ht="12.75" customHeight="1">
      <c r="A33" s="425"/>
      <c r="B33" s="431" t="s">
        <v>757</v>
      </c>
      <c r="C33" s="217"/>
      <c r="D33" s="217">
        <f>'3. sz. melléklet'!L41</f>
        <v>251</v>
      </c>
      <c r="E33" s="217">
        <f>'3. sz. melléklet'!M41</f>
        <v>282</v>
      </c>
      <c r="F33" s="212"/>
      <c r="G33" s="213" t="s">
        <v>20</v>
      </c>
      <c r="H33" s="217">
        <f>'4.sz. melléklet'!M21</f>
        <v>1200</v>
      </c>
      <c r="I33" s="461">
        <f>'4.sz. melléklet'!N21</f>
        <v>1200</v>
      </c>
      <c r="J33" s="222">
        <f>'4.sz. melléklet'!O21</f>
        <v>1200</v>
      </c>
    </row>
    <row r="34" spans="1:10" ht="12.75" customHeight="1">
      <c r="A34" s="425" t="s">
        <v>38</v>
      </c>
      <c r="B34" s="213"/>
      <c r="C34" s="211">
        <f>SUM(C35)</f>
        <v>65989</v>
      </c>
      <c r="D34" s="211">
        <f>SUM(D35+D36)</f>
        <v>96531</v>
      </c>
      <c r="E34" s="211">
        <f>SUM(E35+E36)</f>
        <v>32542</v>
      </c>
      <c r="F34" s="212"/>
      <c r="G34" s="213" t="s">
        <v>39</v>
      </c>
      <c r="H34" s="424">
        <f>'4.sz. melléklet'!M22</f>
        <v>187974</v>
      </c>
      <c r="I34" s="465">
        <f>'4.sz. melléklet'!N22</f>
        <v>391634</v>
      </c>
      <c r="J34" s="221">
        <f>'4.sz. melléklet'!O22</f>
        <v>367820</v>
      </c>
    </row>
    <row r="35" spans="1:10" ht="12.75" customHeight="1">
      <c r="A35" s="425"/>
      <c r="B35" s="213" t="s">
        <v>20</v>
      </c>
      <c r="C35" s="217">
        <f>'3. sz. melléklet'!K43</f>
        <v>65989</v>
      </c>
      <c r="D35" s="217">
        <f>'3. sz. melléklet'!L43</f>
        <v>80179</v>
      </c>
      <c r="E35" s="217">
        <f>'3. sz. melléklet'!M43</f>
        <v>16190</v>
      </c>
      <c r="F35" s="212"/>
      <c r="G35" s="421" t="s">
        <v>40</v>
      </c>
      <c r="H35" s="424">
        <f>'4.sz. melléklet'!M23</f>
        <v>150000</v>
      </c>
      <c r="I35" s="465">
        <f>'4.sz. melléklet'!N23</f>
        <v>4316</v>
      </c>
      <c r="J35" s="221">
        <f>'4.sz. melléklet'!O23</f>
        <v>4316</v>
      </c>
    </row>
    <row r="36" spans="1:10" ht="12.75" customHeight="1">
      <c r="A36" s="425"/>
      <c r="B36" s="421" t="s">
        <v>812</v>
      </c>
      <c r="C36" s="217"/>
      <c r="D36" s="217">
        <f>'3. sz. melléklet'!L44</f>
        <v>16352</v>
      </c>
      <c r="E36" s="217">
        <f>'3. sz. melléklet'!M44</f>
        <v>16352</v>
      </c>
      <c r="F36" s="212"/>
      <c r="G36" s="432" t="s">
        <v>41</v>
      </c>
      <c r="H36" s="424">
        <f>'4.sz. melléklet'!M24</f>
        <v>50000</v>
      </c>
      <c r="I36" s="465">
        <f>'4.sz. melléklet'!N24</f>
        <v>4316</v>
      </c>
      <c r="J36" s="221">
        <f>'4.sz. melléklet'!O24</f>
        <v>4316</v>
      </c>
    </row>
    <row r="37" spans="1:10" ht="13.5" customHeight="1">
      <c r="A37" s="425"/>
      <c r="B37" s="421"/>
      <c r="C37" s="217"/>
      <c r="D37" s="217"/>
      <c r="E37" s="217"/>
      <c r="F37" s="213"/>
      <c r="G37" s="433" t="s">
        <v>42</v>
      </c>
      <c r="H37" s="424">
        <f>'4.sz. melléklet'!M25</f>
        <v>100000</v>
      </c>
      <c r="I37" s="465">
        <f>'4.sz. melléklet'!N25</f>
        <v>0</v>
      </c>
      <c r="J37" s="221">
        <f>'4.sz. melléklet'!O25</f>
        <v>0</v>
      </c>
    </row>
    <row r="38" spans="1:10" ht="12.75" customHeight="1">
      <c r="A38" s="1036" t="s">
        <v>100</v>
      </c>
      <c r="B38" s="1037"/>
      <c r="C38" s="211">
        <f>SUM(C39)</f>
        <v>1996</v>
      </c>
      <c r="D38" s="211">
        <f>SUM(D39+D40)</f>
        <v>5708</v>
      </c>
      <c r="E38" s="211">
        <f>SUM(E39+E40)</f>
        <v>5708</v>
      </c>
      <c r="F38" s="213"/>
      <c r="G38" s="213"/>
      <c r="H38" s="428"/>
      <c r="I38" s="464"/>
      <c r="J38" s="220"/>
    </row>
    <row r="39" spans="1:10" ht="12.75" customHeight="1">
      <c r="A39" s="422"/>
      <c r="B39" s="213" t="s">
        <v>20</v>
      </c>
      <c r="C39" s="217">
        <f>'3. sz. melléklet'!K45</f>
        <v>1996</v>
      </c>
      <c r="D39" s="217">
        <f>'3. sz. melléklet'!L46</f>
        <v>4548</v>
      </c>
      <c r="E39" s="217">
        <f>'3. sz. melléklet'!M46</f>
        <v>4548</v>
      </c>
      <c r="F39" s="212"/>
      <c r="G39" s="213"/>
      <c r="H39" s="211"/>
      <c r="I39" s="464"/>
      <c r="J39" s="220"/>
    </row>
    <row r="40" spans="1:10" ht="12.75" customHeight="1">
      <c r="A40" s="425"/>
      <c r="B40" s="213" t="s">
        <v>812</v>
      </c>
      <c r="C40" s="217"/>
      <c r="D40" s="217">
        <f>'3. sz. melléklet'!L47</f>
        <v>1160</v>
      </c>
      <c r="E40" s="217">
        <f>'3. sz. melléklet'!M47</f>
        <v>1160</v>
      </c>
      <c r="F40" s="212"/>
      <c r="G40" s="213"/>
      <c r="H40" s="211"/>
      <c r="I40" s="464"/>
      <c r="J40" s="220"/>
    </row>
    <row r="41" spans="1:10" ht="16.5" customHeight="1">
      <c r="A41" s="434" t="s">
        <v>43</v>
      </c>
      <c r="B41" s="435"/>
      <c r="C41" s="211">
        <f>(C74+C8+C14+C22+C31+C34+C38+C6)</f>
        <v>4702922</v>
      </c>
      <c r="D41" s="244">
        <f>(D8+D7+D11+D14+D22+D31+D34+D38+D6)</f>
        <v>4968057</v>
      </c>
      <c r="E41" s="244">
        <f>(E8+E7+E11+E14+E22+E31+E34+E38+E6)</f>
        <v>4717302</v>
      </c>
      <c r="F41" s="212" t="s">
        <v>44</v>
      </c>
      <c r="G41" s="212"/>
      <c r="H41" s="214">
        <f>(H6+H9+H14+H16+H18+H28+H30+H32)</f>
        <v>4942971</v>
      </c>
      <c r="I41" s="462">
        <f>(I6+I9+I14+I16+I18+I28+I30+I32)</f>
        <v>5170386</v>
      </c>
      <c r="J41" s="218">
        <f>(J6+J9+J14+J16+J18+J28+J30+J32)</f>
        <v>4954022</v>
      </c>
    </row>
    <row r="42" spans="1:10" ht="12.75" customHeight="1">
      <c r="A42" s="425"/>
      <c r="B42" s="213"/>
      <c r="C42" s="217"/>
      <c r="D42" s="217"/>
      <c r="E42" s="217"/>
      <c r="F42" s="212"/>
      <c r="G42" s="212"/>
      <c r="H42" s="214"/>
      <c r="I42" s="464"/>
      <c r="J42" s="220"/>
    </row>
    <row r="43" spans="1:10" ht="13.5" customHeight="1">
      <c r="A43" s="436" t="s">
        <v>45</v>
      </c>
      <c r="B43" s="437"/>
      <c r="C43" s="211">
        <f>C41-H41</f>
        <v>-240049</v>
      </c>
      <c r="D43" s="244">
        <f>D41-I41</f>
        <v>-202329</v>
      </c>
      <c r="E43" s="244">
        <f>E41-J41</f>
        <v>-236720</v>
      </c>
      <c r="F43" s="1037" t="s">
        <v>46</v>
      </c>
      <c r="G43" s="1037"/>
      <c r="H43" s="211">
        <f>'4.sz. melléklet'!M27</f>
        <v>73265</v>
      </c>
      <c r="I43" s="463">
        <f>'4.sz. melléklet'!N27</f>
        <v>73265</v>
      </c>
      <c r="J43" s="219">
        <f>'4.sz. melléklet'!O27</f>
        <v>70817</v>
      </c>
    </row>
    <row r="44" spans="1:10" ht="13.5" customHeight="1">
      <c r="A44" s="436"/>
      <c r="B44" s="437"/>
      <c r="C44" s="211"/>
      <c r="D44" s="211"/>
      <c r="E44" s="211"/>
      <c r="F44" s="1037" t="s">
        <v>686</v>
      </c>
      <c r="G44" s="1037"/>
      <c r="H44" s="211"/>
      <c r="I44" s="463">
        <f>'4.sz. melléklet'!N28</f>
        <v>41266</v>
      </c>
      <c r="J44" s="219">
        <f>'4.sz. melléklet'!O28</f>
        <v>41266</v>
      </c>
    </row>
    <row r="45" spans="1:10" ht="12" customHeight="1">
      <c r="A45" s="425"/>
      <c r="B45" s="421"/>
      <c r="C45" s="217"/>
      <c r="D45" s="217"/>
      <c r="E45" s="461"/>
      <c r="F45" s="1041" t="s">
        <v>962</v>
      </c>
      <c r="G45" s="1042"/>
      <c r="H45" s="428"/>
      <c r="I45" s="463">
        <f>'4.sz. melléklet'!N29</f>
        <v>112898</v>
      </c>
      <c r="J45" s="219">
        <f>'4.sz. melléklet'!O29</f>
        <v>112898</v>
      </c>
    </row>
    <row r="46" spans="1:10" ht="12.75" customHeight="1">
      <c r="A46" s="1052" t="s">
        <v>47</v>
      </c>
      <c r="B46" s="1053"/>
      <c r="C46" s="211">
        <f>'3. sz. melléklet'!K49</f>
        <v>63314</v>
      </c>
      <c r="D46" s="211">
        <f>'3. sz. melléklet'!L49</f>
        <v>58772</v>
      </c>
      <c r="E46" s="211">
        <f>'3. sz. melléklet'!M49</f>
        <v>52854</v>
      </c>
      <c r="F46" s="212"/>
      <c r="G46" s="212"/>
      <c r="H46" s="214"/>
      <c r="I46" s="464"/>
      <c r="J46" s="220"/>
    </row>
    <row r="47" spans="1:10" ht="12.75" customHeight="1">
      <c r="A47" s="1056" t="s">
        <v>844</v>
      </c>
      <c r="B47" s="1057"/>
      <c r="C47" s="211"/>
      <c r="D47" s="243">
        <f>'3. sz. melléklet'!L50</f>
        <v>1156</v>
      </c>
      <c r="E47" s="243">
        <f>'3. sz. melléklet'!M50</f>
        <v>39017</v>
      </c>
      <c r="F47" s="212"/>
      <c r="G47" s="212"/>
      <c r="H47" s="214"/>
      <c r="I47" s="464"/>
      <c r="J47" s="220"/>
    </row>
    <row r="48" spans="1:10" ht="12.75" customHeight="1">
      <c r="A48" s="1039" t="s">
        <v>961</v>
      </c>
      <c r="B48" s="1040"/>
      <c r="C48" s="211"/>
      <c r="D48" s="243">
        <f>'3. sz. melléklet'!L51</f>
        <v>112898</v>
      </c>
      <c r="E48" s="243">
        <f>'3. sz. melléklet'!M51</f>
        <v>112898</v>
      </c>
      <c r="F48" s="212"/>
      <c r="G48" s="212"/>
      <c r="H48" s="214"/>
      <c r="I48" s="464"/>
      <c r="J48" s="220"/>
    </row>
    <row r="49" spans="1:10" ht="12.75" customHeight="1">
      <c r="A49" s="1052" t="s">
        <v>48</v>
      </c>
      <c r="B49" s="1053"/>
      <c r="C49" s="211">
        <f>'3. sz. melléklet'!K52</f>
        <v>250000</v>
      </c>
      <c r="D49" s="211">
        <f>'3. sz. melléklet'!L52</f>
        <v>256932</v>
      </c>
      <c r="E49" s="211">
        <f>'3. sz. melléklet'!M52</f>
        <v>256932</v>
      </c>
      <c r="F49" s="438"/>
      <c r="G49" s="212"/>
      <c r="H49" s="214"/>
      <c r="I49" s="464"/>
      <c r="J49" s="220"/>
    </row>
    <row r="50" spans="1:10" ht="12.75" customHeight="1">
      <c r="A50" s="425"/>
      <c r="B50" s="213"/>
      <c r="C50" s="211"/>
      <c r="D50" s="211"/>
      <c r="E50" s="211"/>
      <c r="F50" s="212"/>
      <c r="G50" s="214"/>
      <c r="H50" s="211"/>
      <c r="I50" s="464"/>
      <c r="J50" s="220"/>
    </row>
    <row r="51" spans="1:10" ht="12.75" customHeight="1">
      <c r="A51" s="1054" t="s">
        <v>49</v>
      </c>
      <c r="B51" s="1055"/>
      <c r="C51" s="211">
        <f>'3. sz. melléklet'!K53</f>
        <v>1726718</v>
      </c>
      <c r="D51" s="211">
        <f>'3. sz. melléklet'!L53</f>
        <v>1779284</v>
      </c>
      <c r="E51" s="211">
        <f>'3. sz. melléklet'!M53</f>
        <v>1635781</v>
      </c>
      <c r="F51" s="212" t="s">
        <v>50</v>
      </c>
      <c r="G51" s="212"/>
      <c r="H51" s="214">
        <f>'4.sz. melléklet'!M30</f>
        <v>1726718</v>
      </c>
      <c r="I51" s="462">
        <f>'4.sz. melléklet'!N30</f>
        <v>1779284</v>
      </c>
      <c r="J51" s="218">
        <f>'4.sz. melléklet'!O30</f>
        <v>1635781</v>
      </c>
    </row>
    <row r="52" spans="1:10" ht="12.75" customHeight="1">
      <c r="A52" s="439"/>
      <c r="B52" s="440"/>
      <c r="C52" s="211"/>
      <c r="D52" s="211"/>
      <c r="E52" s="211"/>
      <c r="F52" s="212"/>
      <c r="G52" s="212"/>
      <c r="H52" s="214"/>
      <c r="I52" s="464"/>
      <c r="J52" s="220"/>
    </row>
    <row r="53" spans="1:10" ht="12.75" customHeight="1">
      <c r="A53" s="1054" t="s">
        <v>697</v>
      </c>
      <c r="B53" s="1055"/>
      <c r="C53" s="211"/>
      <c r="D53" s="243">
        <f>'3. sz. melléklet'!L54</f>
        <v>1250000</v>
      </c>
      <c r="E53" s="243">
        <f>'3. sz. melléklet'!M54</f>
        <v>1250000</v>
      </c>
      <c r="F53" s="1037" t="s">
        <v>687</v>
      </c>
      <c r="G53" s="1037"/>
      <c r="H53" s="214"/>
      <c r="I53" s="463">
        <f>'4.sz. melléklet'!N31</f>
        <v>1250000</v>
      </c>
      <c r="J53" s="219">
        <f>'4.sz. melléklet'!O31</f>
        <v>1250000</v>
      </c>
    </row>
    <row r="54" spans="1:10" ht="12.75" customHeight="1">
      <c r="A54" s="1036" t="s">
        <v>723</v>
      </c>
      <c r="B54" s="1037"/>
      <c r="C54" s="217"/>
      <c r="D54" s="243">
        <f>'3. sz. melléklet'!L55</f>
        <v>1070830</v>
      </c>
      <c r="E54" s="243">
        <f>'3. sz. melléklet'!M55</f>
        <v>1070830</v>
      </c>
      <c r="F54" s="1038" t="s">
        <v>724</v>
      </c>
      <c r="G54" s="1038"/>
      <c r="H54" s="211"/>
      <c r="I54" s="463">
        <f>'4.sz. melléklet'!N32</f>
        <v>1070830</v>
      </c>
      <c r="J54" s="219">
        <f>'4.sz. melléklet'!O32</f>
        <v>1070830</v>
      </c>
    </row>
    <row r="55" spans="1:10" ht="15.75" customHeight="1">
      <c r="A55" s="1052" t="s">
        <v>51</v>
      </c>
      <c r="B55" s="1053"/>
      <c r="C55" s="211">
        <f>'3. sz. melléklet'!K56</f>
        <v>2040032</v>
      </c>
      <c r="D55" s="211">
        <f>'3. sz. melléklet'!L56</f>
        <v>4529872</v>
      </c>
      <c r="E55" s="211">
        <f>'3. sz. melléklet'!M56</f>
        <v>4418312</v>
      </c>
      <c r="F55" s="212" t="s">
        <v>52</v>
      </c>
      <c r="G55" s="214"/>
      <c r="H55" s="211">
        <f>'4.sz. melléklet'!M33</f>
        <v>1799983</v>
      </c>
      <c r="I55" s="463">
        <f>'4.sz. melléklet'!N33</f>
        <v>4327543</v>
      </c>
      <c r="J55" s="219">
        <f>'4.sz. melléklet'!O33</f>
        <v>4181592</v>
      </c>
    </row>
    <row r="56" spans="1:10" ht="12.75" customHeight="1">
      <c r="A56" s="1050"/>
      <c r="B56" s="1051"/>
      <c r="C56" s="217"/>
      <c r="D56" s="217"/>
      <c r="E56" s="217"/>
      <c r="F56" s="213"/>
      <c r="G56" s="213"/>
      <c r="H56" s="424"/>
      <c r="I56" s="464"/>
      <c r="J56" s="220"/>
    </row>
    <row r="57" spans="1:10" ht="15" customHeight="1" thickBot="1">
      <c r="A57" s="180" t="s">
        <v>53</v>
      </c>
      <c r="B57" s="4"/>
      <c r="C57" s="5">
        <f>'3. sz. melléklet'!K57</f>
        <v>6742954</v>
      </c>
      <c r="D57" s="5">
        <f>'3. sz. melléklet'!L57</f>
        <v>9497929</v>
      </c>
      <c r="E57" s="5">
        <f>'3. sz. melléklet'!M57</f>
        <v>9135614</v>
      </c>
      <c r="F57" s="4" t="s">
        <v>54</v>
      </c>
      <c r="G57" s="6"/>
      <c r="H57" s="5">
        <f>'4.sz. melléklet'!M34</f>
        <v>6742954</v>
      </c>
      <c r="I57" s="466">
        <f>'4.sz. melléklet'!N34</f>
        <v>9497929</v>
      </c>
      <c r="J57" s="223">
        <f>'4.sz. melléklet'!O34</f>
        <v>9135614</v>
      </c>
    </row>
    <row r="59" spans="2:10" ht="12.75" customHeight="1">
      <c r="B59" s="1035" t="s">
        <v>1127</v>
      </c>
      <c r="C59" s="1035"/>
      <c r="D59" s="1035"/>
      <c r="E59" s="1035"/>
      <c r="F59" s="1035"/>
      <c r="G59" s="1035"/>
      <c r="H59" s="1035"/>
      <c r="I59" s="1035"/>
      <c r="J59" s="1033"/>
    </row>
    <row r="60" spans="2:10" ht="12.75" customHeight="1">
      <c r="B60" s="1035" t="s">
        <v>1128</v>
      </c>
      <c r="C60" s="1035"/>
      <c r="D60" s="1035"/>
      <c r="E60" s="1035"/>
      <c r="F60" s="1035"/>
      <c r="G60" s="1035"/>
      <c r="H60" s="1035"/>
      <c r="I60" s="1035"/>
      <c r="J60" s="1035"/>
    </row>
    <row r="61" spans="2:10" ht="13.5" customHeight="1">
      <c r="B61" s="1035" t="s">
        <v>1129</v>
      </c>
      <c r="C61" s="1035"/>
      <c r="D61" s="1035"/>
      <c r="E61" s="1035"/>
      <c r="F61" s="1035"/>
      <c r="G61" s="1035"/>
      <c r="H61" s="1035"/>
      <c r="I61" s="1035"/>
      <c r="J61" s="1035"/>
    </row>
    <row r="62" spans="2:10" ht="12.75" customHeight="1">
      <c r="B62" s="1035" t="s">
        <v>1134</v>
      </c>
      <c r="C62" s="1035"/>
      <c r="D62" s="1035"/>
      <c r="E62" s="1035"/>
      <c r="F62" s="1035"/>
      <c r="G62" s="1035"/>
      <c r="H62" s="1035"/>
      <c r="I62" s="1035"/>
      <c r="J62" s="1035"/>
    </row>
    <row r="67" ht="15" customHeight="1"/>
    <row r="68" ht="15" customHeight="1"/>
    <row r="70" ht="19.5" customHeight="1"/>
    <row r="71" ht="15" customHeight="1"/>
    <row r="72" ht="15" customHeight="1"/>
    <row r="73" ht="15" customHeight="1"/>
    <row r="74" ht="27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</sheetData>
  <sheetProtection selectLockedCells="1" selectUnlockedCells="1"/>
  <mergeCells count="26">
    <mergeCell ref="A4:E4"/>
    <mergeCell ref="F4:J4"/>
    <mergeCell ref="A2:J2"/>
    <mergeCell ref="A56:B56"/>
    <mergeCell ref="A38:B38"/>
    <mergeCell ref="F43:G43"/>
    <mergeCell ref="A46:B46"/>
    <mergeCell ref="A49:B49"/>
    <mergeCell ref="A51:B51"/>
    <mergeCell ref="A55:B55"/>
    <mergeCell ref="A47:B47"/>
    <mergeCell ref="A8:B8"/>
    <mergeCell ref="A5:B5"/>
    <mergeCell ref="F5:G5"/>
    <mergeCell ref="A11:B11"/>
    <mergeCell ref="A53:B53"/>
    <mergeCell ref="F53:G53"/>
    <mergeCell ref="F54:G54"/>
    <mergeCell ref="F44:G44"/>
    <mergeCell ref="A48:B48"/>
    <mergeCell ref="F45:G45"/>
    <mergeCell ref="B59:I59"/>
    <mergeCell ref="B60:J60"/>
    <mergeCell ref="B61:J61"/>
    <mergeCell ref="B62:J62"/>
    <mergeCell ref="A54:B54"/>
  </mergeCells>
  <printOptions horizontalCentered="1"/>
  <pageMargins left="0.7874015748031497" right="0.7874015748031497" top="0.9448818897637796" bottom="0.7874015748031497" header="0.6299212598425197" footer="0.5118110236220472"/>
  <pageSetup horizontalDpi="300" verticalDpi="300" orientation="landscape" paperSize="9" scale="58" r:id="rId1"/>
  <headerFooter>
    <oddHeader>&amp;L1. melléklet a 1/2017.(II.24.) önkormányzati rendelethez
1. melléklet a 29/2015.(XII.18.)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J45"/>
  <sheetViews>
    <sheetView view="pageBreakPreview" zoomScale="79" zoomScaleSheetLayoutView="79" zoomScalePageLayoutView="90" workbookViewId="0" topLeftCell="A28">
      <selection activeCell="E54" sqref="E54"/>
    </sheetView>
  </sheetViews>
  <sheetFormatPr defaultColWidth="9.00390625" defaultRowHeight="12.75"/>
  <cols>
    <col min="1" max="1" width="57.375" style="578" customWidth="1"/>
    <col min="2" max="2" width="16.25390625" style="0" customWidth="1"/>
    <col min="3" max="3" width="14.875" style="0" customWidth="1"/>
    <col min="4" max="4" width="17.25390625" style="0" customWidth="1"/>
  </cols>
  <sheetData>
    <row r="2" spans="1:4" ht="36" customHeight="1">
      <c r="A2" s="1123" t="s">
        <v>236</v>
      </c>
      <c r="B2" s="1123"/>
      <c r="C2" s="1123"/>
      <c r="D2" s="1123"/>
    </row>
    <row r="3" spans="1:4" ht="16.5" customHeight="1">
      <c r="A3" s="1123" t="s">
        <v>237</v>
      </c>
      <c r="B3" s="1123"/>
      <c r="C3" s="1123"/>
      <c r="D3" s="1123"/>
    </row>
    <row r="4" spans="1:2" ht="16.5" thickBot="1">
      <c r="A4" s="572"/>
      <c r="B4" s="535"/>
    </row>
    <row r="5" spans="1:4" ht="15.75">
      <c r="A5" s="536" t="s">
        <v>3</v>
      </c>
      <c r="B5" s="537" t="s">
        <v>5</v>
      </c>
      <c r="C5" s="538" t="s">
        <v>861</v>
      </c>
      <c r="D5" s="539" t="s">
        <v>1041</v>
      </c>
    </row>
    <row r="6" spans="1:4" ht="15.75">
      <c r="A6" s="540" t="s">
        <v>238</v>
      </c>
      <c r="B6" s="541">
        <v>300</v>
      </c>
      <c r="C6" s="542">
        <v>300</v>
      </c>
      <c r="D6" s="543">
        <v>300</v>
      </c>
    </row>
    <row r="7" spans="1:4" ht="15.75">
      <c r="A7" s="544" t="s">
        <v>239</v>
      </c>
      <c r="B7" s="541">
        <f>SUM(B8:B9)</f>
        <v>18600</v>
      </c>
      <c r="C7" s="545">
        <f>SUM(C8:C9)</f>
        <v>16290</v>
      </c>
      <c r="D7" s="546">
        <f>SUM(D8:D9)</f>
        <v>14390</v>
      </c>
    </row>
    <row r="8" spans="1:4" ht="15.75">
      <c r="A8" s="547" t="s">
        <v>240</v>
      </c>
      <c r="B8" s="541">
        <v>14600</v>
      </c>
      <c r="C8" s="545">
        <v>16290</v>
      </c>
      <c r="D8" s="546">
        <v>14390</v>
      </c>
    </row>
    <row r="9" spans="1:4" ht="15.75">
      <c r="A9" s="547" t="s">
        <v>241</v>
      </c>
      <c r="B9" s="541">
        <v>4000</v>
      </c>
      <c r="C9" s="545">
        <v>0</v>
      </c>
      <c r="D9" s="546">
        <v>0</v>
      </c>
    </row>
    <row r="10" spans="1:4" ht="31.5">
      <c r="A10" s="540" t="s">
        <v>242</v>
      </c>
      <c r="B10" s="541">
        <v>150</v>
      </c>
      <c r="C10" s="545">
        <v>150</v>
      </c>
      <c r="D10" s="546">
        <v>150</v>
      </c>
    </row>
    <row r="11" spans="1:4" ht="15.75">
      <c r="A11" s="540" t="s">
        <v>243</v>
      </c>
      <c r="B11" s="541">
        <f>SUM(B12:B14)</f>
        <v>20900</v>
      </c>
      <c r="C11" s="545">
        <f>SUM(C12:C14)</f>
        <v>5910</v>
      </c>
      <c r="D11" s="546">
        <f>SUM(D12:D14)</f>
        <v>6691</v>
      </c>
    </row>
    <row r="12" spans="1:4" ht="31.5">
      <c r="A12" s="540" t="s">
        <v>244</v>
      </c>
      <c r="B12" s="541">
        <v>2500</v>
      </c>
      <c r="C12" s="545">
        <v>2500</v>
      </c>
      <c r="D12" s="546">
        <v>2617</v>
      </c>
    </row>
    <row r="13" spans="1:4" ht="15.75">
      <c r="A13" s="540" t="s">
        <v>245</v>
      </c>
      <c r="B13" s="541">
        <v>3400</v>
      </c>
      <c r="C13" s="545">
        <v>3400</v>
      </c>
      <c r="D13" s="546">
        <v>3594</v>
      </c>
    </row>
    <row r="14" spans="1:4" ht="31.5">
      <c r="A14" s="540" t="s">
        <v>246</v>
      </c>
      <c r="B14" s="541">
        <v>15000</v>
      </c>
      <c r="C14" s="545">
        <v>10</v>
      </c>
      <c r="D14" s="546">
        <v>480</v>
      </c>
    </row>
    <row r="15" spans="1:4" s="58" customFormat="1" ht="16.5" customHeight="1">
      <c r="A15" s="548" t="s">
        <v>247</v>
      </c>
      <c r="B15" s="549">
        <f>(B6+B7+B10+B11)</f>
        <v>39950</v>
      </c>
      <c r="C15" s="550">
        <f>(C6+C7+C10+C11)</f>
        <v>22650</v>
      </c>
      <c r="D15" s="551">
        <f>(D6+D7+D10+D11)</f>
        <v>21531</v>
      </c>
    </row>
    <row r="16" spans="1:4" ht="15.75">
      <c r="A16" s="552"/>
      <c r="B16" s="553"/>
      <c r="C16" s="554"/>
      <c r="D16" s="555"/>
    </row>
    <row r="17" spans="1:4" ht="31.5">
      <c r="A17" s="540" t="s">
        <v>248</v>
      </c>
      <c r="B17" s="541">
        <v>1000</v>
      </c>
      <c r="C17" s="545">
        <v>1105</v>
      </c>
      <c r="D17" s="546">
        <v>1105</v>
      </c>
    </row>
    <row r="18" spans="1:4" ht="15.75">
      <c r="A18" s="540" t="s">
        <v>249</v>
      </c>
      <c r="B18" s="541">
        <v>2000</v>
      </c>
      <c r="C18" s="545">
        <v>2000</v>
      </c>
      <c r="D18" s="546">
        <v>2000</v>
      </c>
    </row>
    <row r="19" spans="1:4" ht="15.75">
      <c r="A19" s="540" t="s">
        <v>250</v>
      </c>
      <c r="B19" s="541">
        <v>29000</v>
      </c>
      <c r="C19" s="545">
        <v>29000</v>
      </c>
      <c r="D19" s="546">
        <v>29000</v>
      </c>
    </row>
    <row r="20" spans="1:4" ht="15.75">
      <c r="A20" s="540" t="s">
        <v>741</v>
      </c>
      <c r="B20" s="541"/>
      <c r="C20" s="545">
        <v>4000</v>
      </c>
      <c r="D20" s="546">
        <v>4620</v>
      </c>
    </row>
    <row r="21" spans="1:4" ht="15.75">
      <c r="A21" s="540" t="s">
        <v>744</v>
      </c>
      <c r="B21" s="541"/>
      <c r="C21" s="545">
        <v>2865</v>
      </c>
      <c r="D21" s="546">
        <v>5400</v>
      </c>
    </row>
    <row r="22" spans="1:4" ht="31.5">
      <c r="A22" s="540" t="s">
        <v>938</v>
      </c>
      <c r="B22" s="541"/>
      <c r="C22" s="545">
        <v>12990</v>
      </c>
      <c r="D22" s="546">
        <v>12209</v>
      </c>
    </row>
    <row r="23" spans="1:4" s="58" customFormat="1" ht="15.75">
      <c r="A23" s="548" t="s">
        <v>251</v>
      </c>
      <c r="B23" s="549">
        <f>SUM(B17+B18+B19)</f>
        <v>32000</v>
      </c>
      <c r="C23" s="550">
        <f>SUM(C17:C22)</f>
        <v>51960</v>
      </c>
      <c r="D23" s="551">
        <f>SUM(D17:D22)</f>
        <v>54334</v>
      </c>
    </row>
    <row r="24" spans="1:4" ht="15.75">
      <c r="A24" s="540"/>
      <c r="B24" s="541"/>
      <c r="C24" s="554"/>
      <c r="D24" s="555"/>
    </row>
    <row r="25" spans="1:4" s="58" customFormat="1" ht="31.5">
      <c r="A25" s="548" t="s">
        <v>252</v>
      </c>
      <c r="B25" s="549">
        <f>SUM(B15+B23)</f>
        <v>71950</v>
      </c>
      <c r="C25" s="550">
        <f>SUM(C15+C23)</f>
        <v>74610</v>
      </c>
      <c r="D25" s="551">
        <f>SUM(D15+D23)</f>
        <v>75865</v>
      </c>
    </row>
    <row r="26" spans="1:4" ht="16.5" thickBot="1">
      <c r="A26" s="573"/>
      <c r="B26" s="556"/>
      <c r="C26" s="557"/>
      <c r="D26" s="558"/>
    </row>
    <row r="27" spans="1:2" ht="15.75">
      <c r="A27" s="574"/>
      <c r="B27" s="241"/>
    </row>
    <row r="28" spans="1:2" ht="14.25" customHeight="1">
      <c r="A28" s="575"/>
      <c r="B28" s="95"/>
    </row>
    <row r="29" spans="1:4" ht="12.75" customHeight="1">
      <c r="A29" s="1124" t="s">
        <v>742</v>
      </c>
      <c r="B29" s="1124"/>
      <c r="C29" s="1124"/>
      <c r="D29" s="1124"/>
    </row>
    <row r="30" spans="1:4" ht="29.25" customHeight="1">
      <c r="A30" s="1124"/>
      <c r="B30" s="1124"/>
      <c r="C30" s="1124"/>
      <c r="D30" s="1124"/>
    </row>
    <row r="31" spans="1:4" ht="15.75">
      <c r="A31" s="1125" t="s">
        <v>237</v>
      </c>
      <c r="B31" s="1125"/>
      <c r="C31" s="1125"/>
      <c r="D31" s="1125"/>
    </row>
    <row r="32" spans="1:2" ht="16.5" thickBot="1">
      <c r="A32" s="521"/>
      <c r="B32" s="522"/>
    </row>
    <row r="33" spans="1:4" ht="15.75">
      <c r="A33" s="559" t="s">
        <v>3</v>
      </c>
      <c r="B33" s="560" t="s">
        <v>4</v>
      </c>
      <c r="C33" s="561" t="s">
        <v>861</v>
      </c>
      <c r="D33" s="539" t="s">
        <v>1041</v>
      </c>
    </row>
    <row r="34" spans="1:4" ht="15.75">
      <c r="A34" s="576" t="s">
        <v>130</v>
      </c>
      <c r="B34" s="562"/>
      <c r="C34" s="542"/>
      <c r="D34" s="543"/>
    </row>
    <row r="35" spans="1:4" ht="15.75">
      <c r="A35" s="576" t="s">
        <v>743</v>
      </c>
      <c r="B35" s="562"/>
      <c r="C35" s="542">
        <v>10</v>
      </c>
      <c r="D35" s="543">
        <v>10</v>
      </c>
    </row>
    <row r="36" spans="1:4" ht="31.5">
      <c r="A36" s="577" t="s">
        <v>247</v>
      </c>
      <c r="B36" s="562"/>
      <c r="C36" s="563">
        <f>SUM(C35)</f>
        <v>10</v>
      </c>
      <c r="D36" s="564">
        <f>SUM(D35)</f>
        <v>10</v>
      </c>
    </row>
    <row r="37" spans="1:4" ht="15.75">
      <c r="A37" s="576" t="s">
        <v>744</v>
      </c>
      <c r="B37" s="562"/>
      <c r="C37" s="565">
        <v>6</v>
      </c>
      <c r="D37" s="566">
        <v>6</v>
      </c>
    </row>
    <row r="38" spans="1:4" ht="15.75">
      <c r="A38" s="577" t="s">
        <v>251</v>
      </c>
      <c r="B38" s="562"/>
      <c r="C38" s="567">
        <f>SUM(C37)</f>
        <v>6</v>
      </c>
      <c r="D38" s="568">
        <f>SUM(D37)</f>
        <v>6</v>
      </c>
    </row>
    <row r="39" spans="1:4" ht="32.25" thickBot="1">
      <c r="A39" s="569" t="s">
        <v>745</v>
      </c>
      <c r="B39" s="556"/>
      <c r="C39" s="570">
        <f>SUM(C36,C38)</f>
        <v>16</v>
      </c>
      <c r="D39" s="571">
        <f>SUM(D36,D38)</f>
        <v>16</v>
      </c>
    </row>
    <row r="42" spans="1:10" ht="12.75">
      <c r="A42" s="1035" t="s">
        <v>1159</v>
      </c>
      <c r="B42" s="1035"/>
      <c r="C42" s="1035"/>
      <c r="D42" s="1035"/>
      <c r="E42" s="1035"/>
      <c r="F42" s="1035"/>
      <c r="G42" s="1035"/>
      <c r="H42" s="1035"/>
      <c r="I42" s="1035"/>
      <c r="J42" s="1035"/>
    </row>
    <row r="43" spans="1:10" ht="12.75">
      <c r="A43" s="1035" t="s">
        <v>1160</v>
      </c>
      <c r="B43" s="1035"/>
      <c r="C43" s="1035"/>
      <c r="D43" s="1035"/>
      <c r="E43" s="1035"/>
      <c r="F43" s="1035"/>
      <c r="G43" s="1035"/>
      <c r="H43" s="1035"/>
      <c r="I43" s="1035"/>
      <c r="J43" s="1035"/>
    </row>
    <row r="44" spans="1:10" ht="12.75">
      <c r="A44" s="1035" t="s">
        <v>1161</v>
      </c>
      <c r="B44" s="1035"/>
      <c r="C44" s="1035"/>
      <c r="D44" s="1035"/>
      <c r="E44" s="1035"/>
      <c r="F44" s="1035"/>
      <c r="G44" s="1035"/>
      <c r="H44" s="1035"/>
      <c r="I44" s="1035"/>
      <c r="J44" s="1035"/>
    </row>
    <row r="45" spans="1:10" ht="12.75">
      <c r="A45" s="1035" t="s">
        <v>1162</v>
      </c>
      <c r="B45" s="1035"/>
      <c r="C45" s="1035"/>
      <c r="D45" s="1035"/>
      <c r="E45" s="1035"/>
      <c r="F45" s="1035"/>
      <c r="G45" s="1035"/>
      <c r="H45" s="1035"/>
      <c r="I45" s="1035"/>
      <c r="J45" s="1035"/>
    </row>
  </sheetData>
  <mergeCells count="8">
    <mergeCell ref="A43:J43"/>
    <mergeCell ref="A44:J44"/>
    <mergeCell ref="A45:J45"/>
    <mergeCell ref="A2:D2"/>
    <mergeCell ref="A3:D3"/>
    <mergeCell ref="A29:D30"/>
    <mergeCell ref="A31:D31"/>
    <mergeCell ref="A42:J42"/>
  </mergeCells>
  <printOptions horizontalCentered="1"/>
  <pageMargins left="0.7874015748031497" right="0.7874015748031497" top="0.984251968503937" bottom="0.8661417322834646" header="0.7480314960629921" footer="0.5118110236220472"/>
  <pageSetup fitToHeight="1" fitToWidth="1" horizontalDpi="600" verticalDpi="600" orientation="portrait" paperSize="9" scale="80" r:id="rId1"/>
  <headerFooter>
    <oddHeader>&amp;L9. melléklet a 1/2017.(II.24.) önkormányzati rendelethez
9. melléklet a 29/2015.(XII.18.)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183"/>
  <sheetViews>
    <sheetView view="pageBreakPreview" zoomScale="87" zoomScaleSheetLayoutView="87" workbookViewId="0" topLeftCell="B118">
      <selection activeCell="B180" sqref="B180:K183"/>
    </sheetView>
  </sheetViews>
  <sheetFormatPr defaultColWidth="9.00390625" defaultRowHeight="12.75" zeroHeight="1"/>
  <cols>
    <col min="1" max="1" width="9.00390625" style="59" hidden="1" customWidth="1"/>
    <col min="2" max="2" width="97.125" style="60" customWidth="1"/>
    <col min="3" max="3" width="12.25390625" style="55" customWidth="1"/>
    <col min="4" max="4" width="12.125" style="61" customWidth="1"/>
    <col min="5" max="5" width="11.00390625" style="61" customWidth="1"/>
    <col min="6" max="16384" width="9.125" style="61" customWidth="1"/>
  </cols>
  <sheetData>
    <row r="1" spans="2:5" ht="36" customHeight="1">
      <c r="B1" s="1126" t="s">
        <v>253</v>
      </c>
      <c r="C1" s="1126"/>
      <c r="D1" s="1126"/>
      <c r="E1" s="1126"/>
    </row>
    <row r="2" spans="2:5" ht="15" customHeight="1" thickBot="1">
      <c r="B2" s="1127" t="s">
        <v>233</v>
      </c>
      <c r="C2" s="1127"/>
      <c r="D2" s="1127"/>
      <c r="E2" s="1127"/>
    </row>
    <row r="3" spans="1:5" ht="12.75">
      <c r="A3" s="63"/>
      <c r="B3" s="64" t="s">
        <v>3</v>
      </c>
      <c r="C3" s="153" t="s">
        <v>4</v>
      </c>
      <c r="D3" s="153" t="s">
        <v>861</v>
      </c>
      <c r="E3" s="390" t="s">
        <v>1041</v>
      </c>
    </row>
    <row r="4" spans="2:5" ht="12.75">
      <c r="B4" s="66" t="s">
        <v>254</v>
      </c>
      <c r="C4" s="155"/>
      <c r="D4" s="327"/>
      <c r="E4" s="331"/>
    </row>
    <row r="5" spans="2:5" ht="12" customHeight="1">
      <c r="B5" s="65"/>
      <c r="C5" s="154"/>
      <c r="D5" s="326"/>
      <c r="E5" s="330"/>
    </row>
    <row r="6" spans="1:5" s="68" customFormat="1" ht="12.75">
      <c r="A6" s="67"/>
      <c r="B6" s="66" t="s">
        <v>255</v>
      </c>
      <c r="C6" s="155">
        <f>SUM(C7:C10)</f>
        <v>326400</v>
      </c>
      <c r="D6" s="327">
        <f>SUM(D7:D16)</f>
        <v>370460</v>
      </c>
      <c r="E6" s="331">
        <f>SUM(E7:E16)</f>
        <v>374955</v>
      </c>
    </row>
    <row r="7" spans="1:5" s="69" customFormat="1" ht="12.75">
      <c r="A7" s="63" t="s">
        <v>131</v>
      </c>
      <c r="B7" s="65" t="s">
        <v>856</v>
      </c>
      <c r="C7" s="154">
        <f>159633+113246+37592+9229</f>
        <v>319700</v>
      </c>
      <c r="D7" s="326">
        <v>362390</v>
      </c>
      <c r="E7" s="330">
        <f>362390+576+917+2887</f>
        <v>366770</v>
      </c>
    </row>
    <row r="8" spans="1:5" ht="12.75">
      <c r="A8" s="63" t="s">
        <v>256</v>
      </c>
      <c r="B8" s="65" t="s">
        <v>766</v>
      </c>
      <c r="C8" s="154">
        <v>2400</v>
      </c>
      <c r="D8" s="326">
        <v>0</v>
      </c>
      <c r="E8" s="330">
        <v>0</v>
      </c>
    </row>
    <row r="9" spans="1:5" ht="12.75">
      <c r="A9" s="63" t="s">
        <v>257</v>
      </c>
      <c r="B9" s="65" t="s">
        <v>258</v>
      </c>
      <c r="C9" s="154">
        <v>2300</v>
      </c>
      <c r="D9" s="326">
        <v>2300</v>
      </c>
      <c r="E9" s="330">
        <f>2300+115</f>
        <v>2415</v>
      </c>
    </row>
    <row r="10" spans="1:33" s="72" customFormat="1" ht="12.75">
      <c r="A10" s="70" t="s">
        <v>138</v>
      </c>
      <c r="B10" s="71" t="s">
        <v>259</v>
      </c>
      <c r="C10" s="154">
        <v>2000</v>
      </c>
      <c r="D10" s="326">
        <v>4000</v>
      </c>
      <c r="E10" s="330">
        <v>4000</v>
      </c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</row>
    <row r="11" spans="2:33" ht="12.75" customHeight="1">
      <c r="B11" s="65" t="s">
        <v>767</v>
      </c>
      <c r="C11" s="154"/>
      <c r="D11" s="326">
        <v>100</v>
      </c>
      <c r="E11" s="330">
        <v>100</v>
      </c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</row>
    <row r="12" spans="2:33" ht="12.75" customHeight="1">
      <c r="B12" s="175" t="s">
        <v>768</v>
      </c>
      <c r="C12" s="169"/>
      <c r="D12" s="326">
        <v>800</v>
      </c>
      <c r="E12" s="330">
        <v>800</v>
      </c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</row>
    <row r="13" spans="2:33" ht="12.75" customHeight="1">
      <c r="B13" s="175" t="s">
        <v>769</v>
      </c>
      <c r="C13" s="169"/>
      <c r="D13" s="326">
        <v>20</v>
      </c>
      <c r="E13" s="330">
        <v>20</v>
      </c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</row>
    <row r="14" spans="2:33" ht="12.75" customHeight="1">
      <c r="B14" s="447" t="s">
        <v>288</v>
      </c>
      <c r="C14" s="326"/>
      <c r="D14" s="326">
        <v>600</v>
      </c>
      <c r="E14" s="330">
        <v>600</v>
      </c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</row>
    <row r="15" spans="2:33" ht="12.75" customHeight="1">
      <c r="B15" s="175" t="s">
        <v>546</v>
      </c>
      <c r="C15" s="169"/>
      <c r="D15" s="326"/>
      <c r="E15" s="330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</row>
    <row r="16" spans="2:33" ht="25.5" customHeight="1">
      <c r="B16" s="175" t="s">
        <v>927</v>
      </c>
      <c r="C16" s="169"/>
      <c r="D16" s="326">
        <v>250</v>
      </c>
      <c r="E16" s="330">
        <v>250</v>
      </c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</row>
    <row r="17" spans="2:33" ht="12.75" customHeight="1">
      <c r="B17" s="175"/>
      <c r="C17" s="169"/>
      <c r="D17" s="326"/>
      <c r="E17" s="330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</row>
    <row r="18" spans="1:33" s="68" customFormat="1" ht="12.75">
      <c r="A18" s="67"/>
      <c r="B18" s="66" t="s">
        <v>260</v>
      </c>
      <c r="C18" s="155">
        <f>SUM(C19:C57)</f>
        <v>508230</v>
      </c>
      <c r="D18" s="327">
        <f>SUM(D19:D84)</f>
        <v>550081</v>
      </c>
      <c r="E18" s="331">
        <f>SUM(E19:E84)</f>
        <v>567586</v>
      </c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</row>
    <row r="19" spans="1:33" s="72" customFormat="1" ht="12.75">
      <c r="A19" s="70" t="s">
        <v>261</v>
      </c>
      <c r="B19" s="71" t="s">
        <v>262</v>
      </c>
      <c r="C19" s="154">
        <v>15000</v>
      </c>
      <c r="D19" s="326">
        <v>15000</v>
      </c>
      <c r="E19" s="330">
        <v>15000</v>
      </c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</row>
    <row r="20" spans="1:33" ht="12.75">
      <c r="A20" s="63" t="s">
        <v>261</v>
      </c>
      <c r="B20" s="65" t="s">
        <v>263</v>
      </c>
      <c r="C20" s="154">
        <v>7000</v>
      </c>
      <c r="D20" s="326">
        <v>7000</v>
      </c>
      <c r="E20" s="330">
        <v>7000</v>
      </c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</row>
    <row r="21" spans="1:33" ht="12.75">
      <c r="A21" s="63" t="s">
        <v>143</v>
      </c>
      <c r="B21" s="65" t="s">
        <v>264</v>
      </c>
      <c r="C21" s="154">
        <v>160382</v>
      </c>
      <c r="D21" s="326">
        <v>160382</v>
      </c>
      <c r="E21" s="330">
        <v>160382</v>
      </c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</row>
    <row r="22" spans="1:33" ht="12.75">
      <c r="A22" s="63" t="s">
        <v>265</v>
      </c>
      <c r="B22" s="65" t="s">
        <v>266</v>
      </c>
      <c r="C22" s="154">
        <v>90545</v>
      </c>
      <c r="D22" s="326">
        <v>105785</v>
      </c>
      <c r="E22" s="330">
        <f>105785+1800+18000</f>
        <v>125585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</row>
    <row r="23" spans="1:33" ht="12.75">
      <c r="A23" s="63" t="s">
        <v>265</v>
      </c>
      <c r="B23" s="65" t="s">
        <v>790</v>
      </c>
      <c r="C23" s="154">
        <v>25530</v>
      </c>
      <c r="D23" s="326">
        <v>25530</v>
      </c>
      <c r="E23" s="330">
        <v>25530</v>
      </c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</row>
    <row r="24" spans="1:33" ht="12.75">
      <c r="A24" s="63" t="s">
        <v>265</v>
      </c>
      <c r="B24" s="65" t="s">
        <v>791</v>
      </c>
      <c r="C24" s="154">
        <v>11420</v>
      </c>
      <c r="D24" s="326">
        <v>11420</v>
      </c>
      <c r="E24" s="330">
        <v>11420</v>
      </c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</row>
    <row r="25" spans="1:33" ht="12.75">
      <c r="A25" s="63" t="s">
        <v>261</v>
      </c>
      <c r="B25" s="65" t="s">
        <v>267</v>
      </c>
      <c r="C25" s="154">
        <v>14318</v>
      </c>
      <c r="D25" s="326">
        <v>14318</v>
      </c>
      <c r="E25" s="330">
        <v>14318</v>
      </c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</row>
    <row r="26" spans="1:33" s="73" customFormat="1" ht="12.75">
      <c r="A26" s="70" t="s">
        <v>261</v>
      </c>
      <c r="B26" s="71" t="s">
        <v>770</v>
      </c>
      <c r="C26" s="154">
        <v>64000</v>
      </c>
      <c r="D26" s="326">
        <v>65730</v>
      </c>
      <c r="E26" s="330">
        <v>65730</v>
      </c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</row>
    <row r="27" spans="1:33" s="72" customFormat="1" ht="12.75">
      <c r="A27" s="70" t="s">
        <v>261</v>
      </c>
      <c r="B27" s="71" t="s">
        <v>268</v>
      </c>
      <c r="C27" s="154">
        <v>45000</v>
      </c>
      <c r="D27" s="326">
        <v>45000</v>
      </c>
      <c r="E27" s="330">
        <v>45000</v>
      </c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</row>
    <row r="28" spans="1:33" s="72" customFormat="1" ht="12.75">
      <c r="A28" s="70" t="s">
        <v>261</v>
      </c>
      <c r="B28" s="71" t="s">
        <v>771</v>
      </c>
      <c r="C28" s="154">
        <v>3000</v>
      </c>
      <c r="D28" s="326">
        <v>2500</v>
      </c>
      <c r="E28" s="330">
        <v>2500</v>
      </c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</row>
    <row r="29" spans="1:33" ht="12.75">
      <c r="A29" s="63" t="s">
        <v>261</v>
      </c>
      <c r="B29" s="65" t="s">
        <v>772</v>
      </c>
      <c r="C29" s="154">
        <v>5000</v>
      </c>
      <c r="D29" s="326">
        <v>4100</v>
      </c>
      <c r="E29" s="330">
        <v>4100</v>
      </c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</row>
    <row r="30" spans="1:33" s="72" customFormat="1" ht="12.75">
      <c r="A30" s="70" t="s">
        <v>213</v>
      </c>
      <c r="B30" s="71" t="s">
        <v>773</v>
      </c>
      <c r="C30" s="154">
        <v>4000</v>
      </c>
      <c r="D30" s="326">
        <v>2720</v>
      </c>
      <c r="E30" s="330">
        <f>2720+130</f>
        <v>2850</v>
      </c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</row>
    <row r="31" spans="1:33" ht="12.75">
      <c r="A31" s="63" t="s">
        <v>261</v>
      </c>
      <c r="B31" s="65" t="s">
        <v>725</v>
      </c>
      <c r="C31" s="154">
        <v>1000</v>
      </c>
      <c r="D31" s="326">
        <v>1000</v>
      </c>
      <c r="E31" s="330">
        <v>1000</v>
      </c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</row>
    <row r="32" spans="1:33" ht="12.75">
      <c r="A32" s="63" t="s">
        <v>261</v>
      </c>
      <c r="B32" s="65" t="s">
        <v>269</v>
      </c>
      <c r="C32" s="154">
        <v>1000</v>
      </c>
      <c r="D32" s="326">
        <v>1000</v>
      </c>
      <c r="E32" s="330">
        <v>1000</v>
      </c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</row>
    <row r="33" spans="1:5" ht="12.75">
      <c r="A33" s="63" t="s">
        <v>270</v>
      </c>
      <c r="B33" s="65" t="s">
        <v>1028</v>
      </c>
      <c r="C33" s="154">
        <v>5775</v>
      </c>
      <c r="D33" s="326">
        <v>3120</v>
      </c>
      <c r="E33" s="330">
        <v>3120</v>
      </c>
    </row>
    <row r="34" spans="1:5" ht="12.75">
      <c r="A34" s="63"/>
      <c r="B34" s="175" t="s">
        <v>774</v>
      </c>
      <c r="C34" s="169"/>
      <c r="D34" s="326">
        <v>1993</v>
      </c>
      <c r="E34" s="330">
        <f>1993+450</f>
        <v>2443</v>
      </c>
    </row>
    <row r="35" spans="1:5" ht="12.75">
      <c r="A35" s="63" t="s">
        <v>261</v>
      </c>
      <c r="B35" s="65" t="s">
        <v>775</v>
      </c>
      <c r="C35" s="154">
        <v>5500</v>
      </c>
      <c r="D35" s="326">
        <v>5900</v>
      </c>
      <c r="E35" s="330">
        <v>5900</v>
      </c>
    </row>
    <row r="36" spans="1:5" ht="12.75">
      <c r="A36" s="63" t="s">
        <v>261</v>
      </c>
      <c r="B36" s="65" t="s">
        <v>928</v>
      </c>
      <c r="C36" s="154">
        <v>3000</v>
      </c>
      <c r="D36" s="326">
        <v>3000</v>
      </c>
      <c r="E36" s="330">
        <v>3000</v>
      </c>
    </row>
    <row r="37" spans="1:5" ht="12.75">
      <c r="A37" s="63" t="s">
        <v>261</v>
      </c>
      <c r="B37" s="65" t="s">
        <v>271</v>
      </c>
      <c r="C37" s="154">
        <v>1000</v>
      </c>
      <c r="D37" s="326">
        <v>1000</v>
      </c>
      <c r="E37" s="330">
        <v>1000</v>
      </c>
    </row>
    <row r="38" spans="1:5" ht="12.75">
      <c r="A38" s="63" t="s">
        <v>261</v>
      </c>
      <c r="B38" s="65" t="s">
        <v>272</v>
      </c>
      <c r="C38" s="154">
        <v>500</v>
      </c>
      <c r="D38" s="326">
        <v>500</v>
      </c>
      <c r="E38" s="330">
        <v>500</v>
      </c>
    </row>
    <row r="39" spans="1:5" ht="12.75">
      <c r="A39" s="63" t="s">
        <v>261</v>
      </c>
      <c r="B39" s="65" t="s">
        <v>776</v>
      </c>
      <c r="C39" s="154">
        <v>1000</v>
      </c>
      <c r="D39" s="326">
        <v>5000</v>
      </c>
      <c r="E39" s="330">
        <v>5000</v>
      </c>
    </row>
    <row r="40" spans="1:5" ht="12.75">
      <c r="A40" s="63" t="s">
        <v>261</v>
      </c>
      <c r="B40" s="65" t="s">
        <v>273</v>
      </c>
      <c r="C40" s="154">
        <v>1000</v>
      </c>
      <c r="D40" s="326">
        <v>1000</v>
      </c>
      <c r="E40" s="330">
        <v>1000</v>
      </c>
    </row>
    <row r="41" spans="1:5" ht="12.75">
      <c r="A41" s="63" t="s">
        <v>261</v>
      </c>
      <c r="B41" s="65" t="s">
        <v>274</v>
      </c>
      <c r="C41" s="154">
        <v>300</v>
      </c>
      <c r="D41" s="326">
        <v>300</v>
      </c>
      <c r="E41" s="330">
        <v>300</v>
      </c>
    </row>
    <row r="42" spans="1:5" ht="12.75">
      <c r="A42" s="63" t="s">
        <v>261</v>
      </c>
      <c r="B42" s="65" t="s">
        <v>275</v>
      </c>
      <c r="C42" s="154">
        <v>300</v>
      </c>
      <c r="D42" s="326">
        <v>300</v>
      </c>
      <c r="E42" s="330">
        <v>300</v>
      </c>
    </row>
    <row r="43" spans="1:5" ht="12.75">
      <c r="A43" s="63" t="s">
        <v>261</v>
      </c>
      <c r="B43" s="65" t="s">
        <v>276</v>
      </c>
      <c r="C43" s="154">
        <v>500</v>
      </c>
      <c r="D43" s="326">
        <v>500</v>
      </c>
      <c r="E43" s="330">
        <v>500</v>
      </c>
    </row>
    <row r="44" spans="1:5" ht="12.75">
      <c r="A44" s="63" t="s">
        <v>261</v>
      </c>
      <c r="B44" s="65" t="s">
        <v>277</v>
      </c>
      <c r="C44" s="154">
        <v>500</v>
      </c>
      <c r="D44" s="326">
        <v>500</v>
      </c>
      <c r="E44" s="330">
        <v>500</v>
      </c>
    </row>
    <row r="45" spans="1:5" ht="12.75">
      <c r="A45" s="63" t="s">
        <v>261</v>
      </c>
      <c r="B45" s="65" t="s">
        <v>278</v>
      </c>
      <c r="C45" s="154">
        <v>2500</v>
      </c>
      <c r="D45" s="326">
        <v>2500</v>
      </c>
      <c r="E45" s="330">
        <v>2500</v>
      </c>
    </row>
    <row r="46" spans="1:5" ht="12.75">
      <c r="A46" s="63" t="s">
        <v>261</v>
      </c>
      <c r="B46" s="65" t="s">
        <v>279</v>
      </c>
      <c r="C46" s="154">
        <v>660</v>
      </c>
      <c r="D46" s="326">
        <v>660</v>
      </c>
      <c r="E46" s="330">
        <v>660</v>
      </c>
    </row>
    <row r="47" spans="1:5" ht="12.75">
      <c r="A47" s="63" t="s">
        <v>261</v>
      </c>
      <c r="B47" s="65" t="s">
        <v>280</v>
      </c>
      <c r="C47" s="154">
        <v>300</v>
      </c>
      <c r="D47" s="326">
        <v>300</v>
      </c>
      <c r="E47" s="330">
        <v>300</v>
      </c>
    </row>
    <row r="48" spans="1:5" ht="12.75" customHeight="1">
      <c r="A48" s="63" t="s">
        <v>270</v>
      </c>
      <c r="B48" s="65" t="s">
        <v>281</v>
      </c>
      <c r="C48" s="154">
        <v>4500</v>
      </c>
      <c r="D48" s="326">
        <v>4500</v>
      </c>
      <c r="E48" s="330">
        <v>4500</v>
      </c>
    </row>
    <row r="49" spans="1:5" ht="25.5">
      <c r="A49" s="63" t="s">
        <v>270</v>
      </c>
      <c r="B49" s="65" t="s">
        <v>749</v>
      </c>
      <c r="C49" s="154">
        <v>10000</v>
      </c>
      <c r="D49" s="326">
        <v>14879</v>
      </c>
      <c r="E49" s="330">
        <v>14879</v>
      </c>
    </row>
    <row r="50" spans="1:5" ht="12.75">
      <c r="A50" s="63" t="s">
        <v>270</v>
      </c>
      <c r="B50" s="65" t="s">
        <v>282</v>
      </c>
      <c r="C50" s="154">
        <v>1000</v>
      </c>
      <c r="D50" s="326">
        <v>1000</v>
      </c>
      <c r="E50" s="330">
        <v>1000</v>
      </c>
    </row>
    <row r="51" spans="1:32" s="73" customFormat="1" ht="12.75">
      <c r="A51" s="70" t="s">
        <v>261</v>
      </c>
      <c r="B51" s="71" t="s">
        <v>283</v>
      </c>
      <c r="C51" s="154">
        <v>3000</v>
      </c>
      <c r="D51" s="326">
        <v>3300</v>
      </c>
      <c r="E51" s="330">
        <v>3300</v>
      </c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</row>
    <row r="52" spans="1:32" s="73" customFormat="1" ht="12.75">
      <c r="A52" s="70" t="s">
        <v>261</v>
      </c>
      <c r="B52" s="71" t="s">
        <v>284</v>
      </c>
      <c r="C52" s="154">
        <v>2500</v>
      </c>
      <c r="D52" s="326">
        <v>2500</v>
      </c>
      <c r="E52" s="330">
        <v>2500</v>
      </c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</row>
    <row r="53" spans="1:32" s="73" customFormat="1" ht="12.75">
      <c r="A53" s="70" t="s">
        <v>261</v>
      </c>
      <c r="B53" s="71" t="s">
        <v>285</v>
      </c>
      <c r="C53" s="154">
        <v>500</v>
      </c>
      <c r="D53" s="326">
        <v>500</v>
      </c>
      <c r="E53" s="330">
        <v>500</v>
      </c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</row>
    <row r="54" spans="1:5" ht="25.5">
      <c r="A54" s="63" t="s">
        <v>261</v>
      </c>
      <c r="B54" s="65" t="s">
        <v>286</v>
      </c>
      <c r="C54" s="154">
        <v>15000</v>
      </c>
      <c r="D54" s="326">
        <v>20056</v>
      </c>
      <c r="E54" s="330">
        <f>20056-2900</f>
        <v>17156</v>
      </c>
    </row>
    <row r="55" spans="1:5" ht="12.75">
      <c r="A55" s="63" t="s">
        <v>261</v>
      </c>
      <c r="B55" s="65" t="s">
        <v>287</v>
      </c>
      <c r="C55" s="154">
        <v>600</v>
      </c>
      <c r="D55" s="326">
        <v>600</v>
      </c>
      <c r="E55" s="330">
        <v>600</v>
      </c>
    </row>
    <row r="56" spans="1:5" ht="12.75">
      <c r="A56" s="63" t="s">
        <v>257</v>
      </c>
      <c r="B56" s="65" t="s">
        <v>288</v>
      </c>
      <c r="C56" s="154">
        <v>600</v>
      </c>
      <c r="D56" s="326">
        <v>0</v>
      </c>
      <c r="E56" s="330">
        <v>0</v>
      </c>
    </row>
    <row r="57" spans="1:5" s="72" customFormat="1" ht="12.75">
      <c r="A57" s="70" t="s">
        <v>257</v>
      </c>
      <c r="B57" s="71" t="s">
        <v>289</v>
      </c>
      <c r="C57" s="154">
        <v>500</v>
      </c>
      <c r="D57" s="326">
        <v>500</v>
      </c>
      <c r="E57" s="330">
        <f>500-115-200-130</f>
        <v>55</v>
      </c>
    </row>
    <row r="58" spans="1:5" s="72" customFormat="1" ht="12.75">
      <c r="A58" s="70"/>
      <c r="B58" s="174" t="s">
        <v>777</v>
      </c>
      <c r="C58" s="169"/>
      <c r="D58" s="326">
        <v>0</v>
      </c>
      <c r="E58" s="330">
        <v>0</v>
      </c>
    </row>
    <row r="59" spans="1:5" s="72" customFormat="1" ht="12.75">
      <c r="A59" s="70"/>
      <c r="B59" s="174" t="s">
        <v>778</v>
      </c>
      <c r="C59" s="169"/>
      <c r="D59" s="326">
        <v>100</v>
      </c>
      <c r="E59" s="330">
        <v>100</v>
      </c>
    </row>
    <row r="60" spans="1:5" s="72" customFormat="1" ht="12.75">
      <c r="A60" s="70"/>
      <c r="B60" s="174" t="s">
        <v>779</v>
      </c>
      <c r="C60" s="169"/>
      <c r="D60" s="326">
        <v>100</v>
      </c>
      <c r="E60" s="330">
        <v>100</v>
      </c>
    </row>
    <row r="61" spans="1:5" s="72" customFormat="1" ht="12.75">
      <c r="A61" s="70"/>
      <c r="B61" s="446" t="s">
        <v>939</v>
      </c>
      <c r="C61" s="326"/>
      <c r="D61" s="326">
        <v>8500</v>
      </c>
      <c r="E61" s="330">
        <v>8500</v>
      </c>
    </row>
    <row r="62" spans="1:5" s="72" customFormat="1" ht="12.75">
      <c r="A62" s="70"/>
      <c r="B62" s="446" t="s">
        <v>940</v>
      </c>
      <c r="C62" s="326"/>
      <c r="D62" s="326">
        <v>300</v>
      </c>
      <c r="E62" s="330">
        <v>300</v>
      </c>
    </row>
    <row r="63" spans="1:5" s="72" customFormat="1" ht="12.75">
      <c r="A63" s="70"/>
      <c r="B63" s="446" t="s">
        <v>941</v>
      </c>
      <c r="C63" s="326"/>
      <c r="D63" s="326">
        <v>750</v>
      </c>
      <c r="E63" s="330">
        <v>750</v>
      </c>
    </row>
    <row r="64" spans="1:5" s="72" customFormat="1" ht="12.75">
      <c r="A64" s="70"/>
      <c r="B64" s="446" t="s">
        <v>1029</v>
      </c>
      <c r="C64" s="326"/>
      <c r="D64" s="326">
        <v>500</v>
      </c>
      <c r="E64" s="330">
        <v>500</v>
      </c>
    </row>
    <row r="65" spans="1:5" s="72" customFormat="1" ht="12.75">
      <c r="A65" s="70"/>
      <c r="B65" s="446" t="s">
        <v>1046</v>
      </c>
      <c r="C65" s="326"/>
      <c r="D65" s="326"/>
      <c r="E65" s="330">
        <v>170</v>
      </c>
    </row>
    <row r="66" spans="1:5" s="72" customFormat="1" ht="12.75">
      <c r="A66" s="70"/>
      <c r="B66" s="446" t="s">
        <v>1047</v>
      </c>
      <c r="C66" s="326"/>
      <c r="D66" s="326"/>
      <c r="E66" s="330">
        <v>100</v>
      </c>
    </row>
    <row r="67" spans="1:5" s="72" customFormat="1" ht="12.75">
      <c r="A67" s="70"/>
      <c r="B67" s="446" t="s">
        <v>1051</v>
      </c>
      <c r="C67" s="326"/>
      <c r="D67" s="326"/>
      <c r="E67" s="330">
        <v>200</v>
      </c>
    </row>
    <row r="68" spans="1:5" s="72" customFormat="1" ht="12.75">
      <c r="A68" s="70"/>
      <c r="B68" s="174" t="s">
        <v>546</v>
      </c>
      <c r="C68" s="169"/>
      <c r="D68" s="326"/>
      <c r="E68" s="330"/>
    </row>
    <row r="69" spans="1:5" s="72" customFormat="1" ht="28.5" customHeight="1">
      <c r="A69" s="70"/>
      <c r="B69" s="174" t="s">
        <v>574</v>
      </c>
      <c r="C69" s="169"/>
      <c r="D69" s="326">
        <v>120</v>
      </c>
      <c r="E69" s="330">
        <v>120</v>
      </c>
    </row>
    <row r="70" spans="1:5" s="72" customFormat="1" ht="27" customHeight="1">
      <c r="A70" s="70"/>
      <c r="B70" s="174" t="s">
        <v>575</v>
      </c>
      <c r="C70" s="169"/>
      <c r="D70" s="326">
        <v>45</v>
      </c>
      <c r="E70" s="330">
        <v>45</v>
      </c>
    </row>
    <row r="71" spans="1:5" s="72" customFormat="1" ht="12.75">
      <c r="A71" s="70"/>
      <c r="B71" s="174" t="s">
        <v>576</v>
      </c>
      <c r="C71" s="169"/>
      <c r="D71" s="326">
        <v>0</v>
      </c>
      <c r="E71" s="330">
        <v>0</v>
      </c>
    </row>
    <row r="72" spans="1:5" s="72" customFormat="1" ht="12.75">
      <c r="A72" s="70"/>
      <c r="B72" s="174" t="s">
        <v>780</v>
      </c>
      <c r="C72" s="169"/>
      <c r="D72" s="326">
        <v>165</v>
      </c>
      <c r="E72" s="330">
        <v>165</v>
      </c>
    </row>
    <row r="73" spans="1:5" s="72" customFormat="1" ht="12.75">
      <c r="A73" s="70"/>
      <c r="B73" s="174" t="s">
        <v>781</v>
      </c>
      <c r="C73" s="169"/>
      <c r="D73" s="326">
        <v>150</v>
      </c>
      <c r="E73" s="330">
        <v>150</v>
      </c>
    </row>
    <row r="74" spans="1:5" s="72" customFormat="1" ht="12.75">
      <c r="A74" s="70"/>
      <c r="B74" s="174" t="s">
        <v>782</v>
      </c>
      <c r="C74" s="169"/>
      <c r="D74" s="326">
        <v>100</v>
      </c>
      <c r="E74" s="330">
        <v>100</v>
      </c>
    </row>
    <row r="75" spans="1:5" s="72" customFormat="1" ht="12.75">
      <c r="A75" s="70"/>
      <c r="B75" s="174" t="s">
        <v>783</v>
      </c>
      <c r="C75" s="169"/>
      <c r="D75" s="326">
        <v>250</v>
      </c>
      <c r="E75" s="330">
        <v>250</v>
      </c>
    </row>
    <row r="76" spans="1:5" s="72" customFormat="1" ht="12.75">
      <c r="A76" s="70"/>
      <c r="B76" s="174" t="s">
        <v>784</v>
      </c>
      <c r="C76" s="169"/>
      <c r="D76" s="326">
        <v>100</v>
      </c>
      <c r="E76" s="330">
        <v>100</v>
      </c>
    </row>
    <row r="77" spans="1:5" s="72" customFormat="1" ht="12.75">
      <c r="A77" s="70"/>
      <c r="B77" s="174" t="s">
        <v>785</v>
      </c>
      <c r="C77" s="169"/>
      <c r="D77" s="326">
        <v>98</v>
      </c>
      <c r="E77" s="330">
        <v>98</v>
      </c>
    </row>
    <row r="78" spans="1:5" s="72" customFormat="1" ht="12.75">
      <c r="A78" s="70"/>
      <c r="B78" s="174" t="s">
        <v>786</v>
      </c>
      <c r="C78" s="169"/>
      <c r="D78" s="326">
        <v>1000</v>
      </c>
      <c r="E78" s="330">
        <v>1000</v>
      </c>
    </row>
    <row r="79" spans="1:5" s="72" customFormat="1" ht="12.75">
      <c r="A79" s="70"/>
      <c r="B79" s="174" t="s">
        <v>942</v>
      </c>
      <c r="C79" s="326"/>
      <c r="D79" s="326">
        <v>250</v>
      </c>
      <c r="E79" s="330">
        <v>250</v>
      </c>
    </row>
    <row r="80" spans="1:5" s="72" customFormat="1" ht="12.75">
      <c r="A80" s="70"/>
      <c r="B80" s="174" t="s">
        <v>943</v>
      </c>
      <c r="C80" s="326"/>
      <c r="D80" s="326">
        <v>300</v>
      </c>
      <c r="E80" s="330">
        <v>300</v>
      </c>
    </row>
    <row r="81" spans="1:5" s="72" customFormat="1" ht="12.75">
      <c r="A81" s="70"/>
      <c r="B81" s="174" t="s">
        <v>944</v>
      </c>
      <c r="C81" s="326"/>
      <c r="D81" s="326">
        <v>900</v>
      </c>
      <c r="E81" s="330">
        <v>900</v>
      </c>
    </row>
    <row r="82" spans="1:5" s="72" customFormat="1" ht="12.75">
      <c r="A82" s="70"/>
      <c r="B82" s="174" t="s">
        <v>945</v>
      </c>
      <c r="C82" s="326"/>
      <c r="D82" s="326">
        <v>300</v>
      </c>
      <c r="E82" s="330">
        <v>300</v>
      </c>
    </row>
    <row r="83" spans="1:5" s="72" customFormat="1" ht="12.75">
      <c r="A83" s="70"/>
      <c r="B83" s="174" t="s">
        <v>946</v>
      </c>
      <c r="C83" s="326"/>
      <c r="D83" s="326">
        <v>60</v>
      </c>
      <c r="E83" s="330">
        <v>60</v>
      </c>
    </row>
    <row r="84" spans="1:5" ht="15" customHeight="1">
      <c r="A84" s="63"/>
      <c r="B84" s="174" t="s">
        <v>947</v>
      </c>
      <c r="C84" s="154"/>
      <c r="D84" s="326">
        <v>100</v>
      </c>
      <c r="E84" s="330">
        <v>100</v>
      </c>
    </row>
    <row r="85" spans="1:5" ht="10.5" customHeight="1">
      <c r="A85" s="63"/>
      <c r="B85" s="447"/>
      <c r="C85" s="326"/>
      <c r="D85" s="326"/>
      <c r="E85" s="330"/>
    </row>
    <row r="86" spans="1:5" s="76" customFormat="1" ht="13.5">
      <c r="A86" s="74"/>
      <c r="B86" s="75" t="s">
        <v>290</v>
      </c>
      <c r="C86" s="156">
        <f>SUM(C6,C18)</f>
        <v>834630</v>
      </c>
      <c r="D86" s="328">
        <f>SUM(D6,D18)</f>
        <v>920541</v>
      </c>
      <c r="E86" s="391">
        <f>SUM(E6,E18)</f>
        <v>942541</v>
      </c>
    </row>
    <row r="87" spans="2:5" ht="11.25" customHeight="1">
      <c r="B87" s="65"/>
      <c r="C87" s="154"/>
      <c r="D87" s="326"/>
      <c r="E87" s="330"/>
    </row>
    <row r="88" spans="2:5" ht="12.75">
      <c r="B88" s="66" t="s">
        <v>291</v>
      </c>
      <c r="C88" s="155">
        <f>SUM(C89:C89)</f>
        <v>0</v>
      </c>
      <c r="D88" s="327">
        <f>SUM(D89:D89)</f>
        <v>0</v>
      </c>
      <c r="E88" s="331">
        <f>SUM(E89:E89)</f>
        <v>0</v>
      </c>
    </row>
    <row r="89" spans="1:5" s="69" customFormat="1" ht="12.75">
      <c r="A89" s="63"/>
      <c r="B89" s="65"/>
      <c r="C89" s="154"/>
      <c r="D89" s="326"/>
      <c r="E89" s="330"/>
    </row>
    <row r="90" spans="1:5" s="68" customFormat="1" ht="12.75">
      <c r="A90" s="67"/>
      <c r="B90" s="66" t="s">
        <v>292</v>
      </c>
      <c r="C90" s="155">
        <f>SUM(C91:C91)</f>
        <v>2000</v>
      </c>
      <c r="D90" s="327">
        <f>SUM(D91:D92)</f>
        <v>5015</v>
      </c>
      <c r="E90" s="331">
        <f>SUM(E91:E92)</f>
        <v>5015</v>
      </c>
    </row>
    <row r="91" spans="1:5" ht="12.75">
      <c r="A91" s="63" t="s">
        <v>261</v>
      </c>
      <c r="B91" s="65" t="s">
        <v>293</v>
      </c>
      <c r="C91" s="154">
        <v>2000</v>
      </c>
      <c r="D91" s="326">
        <v>2000</v>
      </c>
      <c r="E91" s="330">
        <v>2000</v>
      </c>
    </row>
    <row r="92" spans="2:5" ht="13.5" customHeight="1">
      <c r="B92" s="65" t="s">
        <v>948</v>
      </c>
      <c r="C92" s="154"/>
      <c r="D92" s="326">
        <v>3015</v>
      </c>
      <c r="E92" s="330">
        <v>3015</v>
      </c>
    </row>
    <row r="93" spans="2:5" ht="10.5" customHeight="1">
      <c r="B93" s="447"/>
      <c r="C93" s="326"/>
      <c r="D93" s="326"/>
      <c r="E93" s="330"/>
    </row>
    <row r="94" spans="1:5" s="76" customFormat="1" ht="13.5">
      <c r="A94" s="74"/>
      <c r="B94" s="75" t="s">
        <v>294</v>
      </c>
      <c r="C94" s="156">
        <f>SUM(C90,C88)</f>
        <v>2000</v>
      </c>
      <c r="D94" s="328">
        <f>SUM(D90,D88)</f>
        <v>5015</v>
      </c>
      <c r="E94" s="391">
        <f>SUM(E90,E88)</f>
        <v>5015</v>
      </c>
    </row>
    <row r="95" spans="2:5" ht="15" customHeight="1">
      <c r="B95" s="65"/>
      <c r="C95" s="154"/>
      <c r="D95" s="326"/>
      <c r="E95" s="330"/>
    </row>
    <row r="96" spans="1:5" s="79" customFormat="1" ht="12.75">
      <c r="A96" s="77"/>
      <c r="B96" s="78" t="s">
        <v>295</v>
      </c>
      <c r="C96" s="158">
        <f>SUM(C86,C94)</f>
        <v>836630</v>
      </c>
      <c r="D96" s="329">
        <f>SUM(D86,D94)</f>
        <v>925556</v>
      </c>
      <c r="E96" s="392">
        <f>SUM(E86,E94)</f>
        <v>947556</v>
      </c>
    </row>
    <row r="97" spans="2:5" ht="9.75" customHeight="1">
      <c r="B97" s="65"/>
      <c r="C97" s="154"/>
      <c r="D97" s="326"/>
      <c r="E97" s="330"/>
    </row>
    <row r="98" spans="1:5" s="68" customFormat="1" ht="12.75">
      <c r="A98" s="67"/>
      <c r="B98" s="66" t="s">
        <v>296</v>
      </c>
      <c r="C98" s="155">
        <f>SUM(C99:C99)</f>
        <v>0</v>
      </c>
      <c r="D98" s="327">
        <f>SUM(D99:D99)</f>
        <v>0</v>
      </c>
      <c r="E98" s="331">
        <f>SUM(E99:E99)</f>
        <v>0</v>
      </c>
    </row>
    <row r="99" spans="1:5" ht="12.75">
      <c r="A99" s="63"/>
      <c r="B99" s="65"/>
      <c r="C99" s="154"/>
      <c r="D99" s="326"/>
      <c r="E99" s="330"/>
    </row>
    <row r="100" spans="1:5" s="68" customFormat="1" ht="12" customHeight="1">
      <c r="A100" s="67"/>
      <c r="B100" s="66" t="s">
        <v>297</v>
      </c>
      <c r="C100" s="155">
        <f>SUM(C101:C110)</f>
        <v>187974</v>
      </c>
      <c r="D100" s="327">
        <f>SUM(D101:D119)</f>
        <v>391634</v>
      </c>
      <c r="E100" s="331">
        <f>SUM(E101:E119)</f>
        <v>367820</v>
      </c>
    </row>
    <row r="101" spans="1:5" ht="12.75">
      <c r="A101" s="63" t="s">
        <v>261</v>
      </c>
      <c r="B101" s="65" t="s">
        <v>929</v>
      </c>
      <c r="C101" s="154">
        <v>2500</v>
      </c>
      <c r="D101" s="326">
        <v>2500</v>
      </c>
      <c r="E101" s="330">
        <v>2500</v>
      </c>
    </row>
    <row r="102" spans="1:5" ht="12.75">
      <c r="A102" s="63" t="s">
        <v>261</v>
      </c>
      <c r="B102" s="65" t="s">
        <v>298</v>
      </c>
      <c r="C102" s="154">
        <v>2314</v>
      </c>
      <c r="D102" s="326">
        <v>2314</v>
      </c>
      <c r="E102" s="330">
        <v>0</v>
      </c>
    </row>
    <row r="103" spans="1:5" ht="12.75">
      <c r="A103" s="63" t="s">
        <v>261</v>
      </c>
      <c r="B103" s="65" t="s">
        <v>299</v>
      </c>
      <c r="C103" s="154">
        <v>3500</v>
      </c>
      <c r="D103" s="326">
        <v>3500</v>
      </c>
      <c r="E103" s="330">
        <v>0</v>
      </c>
    </row>
    <row r="104" spans="1:5" ht="12.75">
      <c r="A104" s="63" t="s">
        <v>261</v>
      </c>
      <c r="B104" s="65" t="s">
        <v>789</v>
      </c>
      <c r="C104" s="154">
        <v>147300</v>
      </c>
      <c r="D104" s="326">
        <v>146700</v>
      </c>
      <c r="E104" s="330">
        <v>146700</v>
      </c>
    </row>
    <row r="105" spans="1:5" ht="12.75">
      <c r="A105" s="63" t="s">
        <v>261</v>
      </c>
      <c r="B105" s="65" t="s">
        <v>300</v>
      </c>
      <c r="C105" s="154">
        <v>25760</v>
      </c>
      <c r="D105" s="326">
        <v>25760</v>
      </c>
      <c r="E105" s="330">
        <v>25760</v>
      </c>
    </row>
    <row r="106" spans="1:5" s="72" customFormat="1" ht="12.75">
      <c r="A106" s="70" t="s">
        <v>143</v>
      </c>
      <c r="B106" s="71" t="s">
        <v>301</v>
      </c>
      <c r="C106" s="154">
        <v>6000</v>
      </c>
      <c r="D106" s="326">
        <v>6000</v>
      </c>
      <c r="E106" s="330">
        <v>6000</v>
      </c>
    </row>
    <row r="107" spans="1:5" ht="12.75">
      <c r="A107" s="63" t="s">
        <v>261</v>
      </c>
      <c r="B107" s="65" t="s">
        <v>302</v>
      </c>
      <c r="C107" s="154">
        <v>300</v>
      </c>
      <c r="D107" s="326">
        <v>300</v>
      </c>
      <c r="E107" s="330">
        <v>300</v>
      </c>
    </row>
    <row r="108" spans="1:5" ht="12.75">
      <c r="A108" s="63" t="s">
        <v>261</v>
      </c>
      <c r="B108" s="65" t="s">
        <v>303</v>
      </c>
      <c r="C108" s="154">
        <v>100</v>
      </c>
      <c r="D108" s="326">
        <v>0</v>
      </c>
      <c r="E108" s="330">
        <v>0</v>
      </c>
    </row>
    <row r="109" spans="1:5" ht="12.75">
      <c r="A109" s="63" t="s">
        <v>261</v>
      </c>
      <c r="B109" s="65" t="s">
        <v>304</v>
      </c>
      <c r="C109" s="154">
        <v>100</v>
      </c>
      <c r="D109" s="326">
        <v>100</v>
      </c>
      <c r="E109" s="330">
        <v>100</v>
      </c>
    </row>
    <row r="110" spans="1:5" ht="12.75">
      <c r="A110" s="63" t="s">
        <v>261</v>
      </c>
      <c r="B110" s="65" t="s">
        <v>305</v>
      </c>
      <c r="C110" s="154">
        <v>100</v>
      </c>
      <c r="D110" s="326">
        <v>100</v>
      </c>
      <c r="E110" s="330">
        <v>100</v>
      </c>
    </row>
    <row r="111" spans="1:5" ht="12.75">
      <c r="A111" s="63"/>
      <c r="B111" s="175" t="s">
        <v>577</v>
      </c>
      <c r="C111" s="169"/>
      <c r="D111" s="326">
        <v>6667</v>
      </c>
      <c r="E111" s="330">
        <v>6667</v>
      </c>
    </row>
    <row r="112" spans="1:5" ht="12.75">
      <c r="A112" s="63"/>
      <c r="B112" s="175" t="s">
        <v>578</v>
      </c>
      <c r="C112" s="169"/>
      <c r="D112" s="326">
        <v>6000</v>
      </c>
      <c r="E112" s="330">
        <v>6000</v>
      </c>
    </row>
    <row r="113" spans="2:5" ht="12.75">
      <c r="B113" s="65" t="s">
        <v>579</v>
      </c>
      <c r="C113" s="154"/>
      <c r="D113" s="326">
        <v>23000</v>
      </c>
      <c r="E113" s="330">
        <v>23000</v>
      </c>
    </row>
    <row r="114" spans="2:5" ht="25.5">
      <c r="B114" s="175" t="s">
        <v>748</v>
      </c>
      <c r="C114" s="169"/>
      <c r="D114" s="326">
        <v>250</v>
      </c>
      <c r="E114" s="330">
        <v>250</v>
      </c>
    </row>
    <row r="115" spans="2:5" ht="12.75">
      <c r="B115" s="175" t="s">
        <v>787</v>
      </c>
      <c r="C115" s="169"/>
      <c r="D115" s="326">
        <v>100</v>
      </c>
      <c r="E115" s="330">
        <v>100</v>
      </c>
    </row>
    <row r="116" spans="2:5" ht="12.75">
      <c r="B116" s="175" t="s">
        <v>788</v>
      </c>
      <c r="C116" s="169"/>
      <c r="D116" s="326">
        <v>3293</v>
      </c>
      <c r="E116" s="330">
        <v>3293</v>
      </c>
    </row>
    <row r="117" spans="2:5" ht="12.75">
      <c r="B117" s="447" t="s">
        <v>949</v>
      </c>
      <c r="C117" s="326"/>
      <c r="D117" s="326">
        <v>146050</v>
      </c>
      <c r="E117" s="330">
        <v>146050</v>
      </c>
    </row>
    <row r="118" spans="2:5" ht="12.75">
      <c r="B118" s="447" t="s">
        <v>950</v>
      </c>
      <c r="C118" s="326"/>
      <c r="D118" s="326">
        <v>1000</v>
      </c>
      <c r="E118" s="330">
        <v>1000</v>
      </c>
    </row>
    <row r="119" spans="2:5" ht="12.75">
      <c r="B119" s="447" t="s">
        <v>960</v>
      </c>
      <c r="C119" s="326"/>
      <c r="D119" s="326">
        <v>18000</v>
      </c>
      <c r="E119" s="330">
        <v>0</v>
      </c>
    </row>
    <row r="120" spans="1:5" s="76" customFormat="1" ht="13.5">
      <c r="A120" s="74"/>
      <c r="B120" s="75" t="s">
        <v>306</v>
      </c>
      <c r="C120" s="156">
        <f>SUM(C98,C100)</f>
        <v>187974</v>
      </c>
      <c r="D120" s="328">
        <f>SUM(D98,D100)</f>
        <v>391634</v>
      </c>
      <c r="E120" s="391">
        <f>SUM(E98,E100)</f>
        <v>367820</v>
      </c>
    </row>
    <row r="121" spans="1:5" s="68" customFormat="1" ht="12.75">
      <c r="A121" s="67"/>
      <c r="B121" s="66"/>
      <c r="C121" s="155"/>
      <c r="D121" s="327"/>
      <c r="E121" s="331"/>
    </row>
    <row r="122" spans="1:5" s="68" customFormat="1" ht="12.75">
      <c r="A122" s="67"/>
      <c r="B122" s="66" t="s">
        <v>307</v>
      </c>
      <c r="C122" s="155"/>
      <c r="D122" s="327"/>
      <c r="E122" s="331"/>
    </row>
    <row r="123" spans="1:5" s="69" customFormat="1" ht="12.75">
      <c r="A123" s="63"/>
      <c r="B123" s="65"/>
      <c r="C123" s="154"/>
      <c r="D123" s="326"/>
      <c r="E123" s="330"/>
    </row>
    <row r="124" spans="1:5" s="79" customFormat="1" ht="12.75">
      <c r="A124" s="77"/>
      <c r="B124" s="78" t="s">
        <v>308</v>
      </c>
      <c r="C124" s="159">
        <f>SUM(C120+C122)</f>
        <v>187974</v>
      </c>
      <c r="D124" s="200">
        <f>SUM(D120+D122)</f>
        <v>391634</v>
      </c>
      <c r="E124" s="393">
        <f>SUM(E120+E122)</f>
        <v>367820</v>
      </c>
    </row>
    <row r="125" spans="1:5" s="68" customFormat="1" ht="33.75" customHeight="1" thickBot="1">
      <c r="A125" s="67"/>
      <c r="B125" s="80" t="s">
        <v>309</v>
      </c>
      <c r="C125" s="157">
        <f>SUM(C96,C120)</f>
        <v>1024604</v>
      </c>
      <c r="D125" s="170">
        <f>SUM(D96,D120)</f>
        <v>1317190</v>
      </c>
      <c r="E125" s="394">
        <f>SUM(E96,E120)</f>
        <v>1315376</v>
      </c>
    </row>
    <row r="126" spans="1:5" s="83" customFormat="1" ht="15.75" customHeight="1" thickBot="1">
      <c r="A126" s="81"/>
      <c r="B126" s="82"/>
      <c r="C126" s="84"/>
      <c r="D126" s="492"/>
      <c r="E126" s="492"/>
    </row>
    <row r="127" spans="2:5" ht="12.75">
      <c r="B127" s="64" t="s">
        <v>310</v>
      </c>
      <c r="C127" s="153" t="s">
        <v>4</v>
      </c>
      <c r="D127" s="153" t="s">
        <v>861</v>
      </c>
      <c r="E127" s="390" t="s">
        <v>1041</v>
      </c>
    </row>
    <row r="128" spans="1:5" s="68" customFormat="1" ht="12.75">
      <c r="A128" s="67"/>
      <c r="B128" s="66" t="s">
        <v>311</v>
      </c>
      <c r="C128" s="155">
        <v>0</v>
      </c>
      <c r="D128" s="327">
        <v>0</v>
      </c>
      <c r="E128" s="331">
        <v>0</v>
      </c>
    </row>
    <row r="129" spans="2:5" ht="12.75">
      <c r="B129" s="65"/>
      <c r="C129" s="154"/>
      <c r="D129" s="326"/>
      <c r="E129" s="330"/>
    </row>
    <row r="130" spans="2:5" ht="12.75">
      <c r="B130" s="448" t="s">
        <v>951</v>
      </c>
      <c r="C130" s="326"/>
      <c r="D130" s="327">
        <f>SUM(D131)</f>
        <v>19</v>
      </c>
      <c r="E130" s="331">
        <f>SUM(E131)</f>
        <v>30</v>
      </c>
    </row>
    <row r="131" spans="2:5" ht="12.75">
      <c r="B131" s="447" t="s">
        <v>952</v>
      </c>
      <c r="C131" s="326"/>
      <c r="D131" s="326">
        <v>19</v>
      </c>
      <c r="E131" s="330">
        <v>30</v>
      </c>
    </row>
    <row r="132" spans="2:5" ht="12.75">
      <c r="B132" s="447"/>
      <c r="C132" s="326"/>
      <c r="D132" s="326"/>
      <c r="E132" s="330"/>
    </row>
    <row r="133" spans="2:5" ht="12.75">
      <c r="B133" s="66" t="s">
        <v>312</v>
      </c>
      <c r="C133" s="155">
        <f>SUM(C134:C135)</f>
        <v>1200</v>
      </c>
      <c r="D133" s="327">
        <f>SUM(D134:D135)</f>
        <v>1200</v>
      </c>
      <c r="E133" s="331">
        <f>SUM(E134:E135)</f>
        <v>1200</v>
      </c>
    </row>
    <row r="134" spans="2:5" ht="12.75">
      <c r="B134" s="65" t="s">
        <v>313</v>
      </c>
      <c r="C134" s="154">
        <v>1200</v>
      </c>
      <c r="D134" s="326">
        <v>1200</v>
      </c>
      <c r="E134" s="330">
        <v>1200</v>
      </c>
    </row>
    <row r="135" spans="2:5" ht="12.75">
      <c r="B135" s="65"/>
      <c r="C135" s="154"/>
      <c r="D135" s="326"/>
      <c r="E135" s="330"/>
    </row>
    <row r="136" spans="2:5" ht="30.75" customHeight="1" thickBot="1">
      <c r="B136" s="80" t="s">
        <v>314</v>
      </c>
      <c r="C136" s="157">
        <f>SUM(C133)</f>
        <v>1200</v>
      </c>
      <c r="D136" s="170">
        <f>SUM(D133,D130)</f>
        <v>1219</v>
      </c>
      <c r="E136" s="394">
        <f>SUM(E133,E130)</f>
        <v>1230</v>
      </c>
    </row>
    <row r="137" spans="2:3" ht="30.75" customHeight="1" hidden="1">
      <c r="B137" s="62"/>
      <c r="C137" s="84"/>
    </row>
    <row r="138" ht="10.5" customHeight="1" hidden="1">
      <c r="A138" s="77"/>
    </row>
    <row r="139" spans="1:2" ht="12.75" hidden="1">
      <c r="A139" s="63"/>
      <c r="B139" s="85">
        <f ca="1">SUMIF($A$8:$C$91,#REF!,$C$8:$C$91)</f>
        <v>0</v>
      </c>
    </row>
    <row r="140" spans="1:2" ht="12.75" hidden="1">
      <c r="A140" s="63"/>
      <c r="B140" s="85">
        <f ca="1">SUMIF($A$8:$C$91,#REF!,$C$8:$C$91)</f>
        <v>0</v>
      </c>
    </row>
    <row r="141" spans="1:2" ht="12.75" hidden="1">
      <c r="A141" s="63"/>
      <c r="B141" s="85">
        <f ca="1">SUMIF($A$8:$C$91,#REF!,$C$8:$C$91)</f>
        <v>0</v>
      </c>
    </row>
    <row r="142" spans="1:2" ht="12.75" hidden="1">
      <c r="A142" s="63"/>
      <c r="B142" s="85">
        <f ca="1">SUMIF($A$8:$C$91,#REF!,$C$8:$C$91)</f>
        <v>0</v>
      </c>
    </row>
    <row r="143" spans="1:2" ht="12.75" hidden="1">
      <c r="A143" s="63"/>
      <c r="B143" s="85">
        <f ca="1">SUMIF($A$8:$C$91,#REF!,$C$8:$C$91)</f>
        <v>0</v>
      </c>
    </row>
    <row r="144" spans="1:2" ht="12.75" hidden="1">
      <c r="A144" s="63"/>
      <c r="B144" s="85">
        <f ca="1">SUMIF($A$8:$C$91,#REF!,$C$8:$C$91)</f>
        <v>0</v>
      </c>
    </row>
    <row r="145" spans="1:2" ht="12.75" hidden="1">
      <c r="A145" s="63"/>
      <c r="B145" s="85">
        <f ca="1">SUMIF($A$8:$C$91,#REF!,$C$8:$C$91)</f>
        <v>0</v>
      </c>
    </row>
    <row r="146" spans="1:2" ht="12.75" hidden="1">
      <c r="A146" s="63"/>
      <c r="B146" s="85">
        <f ca="1">SUMIF($A$8:$C$91,#REF!,$C$8:$C$91)</f>
        <v>0</v>
      </c>
    </row>
    <row r="147" spans="1:2" ht="12.75" hidden="1">
      <c r="A147" s="63"/>
      <c r="B147" s="85">
        <f ca="1">SUMIF($A$8:$C$91,#REF!,$C$8:$C$91)</f>
        <v>0</v>
      </c>
    </row>
    <row r="148" ht="12.75" hidden="1">
      <c r="B148" s="85">
        <f ca="1">SUM(B139:B147)</f>
        <v>0</v>
      </c>
    </row>
    <row r="149" ht="12.75" hidden="1"/>
    <row r="150" ht="12.75" hidden="1">
      <c r="A150" s="77"/>
    </row>
    <row r="151" spans="1:2" ht="12.75" hidden="1">
      <c r="A151" s="63"/>
      <c r="B151" s="86">
        <f ca="1">SUMIF($A$99:$C$123,#REF!,$C$99:$C$120)</f>
        <v>0</v>
      </c>
    </row>
    <row r="152" spans="1:2" ht="12.75" hidden="1">
      <c r="A152" s="63"/>
      <c r="B152" s="86">
        <f ca="1">SUMIF($A$99:$C$123,#REF!,$C$99:$C$120)</f>
        <v>0</v>
      </c>
    </row>
    <row r="153" spans="1:2" ht="12.75" hidden="1">
      <c r="A153" s="63"/>
      <c r="B153" s="86">
        <f ca="1">SUMIF($A$99:$C$123,#REF!,$C$99:$C$120)</f>
        <v>0</v>
      </c>
    </row>
    <row r="154" spans="1:2" ht="12.75" hidden="1">
      <c r="A154" s="63"/>
      <c r="B154" s="86">
        <f ca="1">SUMIF($A$99:$C$123,#REF!,$C$99:$C$120)</f>
        <v>0</v>
      </c>
    </row>
    <row r="155" ht="12.75" hidden="1">
      <c r="B155" s="86">
        <f ca="1">SUM(B151:B154)</f>
        <v>0</v>
      </c>
    </row>
    <row r="156" ht="12.75" hidden="1"/>
    <row r="157" spans="1:2" ht="12.75" hidden="1">
      <c r="A157" s="67" t="s">
        <v>315</v>
      </c>
      <c r="B157" s="87"/>
    </row>
    <row r="158" spans="1:2" ht="12.75" hidden="1">
      <c r="A158" s="59" t="s">
        <v>131</v>
      </c>
      <c r="B158" s="85">
        <f aca="true" t="shared" si="0" ref="B158:B166">SUMIF($A$7:$A$57,A158,$C$7:$C$57)</f>
        <v>319700</v>
      </c>
    </row>
    <row r="159" spans="1:2" ht="12.75" hidden="1">
      <c r="A159" s="59" t="s">
        <v>256</v>
      </c>
      <c r="B159" s="85">
        <f t="shared" si="0"/>
        <v>2400</v>
      </c>
    </row>
    <row r="160" spans="1:2" ht="12.75" hidden="1">
      <c r="A160" s="59" t="s">
        <v>257</v>
      </c>
      <c r="B160" s="85">
        <f t="shared" si="0"/>
        <v>3400</v>
      </c>
    </row>
    <row r="161" spans="1:2" ht="12.75" hidden="1">
      <c r="A161" s="59" t="s">
        <v>138</v>
      </c>
      <c r="B161" s="85">
        <f t="shared" si="0"/>
        <v>2000</v>
      </c>
    </row>
    <row r="162" spans="1:2" ht="12.75" hidden="1">
      <c r="A162" s="59" t="s">
        <v>261</v>
      </c>
      <c r="B162" s="85">
        <f t="shared" si="0"/>
        <v>193978</v>
      </c>
    </row>
    <row r="163" spans="1:2" ht="12.75" hidden="1">
      <c r="A163" s="59" t="s">
        <v>143</v>
      </c>
      <c r="B163" s="85">
        <f t="shared" si="0"/>
        <v>160382</v>
      </c>
    </row>
    <row r="164" spans="1:2" ht="12.75" hidden="1">
      <c r="A164" s="59" t="s">
        <v>265</v>
      </c>
      <c r="B164" s="85">
        <f t="shared" si="0"/>
        <v>127495</v>
      </c>
    </row>
    <row r="165" spans="1:2" ht="12.75" hidden="1">
      <c r="A165" s="59" t="s">
        <v>213</v>
      </c>
      <c r="B165" s="85">
        <f t="shared" si="0"/>
        <v>4000</v>
      </c>
    </row>
    <row r="166" spans="1:2" ht="12.75" hidden="1">
      <c r="A166" s="59" t="s">
        <v>270</v>
      </c>
      <c r="B166" s="85">
        <f t="shared" si="0"/>
        <v>21275</v>
      </c>
    </row>
    <row r="167" spans="1:2" ht="12.75" hidden="1">
      <c r="A167" s="67" t="s">
        <v>316</v>
      </c>
      <c r="B167" s="88">
        <f>SUM(B158:B166)</f>
        <v>834630</v>
      </c>
    </row>
    <row r="168" ht="12.75" hidden="1"/>
    <row r="169" spans="1:2" ht="12.75" hidden="1">
      <c r="A169" s="67" t="s">
        <v>317</v>
      </c>
      <c r="B169" s="87"/>
    </row>
    <row r="170" spans="1:2" ht="12.75" hidden="1">
      <c r="A170" s="59" t="s">
        <v>261</v>
      </c>
      <c r="B170" s="85">
        <f>SUM(C91)</f>
        <v>2000</v>
      </c>
    </row>
    <row r="171" ht="12.75" hidden="1"/>
    <row r="172" spans="1:2" ht="12.75" hidden="1">
      <c r="A172" s="67" t="s">
        <v>318</v>
      </c>
      <c r="B172" s="87"/>
    </row>
    <row r="173" spans="1:2" ht="12.75" hidden="1">
      <c r="A173" s="59" t="s">
        <v>261</v>
      </c>
      <c r="B173" s="85">
        <f>SUMIF($A$101:$A$110,A173,$C$101:$C$110)</f>
        <v>181974</v>
      </c>
    </row>
    <row r="174" spans="1:2" ht="12.75" hidden="1">
      <c r="A174" s="59" t="s">
        <v>143</v>
      </c>
      <c r="B174" s="85">
        <f>SUMIF($A$101:$A$110,A174,$C$101:$C$110)</f>
        <v>6000</v>
      </c>
    </row>
    <row r="175" spans="1:2" ht="12.75" hidden="1">
      <c r="A175" s="67" t="s">
        <v>319</v>
      </c>
      <c r="B175" s="88">
        <f>SUM(B173:B174)</f>
        <v>187974</v>
      </c>
    </row>
    <row r="176" ht="12.75" hidden="1"/>
    <row r="177" ht="12.75" hidden="1"/>
    <row r="178" ht="12.75"/>
    <row r="179" ht="12.75"/>
    <row r="180" spans="2:11" ht="12.75">
      <c r="B180" s="1035" t="s">
        <v>1163</v>
      </c>
      <c r="C180" s="1035"/>
      <c r="D180" s="1035"/>
      <c r="E180" s="1035"/>
      <c r="F180" s="1035"/>
      <c r="G180" s="1035"/>
      <c r="H180" s="1035"/>
      <c r="I180" s="1035"/>
      <c r="J180" s="1035"/>
      <c r="K180" s="1035"/>
    </row>
    <row r="181" spans="2:11" ht="12.75">
      <c r="B181" s="1035" t="s">
        <v>1164</v>
      </c>
      <c r="C181" s="1035"/>
      <c r="D181" s="1035"/>
      <c r="E181" s="1035"/>
      <c r="F181" s="1035"/>
      <c r="G181" s="1035"/>
      <c r="H181" s="1035"/>
      <c r="I181" s="1035"/>
      <c r="J181" s="1035"/>
      <c r="K181" s="1035"/>
    </row>
    <row r="182" spans="2:11" ht="12.75">
      <c r="B182" s="1035" t="s">
        <v>1165</v>
      </c>
      <c r="C182" s="1035"/>
      <c r="D182" s="1035"/>
      <c r="E182" s="1035"/>
      <c r="F182" s="1035"/>
      <c r="G182" s="1035"/>
      <c r="H182" s="1035"/>
      <c r="I182" s="1035"/>
      <c r="J182" s="1035"/>
      <c r="K182" s="1035"/>
    </row>
    <row r="183" spans="2:11" ht="12.75">
      <c r="B183" s="1035" t="s">
        <v>1166</v>
      </c>
      <c r="C183" s="1035"/>
      <c r="D183" s="1035"/>
      <c r="E183" s="1035"/>
      <c r="F183" s="1035"/>
      <c r="G183" s="1035"/>
      <c r="H183" s="1035"/>
      <c r="I183" s="1035"/>
      <c r="J183" s="1035"/>
      <c r="K183" s="1035"/>
    </row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  <row r="1983" ht="12.75"/>
    <row r="1984" ht="12.75"/>
    <row r="1985" ht="12.75"/>
    <row r="1986" ht="12.75"/>
    <row r="1987" ht="12.75"/>
    <row r="1988" ht="12.75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12.75"/>
    <row r="2000" ht="12.75"/>
    <row r="2001" ht="12.75"/>
    <row r="2002" ht="12.75"/>
    <row r="2003" ht="12.75"/>
    <row r="2004" ht="12.75"/>
    <row r="2005" ht="12.75"/>
    <row r="2006" ht="12.75"/>
    <row r="2007" ht="12.75"/>
    <row r="2008" ht="12.75"/>
    <row r="2009" ht="12.75"/>
    <row r="2010" ht="12.75"/>
    <row r="2011" ht="12.75"/>
    <row r="2012" ht="12.75"/>
    <row r="2013" ht="12.75"/>
    <row r="2014" ht="12.75"/>
    <row r="2015" ht="12.75"/>
    <row r="2016" ht="12.75"/>
    <row r="2017" ht="12.75"/>
    <row r="2018" ht="12.75"/>
    <row r="2019" ht="12.75"/>
    <row r="2020" ht="12.75"/>
    <row r="2021" ht="12.75"/>
    <row r="2022" ht="12.75"/>
    <row r="2023" ht="12.75"/>
    <row r="2024" ht="12.75"/>
    <row r="2025" ht="12.75"/>
    <row r="2026" ht="12.75"/>
    <row r="2027" ht="12.75"/>
    <row r="2028" ht="12.75"/>
    <row r="2029" ht="12.75"/>
    <row r="2030" ht="12.75"/>
    <row r="2031" ht="12.75"/>
    <row r="2032" ht="12.75"/>
    <row r="2033" ht="12.75"/>
    <row r="2034" ht="12.75"/>
    <row r="2035" ht="12.75"/>
    <row r="2036" ht="12.75"/>
    <row r="2037" ht="12.75"/>
    <row r="2038" ht="12.75"/>
    <row r="2039" ht="12.75"/>
    <row r="2040" ht="12.75"/>
    <row r="2041" ht="12.75"/>
    <row r="2042" ht="12.75"/>
    <row r="2043" ht="12.75"/>
    <row r="2044" ht="12.75"/>
    <row r="2045" ht="12.75"/>
    <row r="2046" ht="12.75"/>
    <row r="2047" ht="12.75"/>
    <row r="2048" ht="12.75"/>
    <row r="2049" ht="12.75"/>
    <row r="2050" ht="12.75"/>
    <row r="2051" ht="12.75"/>
    <row r="2052" ht="12.75"/>
    <row r="2053" ht="12.75"/>
    <row r="2054" ht="12.75"/>
    <row r="2055" ht="12.75"/>
    <row r="2056" ht="12.75"/>
    <row r="2057" ht="12.75"/>
    <row r="2058" ht="12.75"/>
    <row r="2059" ht="12.75"/>
    <row r="2060" ht="12.75"/>
    <row r="2061" ht="12.75"/>
    <row r="2062" ht="12.75"/>
    <row r="2063" ht="12.75"/>
    <row r="2064" ht="12.75"/>
    <row r="2065" ht="12.75"/>
    <row r="2066" ht="12.75"/>
    <row r="2067" ht="12.75"/>
    <row r="2068" ht="12.75"/>
    <row r="2069" ht="12.75"/>
    <row r="2070" ht="12.75"/>
    <row r="2071" ht="12.75"/>
    <row r="2072" ht="12.75"/>
    <row r="2073" ht="12.75"/>
    <row r="2074" ht="12.75"/>
    <row r="2075" ht="12.75"/>
    <row r="2076" ht="12.75"/>
    <row r="2077" ht="12.75"/>
    <row r="2078" ht="12.75"/>
    <row r="2079" ht="12.75"/>
    <row r="2080" ht="12.75"/>
    <row r="2081" ht="12.75"/>
    <row r="2082" ht="12.75"/>
    <row r="2083" ht="12.75"/>
    <row r="2084" ht="12.75"/>
    <row r="2085" ht="12.75"/>
    <row r="2086" ht="12.75"/>
    <row r="2087" ht="12.75"/>
    <row r="2088" ht="12.75"/>
    <row r="2089" ht="12.75"/>
    <row r="2090" ht="12.75"/>
    <row r="2091" ht="12.75"/>
    <row r="2092" ht="12.75"/>
    <row r="2093" ht="12.75"/>
    <row r="2094" ht="12.75"/>
    <row r="2095" ht="12.75"/>
    <row r="2096" ht="12.75"/>
    <row r="2097" ht="12.75"/>
    <row r="2098" ht="12.75"/>
    <row r="2099" ht="12.75"/>
    <row r="2100" ht="12.75"/>
    <row r="2101" ht="12.75"/>
    <row r="2102" ht="12.75"/>
    <row r="2103" ht="12.75"/>
    <row r="2104" ht="12.75"/>
    <row r="2105" ht="12.75"/>
    <row r="2106" ht="12.75"/>
    <row r="2107" ht="12.75"/>
    <row r="2108" ht="12.75"/>
    <row r="2109" ht="12.75"/>
    <row r="2110" ht="12.75"/>
    <row r="2111" ht="12.75"/>
    <row r="2112" ht="12.75"/>
    <row r="2113" ht="12.75"/>
    <row r="2114" ht="12.75"/>
    <row r="2115" ht="12.75"/>
    <row r="2116" ht="12.75"/>
    <row r="2117" ht="12.75"/>
    <row r="2118" ht="12.75"/>
    <row r="2119" ht="12.75"/>
    <row r="2120" ht="12.75"/>
    <row r="2121" ht="12.75"/>
    <row r="2122" ht="12.75"/>
    <row r="2123" ht="12.75"/>
    <row r="2124" ht="12.75"/>
    <row r="2125" ht="12.75"/>
    <row r="2126" ht="12.75"/>
    <row r="2127" ht="12.75"/>
    <row r="2128" ht="12.75"/>
    <row r="2129" ht="12.75"/>
    <row r="2130" ht="12.75"/>
    <row r="2131" ht="12.75"/>
    <row r="2132" ht="12.75"/>
    <row r="2133" ht="12.75"/>
    <row r="2134" ht="12.75"/>
    <row r="2135" ht="12.75"/>
    <row r="2136" ht="12.75"/>
    <row r="2137" ht="12.75"/>
    <row r="2138" ht="12.75"/>
    <row r="2139" ht="12.75"/>
    <row r="2140" ht="12.75"/>
    <row r="2141" ht="12.75"/>
    <row r="2142" ht="12.75"/>
    <row r="2143" ht="12.75"/>
    <row r="2144" ht="12.75"/>
    <row r="2145" ht="12.75"/>
    <row r="2146" ht="12.75"/>
    <row r="2147" ht="12.75"/>
    <row r="2148" ht="12.75"/>
    <row r="2149" ht="12.75"/>
    <row r="2150" ht="12.75"/>
    <row r="2151" ht="12.75"/>
    <row r="2152" ht="12.75"/>
    <row r="2153" ht="12.75"/>
    <row r="2154" ht="12.75"/>
    <row r="2155" ht="12.75"/>
    <row r="2156" ht="12.75"/>
    <row r="2157" ht="12.75"/>
    <row r="2158" ht="12.75"/>
    <row r="2159" ht="12.75"/>
    <row r="2160" ht="12.75"/>
    <row r="2161" ht="12.75"/>
    <row r="2162" ht="12.75"/>
    <row r="2163" ht="12.75"/>
    <row r="2164" ht="12.75"/>
    <row r="2165" ht="12.75"/>
    <row r="2166" ht="12.75"/>
    <row r="2167" ht="12.75"/>
    <row r="2168" ht="12.75"/>
    <row r="2169" ht="12.75"/>
    <row r="2170" ht="12.75"/>
    <row r="2171" ht="12.75"/>
    <row r="2172" ht="12.75"/>
    <row r="2173" ht="12.75"/>
    <row r="2174" ht="12.75"/>
    <row r="2175" ht="12.75"/>
    <row r="2176" ht="12.75"/>
    <row r="2177" ht="12.75"/>
    <row r="2178" ht="12.75"/>
    <row r="2179" ht="12.75"/>
    <row r="2180" ht="12.75"/>
    <row r="2181" ht="12.75"/>
    <row r="2182" ht="12.75"/>
    <row r="2183" ht="12.75"/>
    <row r="2184" ht="12.75"/>
    <row r="2185" ht="12.75"/>
    <row r="2186" ht="12.75"/>
    <row r="2187" ht="12.75"/>
    <row r="2188" ht="12.75"/>
    <row r="2189" ht="12.75"/>
    <row r="2190" ht="12.75"/>
    <row r="2191" ht="12.75"/>
    <row r="2192" ht="12.75"/>
    <row r="2193" ht="12.75"/>
    <row r="2194" ht="12.75"/>
    <row r="2195" ht="12.75"/>
    <row r="2196" ht="12.75"/>
    <row r="2197" ht="12.75"/>
    <row r="2198" ht="12.75"/>
    <row r="2199" ht="12.75"/>
    <row r="2200" ht="12.75"/>
    <row r="2201" ht="12.75"/>
    <row r="2202" ht="12.75"/>
    <row r="2203" ht="12.75"/>
    <row r="2204" ht="12.75"/>
    <row r="2205" ht="12.75"/>
    <row r="2206" ht="12.75"/>
    <row r="2207" ht="12.75"/>
    <row r="2208" ht="12.75"/>
    <row r="2209" ht="12.75"/>
    <row r="2210" ht="12.75"/>
    <row r="2211" ht="12.75"/>
    <row r="2212" ht="12.75"/>
    <row r="2213" ht="12.75"/>
    <row r="2214" ht="12.75"/>
    <row r="2215" ht="12.75"/>
    <row r="2216" ht="12.75"/>
    <row r="2217" ht="12.75"/>
    <row r="2218" ht="12.75"/>
    <row r="2219" ht="12.75"/>
    <row r="2220" ht="12.75"/>
    <row r="2221" ht="12.75"/>
    <row r="2222" ht="12.75"/>
    <row r="2223" ht="12.75"/>
    <row r="2224" ht="12.75"/>
    <row r="2225" ht="12.75"/>
    <row r="2226" ht="12.75"/>
    <row r="2227" ht="12.75"/>
    <row r="2228" ht="12.75"/>
    <row r="2229" ht="12.75"/>
    <row r="2230" ht="12.75"/>
    <row r="2231" ht="12.75"/>
    <row r="2232" ht="12.75"/>
    <row r="2233" ht="12.75"/>
    <row r="2234" ht="12.75"/>
    <row r="2235" ht="12.75"/>
    <row r="2236" ht="12.75"/>
    <row r="2237" ht="12.75"/>
    <row r="2238" ht="12.75"/>
    <row r="2239" ht="12.75"/>
    <row r="2240" ht="12.75"/>
    <row r="2241" ht="12.75"/>
    <row r="2242" ht="12.75"/>
    <row r="2243" ht="12.75"/>
    <row r="2244" ht="12.75"/>
    <row r="2245" ht="12.75"/>
    <row r="2246" ht="12.75"/>
    <row r="2247" ht="12.75"/>
    <row r="2248" ht="12.75"/>
    <row r="2249" ht="12.75"/>
    <row r="2250" ht="12.75"/>
    <row r="2251" ht="12.75"/>
    <row r="2252" ht="12.75"/>
    <row r="2253" ht="12.75"/>
    <row r="2254" ht="12.75"/>
    <row r="2255" ht="12.75"/>
    <row r="2256" ht="12.75"/>
    <row r="2257" ht="12.75"/>
    <row r="2258" ht="12.75"/>
    <row r="2259" ht="12.75"/>
    <row r="2260" ht="12.75"/>
    <row r="2261" ht="12.75"/>
    <row r="2262" ht="12.75"/>
    <row r="2263" ht="12.75"/>
    <row r="2264" ht="12.75"/>
    <row r="2265" ht="12.75"/>
    <row r="2266" ht="12.75"/>
    <row r="2267" ht="12.75"/>
    <row r="2268" ht="12.75"/>
    <row r="2269" ht="12.75"/>
    <row r="2270" ht="12.75"/>
    <row r="2271" ht="12.75"/>
    <row r="2272" ht="12.75"/>
    <row r="2273" ht="12.75"/>
    <row r="2274" ht="12.75"/>
    <row r="2275" ht="12.75"/>
    <row r="2276" ht="12.75"/>
    <row r="2277" ht="12.75"/>
    <row r="2278" ht="12.75"/>
    <row r="2279" ht="12.75"/>
    <row r="2280" ht="12.75"/>
    <row r="2281" ht="12.75"/>
    <row r="2282" ht="12.75"/>
    <row r="2283" ht="12.75"/>
    <row r="2284" ht="12.75"/>
    <row r="2285" ht="12.75"/>
    <row r="2286" ht="12.75"/>
    <row r="2287" ht="12.75"/>
    <row r="2288" ht="12.75"/>
    <row r="2289" ht="12.75"/>
    <row r="2290" ht="12.75"/>
    <row r="2291" ht="12.75"/>
    <row r="2292" ht="12.75"/>
    <row r="2293" ht="12.75"/>
    <row r="2294" ht="12.75"/>
    <row r="2295" ht="12.75"/>
    <row r="2296" ht="12.75"/>
    <row r="2297" ht="12.75"/>
    <row r="2298" ht="12.75"/>
    <row r="2299" ht="12.75"/>
    <row r="2300" ht="12.75"/>
    <row r="2301" ht="12.75"/>
    <row r="2302" ht="12.75"/>
    <row r="2303" ht="12.75"/>
    <row r="2304" ht="12.75"/>
    <row r="2305" ht="12.75"/>
    <row r="2306" ht="12.75"/>
    <row r="2307" ht="12.75"/>
    <row r="2308" ht="12.75"/>
    <row r="2309" ht="12.75"/>
    <row r="2310" ht="12.75"/>
    <row r="2311" ht="12.75"/>
    <row r="2312" ht="12.75"/>
    <row r="2313" ht="12.75"/>
    <row r="2314" ht="12.75"/>
    <row r="2315" ht="12.75"/>
    <row r="2316" ht="12.75"/>
    <row r="2317" ht="12.75"/>
    <row r="2318" ht="12.75"/>
    <row r="2319" ht="12.75"/>
    <row r="2320" ht="12.75"/>
    <row r="2321" ht="12.75"/>
    <row r="2322" ht="12.75"/>
    <row r="2323" ht="12.75"/>
    <row r="2324" ht="12.75"/>
    <row r="2325" ht="12.75"/>
    <row r="2326" ht="12.75"/>
    <row r="2327" ht="12.75"/>
    <row r="2328" ht="12.75"/>
    <row r="2329" ht="12.75"/>
    <row r="2330" ht="12.75"/>
    <row r="2331" ht="12.75"/>
    <row r="2332" ht="12.75"/>
    <row r="2333" ht="12.75"/>
    <row r="2334" ht="12.75"/>
    <row r="2335" ht="12.75"/>
    <row r="2336" ht="12.75"/>
    <row r="2337" ht="12.75"/>
    <row r="2338" ht="12.75"/>
    <row r="2339" ht="12.75"/>
    <row r="2340" ht="12.75"/>
    <row r="2341" ht="12.75"/>
    <row r="2342" ht="12.75"/>
    <row r="2343" ht="12.75"/>
    <row r="2344" ht="12.75"/>
    <row r="2345" ht="12.75"/>
    <row r="2346" ht="12.75"/>
    <row r="2347" ht="12.75"/>
    <row r="2348" ht="12.75"/>
    <row r="2349" ht="12.75"/>
    <row r="2350" ht="12.75"/>
    <row r="2351" ht="12.75"/>
    <row r="2352" ht="12.75"/>
    <row r="2353" ht="12.75"/>
    <row r="2354" ht="12.75"/>
    <row r="2355" ht="12.75"/>
    <row r="2356" ht="12.75"/>
    <row r="2357" ht="12.75"/>
    <row r="2358" ht="12.75"/>
    <row r="2359" ht="12.75"/>
    <row r="2360" ht="12.75"/>
    <row r="2361" ht="12.75"/>
    <row r="2362" ht="12.75"/>
    <row r="2363" ht="12.75"/>
    <row r="2364" ht="12.75"/>
    <row r="2365" ht="12.75"/>
    <row r="2366" ht="12.75"/>
    <row r="2367" ht="12.75"/>
    <row r="2368" ht="12.75"/>
    <row r="2369" ht="12.75"/>
    <row r="2370" ht="12.75"/>
    <row r="2371" ht="12.75"/>
    <row r="2372" ht="12.75"/>
    <row r="2373" ht="12.75"/>
    <row r="2374" ht="12.75"/>
    <row r="2375" ht="12.75"/>
    <row r="2376" ht="12.75"/>
    <row r="2377" ht="12.75"/>
    <row r="2378" ht="12.75"/>
    <row r="2379" ht="12.75"/>
    <row r="2380" ht="12.75"/>
    <row r="2381" ht="12.75"/>
    <row r="2382" ht="12.75"/>
    <row r="2383" ht="12.75"/>
    <row r="2384" ht="12.75"/>
    <row r="2385" ht="12.75"/>
    <row r="2386" ht="12.75"/>
    <row r="2387" ht="12.75"/>
    <row r="2388" ht="12.75"/>
    <row r="2389" ht="12.75"/>
    <row r="2390" ht="12.75"/>
    <row r="2391" ht="12.75"/>
    <row r="2392" ht="12.75"/>
    <row r="2393" ht="12.75"/>
    <row r="2394" ht="12.75"/>
    <row r="2395" ht="12.75"/>
    <row r="2396" ht="12.75"/>
    <row r="2397" ht="12.75"/>
    <row r="2398" ht="12.75"/>
    <row r="2399" ht="12.75"/>
    <row r="2400" ht="12.75"/>
    <row r="2401" ht="12.75"/>
    <row r="2402" ht="12.75"/>
    <row r="2403" ht="12.75"/>
    <row r="2404" ht="12.75"/>
    <row r="2405" ht="12.75"/>
    <row r="2406" ht="12.75"/>
    <row r="2407" ht="12.75"/>
    <row r="2408" ht="12.75"/>
    <row r="2409" ht="12.75"/>
    <row r="2410" ht="12.75"/>
    <row r="2411" ht="12.75"/>
    <row r="2412" ht="12.75"/>
    <row r="2413" ht="12.75"/>
    <row r="2414" ht="12.75"/>
    <row r="2415" ht="12.75"/>
    <row r="2416" ht="12.75"/>
    <row r="2417" ht="12.75"/>
    <row r="2418" ht="12.75"/>
    <row r="2419" ht="12.75"/>
    <row r="2420" ht="12.75"/>
    <row r="2421" ht="12.75"/>
    <row r="2422" ht="12.75"/>
    <row r="2423" ht="12.75"/>
    <row r="2424" ht="12.75"/>
    <row r="2425" ht="12.75"/>
    <row r="2426" ht="12.75"/>
    <row r="2427" ht="12.75"/>
    <row r="2428" ht="12.75"/>
    <row r="2429" ht="12.75"/>
    <row r="2430" ht="12.75"/>
    <row r="2431" ht="12.75"/>
    <row r="2432" ht="12.75"/>
    <row r="2433" ht="12.75"/>
    <row r="2434" ht="12.75"/>
    <row r="2435" ht="12.75"/>
    <row r="2436" ht="12.75"/>
    <row r="2437" ht="12.75"/>
    <row r="2438" ht="12.75"/>
    <row r="2439" ht="12.75"/>
    <row r="2440" ht="12.75"/>
    <row r="2441" ht="12.75"/>
    <row r="2442" ht="12.75"/>
    <row r="2443" ht="12.75"/>
    <row r="2444" ht="12.75"/>
    <row r="2445" ht="12.75"/>
    <row r="2446" ht="12.75"/>
    <row r="2447" ht="12.75"/>
    <row r="2448" ht="12.75"/>
    <row r="2449" ht="12.75"/>
    <row r="2450" ht="12.75"/>
    <row r="2451" ht="12.75"/>
    <row r="2452" ht="12.75"/>
    <row r="2453" ht="12.75"/>
    <row r="2454" ht="12.75"/>
    <row r="2455" ht="12.75"/>
    <row r="2456" ht="12.75"/>
    <row r="2457" ht="12.75"/>
    <row r="2458" ht="12.75"/>
    <row r="2459" ht="12.75"/>
    <row r="2460" ht="12.75"/>
    <row r="2461" ht="12.75"/>
    <row r="2462" ht="12.75"/>
    <row r="2463" ht="12.75"/>
    <row r="2464" ht="12.75"/>
    <row r="2465" ht="12.75"/>
    <row r="2466" ht="12.75"/>
    <row r="2467" ht="12.75"/>
    <row r="2468" ht="12.75"/>
    <row r="2469" ht="12.75"/>
    <row r="2470" ht="12.75"/>
    <row r="2471" ht="12.75"/>
    <row r="2472" ht="12.75"/>
    <row r="2473" ht="12.75"/>
    <row r="2474" ht="12.75"/>
    <row r="2475" ht="12.75"/>
    <row r="2476" ht="12.75"/>
    <row r="2477" ht="12.75"/>
    <row r="2478" ht="12.75"/>
    <row r="2479" ht="12.75"/>
    <row r="2480" ht="12.75"/>
    <row r="2481" ht="12.75"/>
    <row r="2482" ht="12.75"/>
    <row r="2483" ht="12.75"/>
    <row r="2484" ht="12.75"/>
    <row r="2485" ht="12.75"/>
    <row r="2486" ht="12.75"/>
    <row r="2487" ht="12.75"/>
    <row r="2488" ht="12.75"/>
    <row r="2489" ht="12.75"/>
    <row r="2490" ht="12.75"/>
    <row r="2491" ht="12.75"/>
    <row r="2492" ht="12.75"/>
    <row r="2493" ht="12.75"/>
    <row r="2494" ht="12.75"/>
    <row r="2495" ht="12.75"/>
    <row r="2496" ht="12.75"/>
    <row r="2497" ht="12.75"/>
    <row r="2498" ht="12.75"/>
    <row r="2499" ht="12.75"/>
    <row r="2500" ht="12.75"/>
    <row r="2501" ht="12.75"/>
    <row r="2502" ht="12.75"/>
    <row r="2503" ht="12.75"/>
    <row r="2504" ht="12.75"/>
    <row r="2505" ht="12.75"/>
    <row r="2506" ht="12.75"/>
    <row r="2507" ht="12.75"/>
    <row r="2508" ht="12.75"/>
    <row r="2509" ht="12.75"/>
    <row r="2510" ht="12.75"/>
    <row r="2511" ht="12.75"/>
    <row r="2512" ht="12.75"/>
    <row r="2513" ht="12.75"/>
    <row r="2514" ht="12.75"/>
    <row r="2515" ht="12.75"/>
    <row r="2516" ht="12.75"/>
    <row r="2517" ht="12.75"/>
    <row r="2518" ht="12.75"/>
    <row r="2519" ht="12.75"/>
    <row r="2520" ht="12.75"/>
    <row r="2521" ht="12.75"/>
    <row r="2522" ht="12.75"/>
    <row r="2523" ht="12.75"/>
    <row r="2524" ht="12.75"/>
    <row r="2525" ht="12.75"/>
    <row r="2526" ht="12.75"/>
    <row r="2527" ht="12.75"/>
    <row r="2528" ht="12.75"/>
    <row r="2529" ht="12.75"/>
    <row r="2530" ht="12.75"/>
    <row r="2531" ht="12.75"/>
    <row r="2532" ht="12.75"/>
    <row r="2533" ht="12.75"/>
    <row r="2534" ht="12.75"/>
    <row r="2535" ht="12.75"/>
    <row r="2536" ht="12.75"/>
    <row r="2537" ht="12.75"/>
    <row r="2538" ht="12.75"/>
    <row r="2539" ht="12.75"/>
    <row r="2540" ht="12.75"/>
    <row r="2541" ht="12.75"/>
    <row r="2542" ht="12.75"/>
    <row r="2543" ht="12.75"/>
    <row r="2544" ht="12.75"/>
    <row r="2545" ht="12.75"/>
    <row r="2546" ht="12.75"/>
    <row r="2547" ht="12.75"/>
    <row r="2548" ht="12.75"/>
    <row r="2549" ht="12.75"/>
    <row r="2550" ht="12.75"/>
    <row r="2551" ht="12.75"/>
    <row r="2552" ht="12.75"/>
    <row r="2553" ht="12.75"/>
    <row r="2554" ht="12.75"/>
    <row r="2555" ht="12.75"/>
    <row r="2556" ht="12.75"/>
    <row r="2557" ht="12.75"/>
    <row r="2558" ht="12.75"/>
    <row r="2559" ht="12.75"/>
    <row r="2560" ht="12.75"/>
    <row r="2561" ht="12.75"/>
    <row r="2562" ht="12.75"/>
    <row r="2563" ht="12.75"/>
    <row r="2564" ht="12.75"/>
    <row r="2565" ht="12.75"/>
    <row r="2566" ht="12.75"/>
    <row r="2567" ht="12.75"/>
    <row r="2568" ht="12.75"/>
    <row r="2569" ht="12.75"/>
    <row r="2570" ht="12.75"/>
    <row r="2571" ht="12.75"/>
    <row r="2572" ht="12.75"/>
    <row r="2573" ht="12.75"/>
    <row r="2574" ht="12.75"/>
    <row r="2575" ht="12.75"/>
    <row r="2576" ht="12.75"/>
    <row r="2577" ht="12.75"/>
    <row r="2578" ht="12.75"/>
    <row r="2579" ht="12.75"/>
    <row r="2580" ht="12.75"/>
    <row r="2581" ht="12.75"/>
    <row r="2582" ht="12.75"/>
    <row r="2583" ht="12.75"/>
    <row r="2584" ht="12.75"/>
    <row r="2585" ht="12.75"/>
    <row r="2586" ht="12.75"/>
    <row r="2587" ht="12.75"/>
    <row r="2588" ht="12.75"/>
    <row r="2589" ht="12.75"/>
    <row r="2590" ht="12.75"/>
    <row r="2591" ht="12.75"/>
    <row r="2592" ht="12.75"/>
    <row r="2593" ht="12.75"/>
    <row r="2594" ht="12.75"/>
    <row r="2595" ht="12.75"/>
    <row r="2596" ht="12.75"/>
    <row r="2597" ht="12.75"/>
    <row r="2598" ht="12.75"/>
    <row r="2599" ht="12.75"/>
    <row r="2600" ht="12.75"/>
    <row r="2601" ht="12.75"/>
    <row r="2602" ht="12.75"/>
    <row r="2603" ht="12.75"/>
    <row r="2604" ht="12.75"/>
    <row r="2605" ht="12.75"/>
    <row r="2606" ht="12.75"/>
    <row r="2607" ht="12.75"/>
    <row r="2608" ht="12.75"/>
    <row r="2609" ht="12.75"/>
    <row r="2610" ht="12.75"/>
    <row r="2611" ht="12.75"/>
    <row r="2612" ht="12.75"/>
    <row r="2613" ht="12.75"/>
    <row r="2614" ht="12.75"/>
    <row r="2615" ht="12.75"/>
    <row r="2616" ht="12.75"/>
    <row r="2617" ht="12.75"/>
    <row r="2618" ht="12.75"/>
    <row r="2619" ht="12.75"/>
    <row r="2620" ht="12.75"/>
    <row r="2621" ht="12.75"/>
    <row r="2622" ht="12.75"/>
    <row r="2623" ht="12.75"/>
    <row r="2624" ht="12.75"/>
    <row r="2625" ht="12.75"/>
    <row r="2626" ht="12.75"/>
    <row r="2627" ht="12.75"/>
    <row r="2628" ht="12.75"/>
    <row r="2629" ht="12.75"/>
    <row r="2630" ht="12.75"/>
    <row r="2631" ht="12.75"/>
    <row r="2632" ht="12.75"/>
    <row r="2633" ht="12.75"/>
    <row r="2634" ht="12.75"/>
    <row r="2635" ht="12.75"/>
    <row r="2636" ht="12.75"/>
    <row r="2637" ht="12.75"/>
    <row r="2638" ht="12.75"/>
    <row r="2639" ht="12.75"/>
    <row r="2640" ht="12.75"/>
    <row r="2641" ht="12.75"/>
    <row r="2642" ht="12.75"/>
    <row r="2643" ht="12.75"/>
    <row r="2644" ht="12.75"/>
    <row r="2645" ht="12.75"/>
    <row r="2646" ht="12.75"/>
    <row r="2647" ht="12.75"/>
    <row r="2648" ht="12.75"/>
    <row r="2649" ht="12.75"/>
    <row r="2650" ht="12.75"/>
    <row r="2651" ht="12.75"/>
    <row r="2652" ht="12.75"/>
    <row r="2653" ht="12.75"/>
    <row r="2654" ht="12.75"/>
    <row r="2655" ht="12.75"/>
    <row r="2656" ht="12.75"/>
    <row r="2657" ht="12.75"/>
    <row r="2658" ht="12.75"/>
    <row r="2659" ht="12.75"/>
    <row r="2660" ht="12.75"/>
    <row r="2661" ht="12.75"/>
    <row r="2662" ht="12.75"/>
    <row r="2663" ht="12.75"/>
    <row r="2664" ht="12.75"/>
    <row r="2665" ht="12.75"/>
    <row r="2666" ht="12.75"/>
    <row r="2667" ht="12.75"/>
    <row r="2668" ht="12.75"/>
    <row r="2669" ht="12.75"/>
    <row r="2670" ht="12.75"/>
    <row r="2671" ht="12.75"/>
    <row r="2672" ht="12.75"/>
    <row r="2673" ht="12.75"/>
    <row r="2674" ht="12.75"/>
    <row r="2675" ht="12.75"/>
    <row r="2676" ht="12.75"/>
    <row r="2677" ht="12.75"/>
    <row r="2678" ht="12.75"/>
    <row r="2679" ht="12.75"/>
    <row r="2680" ht="12.75"/>
    <row r="2681" ht="12.75"/>
    <row r="2682" ht="12.75"/>
    <row r="2683" ht="12.75"/>
    <row r="2684" ht="12.75"/>
    <row r="2685" ht="12.75"/>
    <row r="2686" ht="12.75"/>
    <row r="2687" ht="12.75"/>
    <row r="2688" ht="12.75"/>
    <row r="2689" ht="12.75"/>
    <row r="2690" ht="12.75"/>
    <row r="2691" ht="12.75"/>
    <row r="2692" ht="12.75"/>
    <row r="2693" ht="12.75"/>
    <row r="2694" ht="12.75"/>
    <row r="2695" ht="12.75"/>
    <row r="2696" ht="12.75"/>
    <row r="2697" ht="12.75"/>
    <row r="2698" ht="12.75"/>
    <row r="2699" ht="12.75"/>
    <row r="2700" ht="12.75"/>
    <row r="2701" ht="12.75"/>
    <row r="2702" ht="12.75"/>
    <row r="2703" ht="12.75"/>
    <row r="2704" ht="12.75"/>
    <row r="2705" ht="12.75"/>
    <row r="2706" ht="12.75"/>
    <row r="2707" ht="12.75"/>
    <row r="2708" ht="12.75"/>
    <row r="2709" ht="12.75"/>
    <row r="2710" ht="12.75"/>
    <row r="2711" ht="12.75"/>
    <row r="2712" ht="12.75"/>
    <row r="2713" ht="12.75"/>
    <row r="2714" ht="12.75"/>
    <row r="2715" ht="12.75"/>
    <row r="2716" ht="12.75"/>
    <row r="2717" ht="12.75"/>
    <row r="2718" ht="12.75"/>
    <row r="2719" ht="12.75"/>
    <row r="2720" ht="12.75"/>
    <row r="2721" ht="12.75"/>
    <row r="2722" ht="12.75"/>
    <row r="2723" ht="12.75"/>
    <row r="2724" ht="12.75"/>
    <row r="2725" ht="12.75"/>
    <row r="2726" ht="12.75"/>
    <row r="2727" ht="12.75"/>
    <row r="2728" ht="12.75"/>
    <row r="2729" ht="12.75"/>
    <row r="2730" ht="12.75"/>
    <row r="2731" ht="12.75"/>
    <row r="2732" ht="12.75"/>
    <row r="2733" ht="12.75"/>
    <row r="2734" ht="12.75"/>
    <row r="2735" ht="12.75"/>
    <row r="2736" ht="12.75"/>
    <row r="2737" ht="12.75"/>
    <row r="2738" ht="12.75"/>
    <row r="2739" ht="12.75"/>
    <row r="2740" ht="12.75"/>
    <row r="2741" ht="12.75"/>
    <row r="2742" ht="12.75"/>
    <row r="2743" ht="12.75"/>
    <row r="2744" ht="12.75"/>
    <row r="2745" ht="12.75"/>
    <row r="2746" ht="12.75"/>
    <row r="2747" ht="12.75"/>
    <row r="2748" ht="12.75"/>
    <row r="2749" ht="12.75"/>
    <row r="2750" ht="12.75"/>
    <row r="2751" ht="12.75"/>
    <row r="2752" ht="12.75"/>
    <row r="2753" ht="12.75"/>
    <row r="2754" ht="12.75"/>
    <row r="2755" ht="12.75"/>
    <row r="2756" ht="12.75"/>
    <row r="2757" ht="12.75"/>
    <row r="2758" ht="12.75"/>
    <row r="2759" ht="12.75"/>
    <row r="2760" ht="12.75"/>
    <row r="2761" ht="12.75"/>
    <row r="2762" ht="12.75"/>
    <row r="2763" ht="12.75"/>
    <row r="2764" ht="12.75"/>
    <row r="2765" ht="12.75"/>
    <row r="2766" ht="12.75"/>
    <row r="2767" ht="12.75"/>
    <row r="2768" ht="12.75"/>
    <row r="2769" ht="12.75"/>
    <row r="2770" ht="12.75"/>
    <row r="2771" ht="12.75"/>
    <row r="2772" ht="12.75"/>
    <row r="2773" ht="12.75"/>
    <row r="2774" ht="12.75"/>
    <row r="2775" ht="12.75"/>
    <row r="2776" ht="12.75"/>
    <row r="2777" ht="12.75"/>
    <row r="2778" ht="12.75"/>
    <row r="2779" ht="12.75"/>
    <row r="2780" ht="12.75"/>
    <row r="2781" ht="12.75"/>
    <row r="2782" ht="12.75"/>
    <row r="2783" ht="12.75"/>
    <row r="2784" ht="12.75"/>
    <row r="2785" ht="12.75"/>
    <row r="2786" ht="12.75"/>
    <row r="2787" ht="12.75"/>
    <row r="2788" ht="12.75"/>
    <row r="2789" ht="12.75"/>
    <row r="2790" ht="12.75"/>
    <row r="2791" ht="12.75"/>
    <row r="2792" ht="12.75"/>
    <row r="2793" ht="12.75"/>
    <row r="2794" ht="12.75"/>
    <row r="2795" ht="12.75"/>
    <row r="2796" ht="12.75"/>
    <row r="2797" ht="12.75"/>
    <row r="2798" ht="12.75"/>
    <row r="2799" ht="12.75"/>
    <row r="2800" ht="12.75"/>
    <row r="2801" ht="12.75"/>
    <row r="2802" ht="12.75"/>
    <row r="2803" ht="12.75"/>
    <row r="2804" ht="12.75"/>
    <row r="2805" ht="12.75"/>
    <row r="2806" ht="12.75"/>
    <row r="2807" ht="12.75"/>
    <row r="2808" ht="12.75"/>
    <row r="2809" ht="12.75"/>
    <row r="2810" ht="12.75"/>
    <row r="2811" ht="12.75"/>
    <row r="2812" ht="12.75"/>
    <row r="2813" ht="12.75"/>
    <row r="2814" ht="12.75"/>
    <row r="2815" ht="12.75"/>
    <row r="2816" ht="12.75"/>
    <row r="2817" ht="12.75"/>
    <row r="2818" ht="12.75"/>
    <row r="2819" ht="12.75"/>
    <row r="2820" ht="12.75"/>
    <row r="2821" ht="12.75"/>
    <row r="2822" ht="12.75"/>
    <row r="2823" ht="12.75"/>
    <row r="2824" ht="12.75"/>
    <row r="2825" ht="12.75"/>
    <row r="2826" ht="12.75"/>
    <row r="2827" ht="12.75"/>
    <row r="2828" ht="12.75"/>
    <row r="2829" ht="12.75"/>
    <row r="2830" ht="12.75"/>
    <row r="2831" ht="12.75"/>
    <row r="2832" ht="12.75"/>
    <row r="2833" ht="12.75"/>
    <row r="2834" ht="12.75"/>
    <row r="2835" ht="12.75"/>
    <row r="2836" ht="12.75"/>
    <row r="2837" ht="12.75"/>
    <row r="2838" ht="12.75"/>
    <row r="2839" ht="12.75"/>
    <row r="2840" ht="12.75"/>
    <row r="2841" ht="12.75"/>
    <row r="2842" ht="12.75"/>
    <row r="2843" ht="12.75"/>
    <row r="2844" ht="12.75"/>
    <row r="2845" ht="12.75"/>
    <row r="2846" ht="12.75"/>
    <row r="2847" ht="12.75"/>
    <row r="2848" ht="12.75"/>
    <row r="2849" ht="12.75"/>
    <row r="2850" ht="12.75"/>
    <row r="2851" ht="12.75"/>
    <row r="2852" ht="12.75"/>
    <row r="2853" ht="12.75"/>
    <row r="2854" ht="12.75"/>
    <row r="2855" ht="12.75"/>
    <row r="2856" ht="12.75"/>
    <row r="2857" ht="12.75"/>
    <row r="2858" ht="12.75"/>
    <row r="2859" ht="12.75"/>
    <row r="2860" ht="12.75"/>
    <row r="2861" ht="12.75"/>
    <row r="2862" ht="12.75"/>
    <row r="2863" ht="12.75"/>
    <row r="2864" ht="12.75"/>
    <row r="2865" ht="12.75"/>
    <row r="2866" ht="12.75"/>
    <row r="2867" ht="12.75"/>
    <row r="2868" ht="12.75"/>
    <row r="2869" ht="12.75"/>
    <row r="2870" ht="12.75"/>
    <row r="2871" ht="12.75"/>
    <row r="2872" ht="12.75"/>
    <row r="2873" ht="12.75"/>
    <row r="2874" ht="12.75"/>
    <row r="2875" ht="12.75"/>
    <row r="2876" ht="12.75"/>
    <row r="2877" ht="12.75"/>
    <row r="2878" ht="12.75"/>
    <row r="2879" ht="12.75"/>
    <row r="2880" ht="12.75"/>
    <row r="2881" ht="12.75"/>
    <row r="2882" ht="12.75"/>
    <row r="2883" ht="12.75"/>
    <row r="2884" ht="12.75"/>
    <row r="2885" ht="12.75"/>
    <row r="2886" ht="12.75"/>
    <row r="2887" ht="12.75"/>
    <row r="2888" ht="12.75"/>
    <row r="2889" ht="12.75"/>
    <row r="2890" ht="12.75"/>
    <row r="2891" ht="12.75"/>
    <row r="2892" ht="12.75"/>
    <row r="2893" ht="12.75"/>
    <row r="2894" ht="12.75"/>
    <row r="2895" ht="12.75"/>
    <row r="2896" ht="12.75"/>
    <row r="2897" ht="12.75"/>
    <row r="2898" ht="12.75"/>
    <row r="2899" ht="12.75"/>
    <row r="2900" ht="12.75"/>
    <row r="2901" ht="12.75"/>
    <row r="2902" ht="12.75"/>
    <row r="2903" ht="12.75"/>
    <row r="2904" ht="12.75"/>
    <row r="2905" ht="12.75"/>
    <row r="2906" ht="12.75"/>
    <row r="2907" ht="12.75"/>
    <row r="2908" ht="12.75"/>
    <row r="2909" ht="12.75"/>
    <row r="2910" ht="12.75"/>
    <row r="2911" ht="12.75"/>
    <row r="2912" ht="12.75"/>
    <row r="2913" ht="12.75"/>
    <row r="2914" ht="12.75"/>
    <row r="2915" ht="12.75"/>
    <row r="2916" ht="12.75"/>
    <row r="2917" ht="12.75"/>
    <row r="2918" ht="12.75"/>
    <row r="2919" ht="12.75"/>
    <row r="2920" ht="12.75"/>
    <row r="2921" ht="12.75"/>
    <row r="2922" ht="12.75"/>
    <row r="2923" ht="12.75"/>
    <row r="2924" ht="12.75"/>
    <row r="2925" ht="12.75"/>
    <row r="2926" ht="12.75"/>
    <row r="2927" ht="12.75"/>
    <row r="2928" ht="12.75"/>
    <row r="2929" ht="12.75"/>
    <row r="2930" ht="12.75"/>
    <row r="2931" ht="12.75"/>
    <row r="2932" ht="12.75"/>
    <row r="2933" ht="12.75"/>
    <row r="2934" ht="12.75"/>
    <row r="2935" ht="12.75"/>
    <row r="2936" ht="12.75"/>
    <row r="2937" ht="12.75"/>
    <row r="2938" ht="12.75"/>
    <row r="2939" ht="12.75"/>
    <row r="2940" ht="12.75"/>
    <row r="2941" ht="12.75"/>
    <row r="2942" ht="12.75"/>
    <row r="2943" ht="12.75"/>
    <row r="2944" ht="12.75"/>
    <row r="2945" ht="12.75"/>
    <row r="2946" ht="12.75"/>
    <row r="2947" ht="12.75"/>
    <row r="2948" ht="12.75"/>
    <row r="2949" ht="12.75"/>
    <row r="2950" ht="12.75"/>
    <row r="2951" ht="12.75"/>
    <row r="2952" ht="12.75"/>
    <row r="2953" ht="12.75"/>
    <row r="2954" ht="12.75"/>
    <row r="2955" ht="12.75"/>
    <row r="2956" ht="12.75"/>
    <row r="2957" ht="12.75"/>
    <row r="2958" ht="12.75"/>
    <row r="2959" ht="12.75"/>
    <row r="2960" ht="12.75"/>
    <row r="2961" ht="12.75"/>
    <row r="2962" ht="12.75"/>
    <row r="2963" ht="12.75"/>
    <row r="2964" ht="12.75"/>
    <row r="2965" ht="12.75"/>
    <row r="2966" ht="12.75"/>
    <row r="2967" ht="12.75"/>
    <row r="2968" ht="12.75"/>
    <row r="2969" ht="12.75"/>
    <row r="2970" ht="12.75"/>
    <row r="2971" ht="12.75"/>
    <row r="2972" ht="12.75"/>
    <row r="2973" ht="12.75"/>
    <row r="2974" ht="12.75"/>
    <row r="2975" ht="12.75"/>
    <row r="2976" ht="12.75"/>
    <row r="2977" ht="12.75"/>
    <row r="2978" ht="12.75"/>
    <row r="2979" ht="12.75"/>
    <row r="2980" ht="12.75"/>
    <row r="2981" ht="12.75"/>
    <row r="2982" ht="12.75"/>
    <row r="2983" ht="12.75"/>
    <row r="2984" ht="12.75"/>
    <row r="2985" ht="12.75"/>
    <row r="2986" ht="12.75"/>
    <row r="2987" ht="12.75"/>
    <row r="2988" ht="12.75"/>
    <row r="2989" ht="12.75"/>
    <row r="2990" ht="12.75"/>
    <row r="2991" ht="12.75"/>
    <row r="2992" ht="12.75"/>
    <row r="2993" ht="12.75"/>
    <row r="2994" ht="12.75"/>
    <row r="2995" ht="12.75"/>
    <row r="2996" ht="12.75"/>
    <row r="2997" ht="12.75"/>
    <row r="2998" ht="12.75"/>
    <row r="2999" ht="12.75"/>
    <row r="3000" ht="12.75"/>
    <row r="3001" ht="12.75"/>
    <row r="3002" ht="12.75"/>
    <row r="3003" ht="12.75"/>
    <row r="3004" ht="12.75"/>
    <row r="3005" ht="12.75"/>
    <row r="3006" ht="12.75"/>
    <row r="3007" ht="12.75"/>
    <row r="3008" ht="12.75"/>
    <row r="3009" ht="12.75"/>
    <row r="3010" ht="12.75"/>
    <row r="3011" ht="12.75"/>
    <row r="3012" ht="12.75"/>
    <row r="3013" ht="12.75"/>
    <row r="3014" ht="12.75"/>
    <row r="3015" ht="12.75"/>
    <row r="3016" ht="12.75"/>
    <row r="3017" ht="12.75"/>
    <row r="3018" ht="12.75"/>
    <row r="3019" ht="12.75"/>
    <row r="3020" ht="12.75"/>
    <row r="3021" ht="12.75"/>
    <row r="3022" ht="12.75"/>
    <row r="3023" ht="12.75"/>
    <row r="3024" ht="12.75"/>
    <row r="3025" ht="12.75"/>
    <row r="3026" ht="12.75"/>
    <row r="3027" ht="12.75"/>
    <row r="3028" ht="12.75"/>
    <row r="3029" ht="12.75"/>
    <row r="3030" ht="12.75"/>
    <row r="3031" ht="12.75"/>
    <row r="3032" ht="12.75"/>
    <row r="3033" ht="12.75"/>
    <row r="3034" ht="12.75"/>
    <row r="3035" ht="12.75"/>
    <row r="3036" ht="12.75"/>
    <row r="3037" ht="12.75"/>
    <row r="3038" ht="12.75"/>
    <row r="3039" ht="12.75"/>
    <row r="3040" ht="12.75"/>
    <row r="3041" ht="12.75"/>
    <row r="3042" ht="12.75"/>
    <row r="3043" ht="12.75"/>
    <row r="3044" ht="12.75"/>
    <row r="3045" ht="12.75"/>
    <row r="3046" ht="12.75"/>
    <row r="3047" ht="12.75"/>
    <row r="3048" ht="12.75"/>
    <row r="3049" ht="12.75"/>
    <row r="3050" ht="12.75"/>
    <row r="3051" ht="12.75"/>
    <row r="3052" ht="12.75"/>
    <row r="3053" ht="12.75"/>
    <row r="3054" ht="12.75"/>
    <row r="3055" ht="12.75"/>
    <row r="3056" ht="12.75"/>
    <row r="3057" ht="12.75"/>
    <row r="3058" ht="12.75"/>
    <row r="3059" ht="12.75"/>
    <row r="3060" ht="12.75"/>
    <row r="3061" ht="12.75"/>
    <row r="3062" ht="12.75"/>
    <row r="3063" ht="12.75"/>
    <row r="3064" ht="12.75"/>
    <row r="3065" ht="12.75"/>
    <row r="3066" ht="12.75"/>
    <row r="3067" ht="12.75"/>
    <row r="3068" ht="12.75"/>
    <row r="3069" ht="12.75"/>
    <row r="3070" ht="12.75"/>
    <row r="3071" ht="12.75"/>
    <row r="3072" ht="12.75"/>
    <row r="3073" ht="12.75"/>
    <row r="3074" ht="12.75"/>
    <row r="3075" ht="12.75"/>
    <row r="3076" ht="12.75"/>
    <row r="3077" ht="12.75"/>
    <row r="3078" ht="12.75"/>
    <row r="3079" ht="12.75"/>
    <row r="3080" ht="12.75"/>
    <row r="3081" ht="12.75"/>
    <row r="3082" ht="12.75"/>
    <row r="3083" ht="12.75"/>
    <row r="3084" ht="12.75"/>
    <row r="3085" ht="12.75"/>
    <row r="3086" ht="12.75"/>
    <row r="3087" ht="12.75"/>
    <row r="3088" ht="12.75"/>
    <row r="3089" ht="12.75"/>
    <row r="3090" ht="12.75"/>
    <row r="3091" ht="12.75"/>
    <row r="3092" ht="12.75"/>
    <row r="3093" ht="12.75"/>
    <row r="3094" ht="12.75"/>
    <row r="3095" ht="12.75"/>
    <row r="3096" ht="12.75"/>
    <row r="3097" ht="12.75"/>
    <row r="3098" ht="12.75"/>
    <row r="3099" ht="12.75"/>
    <row r="3100" ht="12.75"/>
    <row r="3101" ht="12.75"/>
    <row r="3102" ht="12.75"/>
    <row r="3103" ht="12.75"/>
    <row r="3104" ht="12.75"/>
    <row r="3105" ht="12.75"/>
    <row r="3106" ht="12.75"/>
    <row r="3107" ht="12.75"/>
    <row r="3108" ht="12.75"/>
    <row r="3109" ht="12.75"/>
    <row r="3110" ht="12.75"/>
    <row r="3111" ht="12.75"/>
    <row r="3112" ht="12.75"/>
    <row r="3113" ht="12.75"/>
    <row r="3114" ht="12.75"/>
    <row r="3115" ht="12.75"/>
    <row r="3116" ht="12.75"/>
    <row r="3117" ht="12.75"/>
    <row r="3118" ht="12.75"/>
    <row r="3119" ht="12.75"/>
    <row r="3120" ht="12.75"/>
    <row r="3121" ht="12.75"/>
    <row r="3122" ht="12.75"/>
    <row r="3123" ht="12.75"/>
    <row r="3124" ht="12.75"/>
    <row r="3125" ht="12.75"/>
    <row r="3126" ht="12.75"/>
    <row r="3127" ht="12.75"/>
    <row r="3128" ht="12.75"/>
    <row r="3129" ht="12.75"/>
    <row r="3130" ht="12.75"/>
    <row r="3131" ht="12.75"/>
    <row r="3132" ht="12.75"/>
    <row r="3133" ht="12.75"/>
    <row r="3134" ht="12.75"/>
    <row r="3135" ht="12.75"/>
    <row r="3136" ht="12.75"/>
    <row r="3137" ht="12.75"/>
    <row r="3138" ht="12.75"/>
    <row r="3139" ht="12.75"/>
    <row r="3140" ht="12.75"/>
    <row r="3141" ht="12.75"/>
    <row r="3142" ht="12.75"/>
    <row r="3143" ht="12.75"/>
    <row r="3144" ht="12.75"/>
    <row r="3145" ht="12.75"/>
    <row r="3146" ht="12.75"/>
    <row r="3147" ht="12.75"/>
    <row r="3148" ht="12.75"/>
    <row r="3149" ht="12.75"/>
    <row r="3150" ht="12.75"/>
    <row r="3151" ht="12.75"/>
    <row r="3152" ht="12.75"/>
    <row r="3153" ht="12.75"/>
    <row r="3154" ht="12.75"/>
    <row r="3155" ht="12.75"/>
    <row r="3156" ht="12.75"/>
    <row r="3157" ht="12.75"/>
    <row r="3158" ht="12.75"/>
    <row r="3159" ht="12.75"/>
    <row r="3160" ht="12.75"/>
    <row r="3161" ht="12.75"/>
    <row r="3162" ht="12.75"/>
    <row r="3163" ht="12.75"/>
    <row r="3164" ht="12.75"/>
    <row r="3165" ht="12.75"/>
    <row r="3166" ht="12.75"/>
    <row r="3167" ht="12.75"/>
    <row r="3168" ht="12.75"/>
    <row r="3169" ht="12.75"/>
    <row r="3170" ht="12.75"/>
    <row r="3171" ht="12.75"/>
    <row r="3172" ht="12.75"/>
    <row r="3173" ht="12.75"/>
    <row r="3174" ht="12.75"/>
    <row r="3175" ht="12.75"/>
    <row r="3176" ht="12.75"/>
    <row r="3177" ht="12.75"/>
    <row r="3178" ht="12.75"/>
    <row r="3179" ht="12.75"/>
    <row r="3180" ht="12.75"/>
    <row r="3181" ht="12.75"/>
    <row r="3182" ht="12.75"/>
    <row r="3183" ht="12.75"/>
    <row r="3184" ht="12.75"/>
    <row r="3185" ht="12.75"/>
    <row r="3186" ht="12.75"/>
    <row r="3187" ht="12.75"/>
    <row r="3188" ht="12.75"/>
    <row r="3189" ht="12.75"/>
    <row r="3190" ht="12.75"/>
    <row r="3191" ht="12.75"/>
    <row r="3192" ht="12.75"/>
    <row r="3193" ht="12.75"/>
    <row r="3194" ht="12.75"/>
    <row r="3195" ht="12.75"/>
    <row r="3196" ht="12.75"/>
    <row r="3197" ht="12.75"/>
    <row r="3198" ht="12.75"/>
    <row r="3199" ht="12.75"/>
    <row r="3200" ht="12.75"/>
    <row r="3201" ht="12.75"/>
    <row r="3202" ht="12.75"/>
    <row r="3203" ht="12.75"/>
    <row r="3204" ht="12.75"/>
    <row r="3205" ht="12.75"/>
    <row r="3206" ht="12.75"/>
    <row r="3207" ht="12.75"/>
    <row r="3208" ht="12.75"/>
    <row r="3209" ht="12.75"/>
    <row r="3210" ht="12.75"/>
    <row r="3211" ht="12.75"/>
    <row r="3212" ht="12.75"/>
    <row r="3213" ht="12.75"/>
    <row r="3214" ht="12.75"/>
    <row r="3215" ht="12.75"/>
    <row r="3216" ht="12.75"/>
    <row r="3217" ht="12.75"/>
    <row r="3218" ht="12.75"/>
    <row r="3219" ht="12.75"/>
    <row r="3220" ht="12.75"/>
    <row r="3221" ht="12.75"/>
    <row r="3222" ht="12.75"/>
    <row r="3223" ht="12.75"/>
    <row r="3224" ht="12.75"/>
    <row r="3225" ht="12.75"/>
    <row r="3226" ht="12.75"/>
    <row r="3227" ht="12.75"/>
    <row r="3228" ht="12.75"/>
    <row r="3229" ht="12.75"/>
    <row r="3230" ht="12.75"/>
    <row r="3231" ht="12.75"/>
    <row r="3232" ht="12.75"/>
    <row r="3233" ht="12.75"/>
    <row r="3234" ht="12.75"/>
    <row r="3235" ht="12.75"/>
    <row r="3236" ht="12.75"/>
    <row r="3237" ht="12.75"/>
    <row r="3238" ht="12.75"/>
    <row r="3239" ht="12.75"/>
    <row r="3240" ht="12.75"/>
    <row r="3241" ht="12.75"/>
    <row r="3242" ht="12.75"/>
    <row r="3243" ht="12.75"/>
    <row r="3244" ht="12.75"/>
    <row r="3245" ht="12.75"/>
    <row r="3246" ht="12.75"/>
    <row r="3247" ht="12.75"/>
    <row r="3248" ht="12.75"/>
    <row r="3249" ht="12.75"/>
    <row r="3250" ht="12.75"/>
    <row r="3251" ht="12.75"/>
    <row r="3252" ht="12.75"/>
    <row r="3253" ht="12.75"/>
    <row r="3254" ht="12.75"/>
    <row r="3255" ht="12.75"/>
    <row r="3256" ht="12.75"/>
    <row r="3257" ht="12.75"/>
    <row r="3258" ht="12.75"/>
    <row r="3259" ht="12.75"/>
    <row r="3260" ht="12.75"/>
    <row r="3261" ht="12.75"/>
    <row r="3262" ht="12.75"/>
    <row r="3263" ht="12.75"/>
    <row r="3264" ht="12.75"/>
    <row r="3265" ht="12.75"/>
    <row r="3266" ht="12.75"/>
    <row r="3267" ht="12.75"/>
    <row r="3268" ht="12.75"/>
    <row r="3269" ht="12.75"/>
    <row r="3270" ht="12.75"/>
    <row r="3271" ht="12.75"/>
    <row r="3272" ht="12.75"/>
    <row r="3273" ht="12.75"/>
    <row r="3274" ht="12.75"/>
    <row r="3275" ht="12.75"/>
    <row r="3276" ht="12.75"/>
    <row r="3277" ht="12.75"/>
    <row r="3278" ht="12.75"/>
    <row r="3279" ht="12.75"/>
    <row r="3280" ht="12.75"/>
    <row r="3281" ht="12.75"/>
    <row r="3282" ht="12.75"/>
    <row r="3283" ht="12.75"/>
    <row r="3284" ht="12.75"/>
    <row r="3285" ht="12.75"/>
    <row r="3286" ht="12.75"/>
    <row r="3287" ht="12.75"/>
    <row r="3288" ht="12.75"/>
    <row r="3289" ht="12.75"/>
    <row r="3290" ht="12.75"/>
    <row r="3291" ht="12.75"/>
    <row r="3292" ht="12.75"/>
    <row r="3293" ht="12.75"/>
    <row r="3294" ht="12.75"/>
    <row r="3295" ht="12.75"/>
    <row r="3296" ht="12.75"/>
    <row r="3297" ht="12.75"/>
    <row r="3298" ht="12.75"/>
    <row r="3299" ht="12.75"/>
    <row r="3300" ht="12.75"/>
    <row r="3301" ht="12.75"/>
    <row r="3302" ht="12.75"/>
    <row r="3303" ht="12.75"/>
    <row r="3304" ht="12.75"/>
    <row r="3305" ht="12.75"/>
    <row r="3306" ht="12.75"/>
    <row r="3307" ht="12.75"/>
    <row r="3308" ht="12.75"/>
    <row r="3309" ht="12.75"/>
    <row r="3310" ht="12.75"/>
    <row r="3311" ht="12.75"/>
    <row r="3312" ht="12.75"/>
    <row r="3313" ht="12.75"/>
    <row r="3314" ht="12.75"/>
    <row r="3315" ht="12.75"/>
    <row r="3316" ht="12.75"/>
    <row r="3317" ht="12.75"/>
    <row r="3318" ht="12.75"/>
    <row r="3319" ht="12.75"/>
    <row r="3320" ht="12.75"/>
    <row r="3321" ht="12.75"/>
    <row r="3322" ht="12.75"/>
    <row r="3323" ht="12.75"/>
    <row r="3324" ht="12.75"/>
    <row r="3325" ht="12.75"/>
    <row r="3326" ht="12.75"/>
    <row r="3327" ht="12.75"/>
    <row r="3328" ht="12.75"/>
    <row r="3329" ht="12.75"/>
    <row r="3330" ht="12.75"/>
    <row r="3331" ht="12.75"/>
    <row r="3332" ht="12.75"/>
    <row r="3333" ht="12.75"/>
    <row r="3334" ht="12.75"/>
    <row r="3335" ht="12.75"/>
    <row r="3336" ht="12.75"/>
    <row r="3337" ht="12.75"/>
    <row r="3338" ht="12.75"/>
    <row r="3339" ht="12.75"/>
    <row r="3340" ht="12.75"/>
    <row r="3341" ht="12.75"/>
    <row r="3342" ht="12.75"/>
    <row r="3343" ht="12.75"/>
    <row r="3344" ht="12.75"/>
    <row r="3345" ht="12.75"/>
    <row r="3346" ht="12.75"/>
    <row r="3347" ht="12.75"/>
    <row r="3348" ht="12.75"/>
    <row r="3349" ht="12.75"/>
    <row r="3350" ht="12.75"/>
    <row r="3351" ht="12.75"/>
    <row r="3352" ht="12.75"/>
    <row r="3353" ht="12.75"/>
    <row r="3354" ht="12.75"/>
    <row r="3355" ht="12.75"/>
    <row r="3356" ht="12.75"/>
    <row r="3357" ht="12.75"/>
    <row r="3358" ht="12.75"/>
    <row r="3359" ht="12.75"/>
    <row r="3360" ht="12.75"/>
    <row r="3361" ht="12.75"/>
    <row r="3362" ht="12.75"/>
    <row r="3363" ht="12.75"/>
    <row r="3364" ht="12.75"/>
    <row r="3365" ht="12.75"/>
    <row r="3366" ht="12.75"/>
    <row r="3367" ht="12.75"/>
    <row r="3368" ht="12.75"/>
    <row r="3369" ht="12.75"/>
    <row r="3370" ht="12.75"/>
    <row r="3371" ht="12.75"/>
    <row r="3372" ht="12.75"/>
    <row r="3373" ht="12.75"/>
    <row r="3374" ht="12.75"/>
    <row r="3375" ht="12.75"/>
    <row r="3376" ht="12.75"/>
    <row r="3377" ht="12.75"/>
    <row r="3378" ht="12.75"/>
    <row r="3379" ht="12.75"/>
    <row r="3380" ht="12.75"/>
    <row r="3381" ht="12.75"/>
    <row r="3382" ht="12.75"/>
    <row r="3383" ht="12.75"/>
    <row r="3384" ht="12.75"/>
    <row r="3385" ht="12.75"/>
    <row r="3386" ht="12.75"/>
    <row r="3387" ht="12.75"/>
    <row r="3388" ht="12.75"/>
    <row r="3389" ht="12.75"/>
    <row r="3390" ht="12.75"/>
    <row r="3391" ht="12.75"/>
    <row r="3392" ht="12.75"/>
    <row r="3393" ht="12.75"/>
    <row r="3394" ht="12.75"/>
    <row r="3395" ht="12.75"/>
    <row r="3396" ht="12.75"/>
    <row r="3397" ht="12.75"/>
    <row r="3398" ht="12.75"/>
    <row r="3399" ht="12.75"/>
    <row r="3400" ht="12.75"/>
    <row r="3401" ht="12.75"/>
    <row r="3402" ht="12.75"/>
    <row r="3403" ht="12.75"/>
    <row r="3404" ht="12.75"/>
    <row r="3405" ht="12.75"/>
    <row r="3406" ht="12.75"/>
    <row r="3407" ht="12.75"/>
    <row r="3408" ht="12.75"/>
    <row r="3409" ht="12.75"/>
    <row r="3410" ht="12.75"/>
    <row r="3411" ht="12.75"/>
    <row r="3412" ht="12.75"/>
    <row r="3413" ht="12.75"/>
    <row r="3414" ht="12.75"/>
    <row r="3415" ht="12.75"/>
    <row r="3416" ht="12.75"/>
    <row r="3417" ht="12.75"/>
    <row r="3418" ht="12.75"/>
    <row r="3419" ht="12.75"/>
    <row r="3420" ht="12.75"/>
    <row r="3421" ht="12.75"/>
    <row r="3422" ht="12.75"/>
    <row r="3423" ht="12.75"/>
    <row r="3424" ht="12.75"/>
    <row r="3425" ht="12.75"/>
    <row r="3426" ht="12.75"/>
    <row r="3427" ht="12.75"/>
    <row r="3428" ht="12.75"/>
    <row r="3429" ht="12.75"/>
    <row r="3430" ht="12.75"/>
    <row r="3431" ht="12.75"/>
    <row r="3432" ht="12.75"/>
    <row r="3433" ht="12.75"/>
    <row r="3434" ht="12.75"/>
    <row r="3435" ht="12.75"/>
    <row r="3436" ht="12.75"/>
    <row r="3437" ht="12.75"/>
    <row r="3438" ht="12.75"/>
    <row r="3439" ht="12.75"/>
    <row r="3440" ht="12.75"/>
    <row r="3441" ht="12.75"/>
    <row r="3442" ht="12.75"/>
    <row r="3443" ht="12.75"/>
    <row r="3444" ht="12.75"/>
    <row r="3445" ht="12.75"/>
    <row r="3446" ht="12.75"/>
    <row r="3447" ht="12.75"/>
    <row r="3448" ht="12.75"/>
    <row r="3449" ht="12.75"/>
    <row r="3450" ht="12.75"/>
    <row r="3451" ht="12.75"/>
    <row r="3452" ht="12.75"/>
    <row r="3453" ht="12.75"/>
    <row r="3454" ht="12.75"/>
    <row r="3455" ht="12.75"/>
    <row r="3456" ht="12.75"/>
    <row r="3457" ht="12.75"/>
    <row r="3458" ht="12.75"/>
    <row r="3459" ht="12.75"/>
    <row r="3460" ht="12.75"/>
    <row r="3461" ht="12.75"/>
    <row r="3462" ht="12.75"/>
    <row r="3463" ht="12.75"/>
    <row r="3464" ht="12.75"/>
    <row r="3465" ht="12.75"/>
    <row r="3466" ht="12.75"/>
    <row r="3467" ht="12.75"/>
    <row r="3468" ht="12.75"/>
    <row r="3469" ht="12.75"/>
    <row r="3470" ht="12.75"/>
    <row r="3471" ht="12.75"/>
    <row r="3472" ht="12.75"/>
    <row r="3473" ht="12.75"/>
    <row r="3474" ht="12.75"/>
    <row r="3475" ht="12.75"/>
    <row r="3476" ht="12.75"/>
    <row r="3477" ht="12.75"/>
    <row r="3478" ht="12.75"/>
    <row r="3479" ht="12.75"/>
    <row r="3480" ht="12.75"/>
    <row r="3481" ht="12.75"/>
    <row r="3482" ht="12.75"/>
    <row r="3483" ht="12.75"/>
    <row r="3484" ht="12.75"/>
    <row r="3485" ht="12.75"/>
    <row r="3486" ht="12.75"/>
    <row r="3487" ht="12.75"/>
    <row r="3488" ht="12.75"/>
    <row r="3489" ht="12.75"/>
    <row r="3490" ht="12.75"/>
    <row r="3491" ht="12.75"/>
    <row r="3492" ht="12.75"/>
    <row r="3493" ht="12.75"/>
    <row r="3494" ht="12.75"/>
    <row r="3495" ht="12.75"/>
    <row r="3496" ht="12.75"/>
    <row r="3497" ht="12.75"/>
    <row r="3498" ht="12.75"/>
    <row r="3499" ht="12.75"/>
    <row r="3500" ht="12.75"/>
    <row r="3501" ht="12.75"/>
    <row r="3502" ht="12.75"/>
    <row r="3503" ht="12.75"/>
    <row r="3504" ht="12.75"/>
    <row r="3505" ht="12.75"/>
    <row r="3506" ht="12.75"/>
    <row r="3507" ht="12.75"/>
    <row r="3508" ht="12.75"/>
    <row r="3509" ht="12.75"/>
    <row r="3510" ht="12.75"/>
    <row r="3511" ht="12.75"/>
    <row r="3512" ht="12.75"/>
    <row r="3513" ht="12.75"/>
    <row r="3514" ht="12.75"/>
    <row r="3515" ht="12.75"/>
    <row r="3516" ht="12.75"/>
    <row r="3517" ht="12.75"/>
    <row r="3518" ht="12.75"/>
    <row r="3519" ht="12.75"/>
    <row r="3520" ht="12.75"/>
    <row r="3521" ht="12.75"/>
    <row r="3522" ht="12.75"/>
    <row r="3523" ht="12.75"/>
    <row r="3524" ht="12.75"/>
    <row r="3525" ht="12.75"/>
    <row r="3526" ht="12.75"/>
    <row r="3527" ht="12.75"/>
    <row r="3528" ht="12.75"/>
    <row r="3529" ht="12.75"/>
    <row r="3530" ht="12.75"/>
    <row r="3531" ht="12.75"/>
    <row r="3532" ht="12.75"/>
    <row r="3533" ht="12.75"/>
    <row r="3534" ht="12.75"/>
    <row r="3535" ht="12.75"/>
    <row r="3536" ht="12.75"/>
    <row r="3537" ht="12.75"/>
    <row r="3538" ht="12.75"/>
    <row r="3539" ht="12.75"/>
    <row r="3540" ht="12.75"/>
    <row r="3541" ht="12.75"/>
    <row r="3542" ht="12.75"/>
    <row r="3543" ht="12.75"/>
    <row r="3544" ht="12.75"/>
    <row r="3545" ht="12.75"/>
    <row r="3546" ht="12.75"/>
    <row r="3547" ht="12.75"/>
    <row r="3548" ht="12.75"/>
    <row r="3549" ht="12.75"/>
    <row r="3550" ht="12.75"/>
    <row r="3551" ht="12.75"/>
    <row r="3552" ht="12.75"/>
    <row r="3553" ht="12.75"/>
    <row r="3554" ht="12.75"/>
    <row r="3555" ht="12.75"/>
    <row r="3556" ht="12.75"/>
    <row r="3557" ht="12.75"/>
    <row r="3558" ht="12.75"/>
    <row r="3559" ht="12.75"/>
    <row r="3560" ht="12.75"/>
    <row r="3561" ht="12.75"/>
    <row r="3562" ht="12.75"/>
    <row r="3563" ht="12.75"/>
    <row r="3564" ht="12.75"/>
    <row r="3565" ht="12.75"/>
    <row r="3566" ht="12.75"/>
    <row r="3567" ht="12.75"/>
    <row r="3568" ht="12.75"/>
    <row r="3569" ht="12.75"/>
    <row r="3570" ht="12.75"/>
    <row r="3571" ht="12.75"/>
    <row r="3572" ht="12.75"/>
    <row r="3573" ht="12.75"/>
    <row r="3574" ht="12.75"/>
    <row r="3575" ht="12.75"/>
    <row r="3576" ht="12.75"/>
    <row r="3577" ht="12.75"/>
    <row r="3578" ht="12.75"/>
    <row r="3579" ht="12.75"/>
    <row r="3580" ht="12.75"/>
    <row r="3581" ht="12.75"/>
    <row r="3582" ht="12.75"/>
    <row r="3583" ht="12.75"/>
    <row r="3584" ht="12.75"/>
    <row r="3585" ht="12.75"/>
    <row r="3586" ht="12.75"/>
    <row r="3587" ht="12.75"/>
    <row r="3588" ht="12.75"/>
    <row r="3589" ht="12.75"/>
    <row r="3590" ht="12.75"/>
    <row r="3591" ht="12.75"/>
    <row r="3592" ht="12.75"/>
    <row r="3593" ht="12.75"/>
    <row r="3594" ht="12.75"/>
    <row r="3595" ht="12.75"/>
    <row r="3596" ht="12.75"/>
    <row r="3597" ht="12.75"/>
    <row r="3598" ht="12.75"/>
    <row r="3599" ht="12.75"/>
    <row r="3600" ht="12.75"/>
    <row r="3601" ht="12.75"/>
    <row r="3602" ht="12.75"/>
    <row r="3603" ht="12.75"/>
    <row r="3604" ht="12.75"/>
    <row r="3605" ht="12.75"/>
    <row r="3606" ht="12.75"/>
    <row r="3607" ht="12.75"/>
    <row r="3608" ht="12.75"/>
    <row r="3609" ht="12.75"/>
    <row r="3610" ht="12.75"/>
    <row r="3611" ht="12.75"/>
    <row r="3612" ht="12.75"/>
    <row r="3613" ht="12.75"/>
    <row r="3614" ht="12.75"/>
    <row r="3615" ht="12.75"/>
    <row r="3616" ht="12.75"/>
    <row r="3617" ht="12.75"/>
    <row r="3618" ht="12.75"/>
    <row r="3619" ht="12.75"/>
    <row r="3620" ht="12.75"/>
    <row r="3621" ht="12.75"/>
    <row r="3622" ht="12.75"/>
    <row r="3623" ht="12.75"/>
    <row r="3624" ht="12.75"/>
    <row r="3625" ht="12.75"/>
    <row r="3626" ht="12.75"/>
    <row r="3627" ht="12.75"/>
    <row r="3628" ht="12.75"/>
    <row r="3629" ht="12.75"/>
    <row r="3630" ht="12.75"/>
    <row r="3631" ht="12.75"/>
    <row r="3632" ht="12.75"/>
    <row r="3633" ht="12.75"/>
    <row r="3634" ht="12.75"/>
    <row r="3635" ht="12.75"/>
    <row r="3636" ht="12.75"/>
    <row r="3637" ht="12.75"/>
    <row r="3638" ht="12.75"/>
    <row r="3639" ht="12.75"/>
    <row r="3640" ht="12.75"/>
    <row r="3641" ht="12.75"/>
    <row r="3642" ht="12.75"/>
    <row r="3643" ht="12.75"/>
    <row r="3644" ht="12.75"/>
    <row r="3645" ht="12.75"/>
    <row r="3646" ht="12.75"/>
    <row r="3647" ht="12.75"/>
    <row r="3648" ht="12.75"/>
    <row r="3649" ht="12.75"/>
    <row r="3650" ht="12.75"/>
    <row r="3651" ht="12.75"/>
    <row r="3652" ht="12.75"/>
    <row r="3653" ht="12.75"/>
    <row r="3654" ht="12.75"/>
    <row r="3655" ht="12.75"/>
    <row r="3656" ht="12.75"/>
    <row r="3657" ht="12.75"/>
    <row r="3658" ht="12.75"/>
    <row r="3659" ht="12.75"/>
    <row r="3660" ht="12.75"/>
    <row r="3661" ht="12.75"/>
    <row r="3662" ht="12.75"/>
    <row r="3663" ht="12.75"/>
    <row r="3664" ht="12.75"/>
    <row r="3665" ht="12.75"/>
    <row r="3666" ht="12.75"/>
    <row r="3667" ht="12.75"/>
    <row r="3668" ht="12.75"/>
    <row r="3669" ht="12.75"/>
    <row r="3670" ht="12.75"/>
    <row r="3671" ht="12.75"/>
    <row r="3672" ht="12.75"/>
    <row r="3673" ht="12.75"/>
    <row r="3674" ht="12.75"/>
    <row r="3675" ht="12.75"/>
    <row r="3676" ht="12.75"/>
    <row r="3677" ht="12.75"/>
    <row r="3678" ht="12.75"/>
    <row r="3679" ht="12.75"/>
    <row r="3680" ht="12.75"/>
    <row r="3681" ht="12.75"/>
    <row r="3682" ht="12.75"/>
    <row r="3683" ht="12.75"/>
    <row r="3684" ht="12.75"/>
    <row r="3685" ht="12.75"/>
    <row r="3686" ht="12.75"/>
    <row r="3687" ht="12.75"/>
    <row r="3688" ht="12.75"/>
    <row r="3689" ht="12.75"/>
    <row r="3690" ht="12.75"/>
    <row r="3691" ht="12.75"/>
    <row r="3692" ht="12.75"/>
    <row r="3693" ht="12.75"/>
    <row r="3694" ht="12.75"/>
    <row r="3695" ht="12.75"/>
    <row r="3696" ht="12.75"/>
    <row r="3697" ht="12.75"/>
    <row r="3698" ht="12.75"/>
    <row r="3699" ht="12.75"/>
    <row r="3700" ht="12.75"/>
    <row r="3701" ht="12.75"/>
    <row r="3702" ht="12.75"/>
    <row r="3703" ht="12.75"/>
    <row r="3704" ht="12.75"/>
    <row r="3705" ht="12.75"/>
    <row r="3706" ht="12.75"/>
    <row r="3707" ht="12.75"/>
    <row r="3708" ht="12.75"/>
    <row r="3709" ht="12.75"/>
    <row r="3710" ht="12.75"/>
    <row r="3711" ht="12.75"/>
    <row r="3712" ht="12.75"/>
    <row r="3713" ht="12.75"/>
    <row r="3714" ht="12.75"/>
    <row r="3715" ht="12.75"/>
    <row r="3716" ht="12.75"/>
    <row r="3717" ht="12.75"/>
    <row r="3718" ht="12.75"/>
    <row r="3719" ht="12.75"/>
    <row r="3720" ht="12.75"/>
    <row r="3721" ht="12.75"/>
    <row r="3722" ht="12.75"/>
    <row r="3723" ht="12.75"/>
    <row r="3724" ht="12.75"/>
    <row r="3725" ht="12.75"/>
    <row r="3726" ht="12.75"/>
    <row r="3727" ht="12.75"/>
    <row r="3728" ht="12.75"/>
    <row r="3729" ht="12.75"/>
    <row r="3730" ht="12.75"/>
    <row r="3731" ht="12.75"/>
    <row r="3732" ht="12.75"/>
    <row r="3733" ht="12.75"/>
    <row r="3734" ht="12.75"/>
    <row r="3735" ht="12.75"/>
    <row r="3736" ht="12.75"/>
    <row r="3737" ht="12.75"/>
    <row r="3738" ht="12.75"/>
    <row r="3739" ht="12.75"/>
    <row r="3740" ht="12.75"/>
    <row r="3741" ht="12.75"/>
    <row r="3742" ht="12.75"/>
    <row r="3743" ht="12.75"/>
    <row r="3744" ht="12.75"/>
    <row r="3745" ht="12.75"/>
    <row r="3746" ht="12.75"/>
    <row r="3747" ht="12.75"/>
    <row r="3748" ht="12.75"/>
    <row r="3749" ht="12.75"/>
    <row r="3750" ht="12.75"/>
    <row r="3751" ht="12.75"/>
    <row r="3752" ht="12.75"/>
    <row r="3753" ht="12.75"/>
    <row r="3754" ht="12.75"/>
    <row r="3755" ht="12.75"/>
    <row r="3756" ht="12.75"/>
    <row r="3757" ht="12.75"/>
    <row r="3758" ht="12.75"/>
    <row r="3759" ht="12.75"/>
    <row r="3760" ht="12.75"/>
    <row r="3761" ht="12.75"/>
    <row r="3762" ht="12.75"/>
    <row r="3763" ht="12.75"/>
    <row r="3764" ht="12.75"/>
    <row r="3765" ht="12.75"/>
    <row r="3766" ht="12.75"/>
    <row r="3767" ht="12.75"/>
    <row r="3768" ht="12.75"/>
    <row r="3769" ht="12.75"/>
    <row r="3770" ht="12.75"/>
    <row r="3771" ht="12.75"/>
    <row r="3772" ht="12.75"/>
    <row r="3773" ht="12.75"/>
    <row r="3774" ht="12.75"/>
    <row r="3775" ht="12.75"/>
    <row r="3776" ht="12.75"/>
    <row r="3777" ht="12.75"/>
    <row r="3778" ht="12.75"/>
    <row r="3779" ht="12.75"/>
    <row r="3780" ht="12.75"/>
    <row r="3781" ht="12.75"/>
    <row r="3782" ht="12.75"/>
    <row r="3783" ht="12.75"/>
    <row r="3784" ht="12.75"/>
    <row r="3785" ht="12.75"/>
    <row r="3786" ht="12.75"/>
    <row r="3787" ht="12.75"/>
    <row r="3788" ht="12.75"/>
    <row r="3789" ht="12.75"/>
    <row r="3790" ht="12.75"/>
    <row r="3791" ht="12.75"/>
    <row r="3792" ht="12.75"/>
    <row r="3793" ht="12.75"/>
    <row r="3794" ht="12.75"/>
    <row r="3795" ht="12.75"/>
    <row r="3796" ht="12.75"/>
    <row r="3797" ht="12.75"/>
    <row r="3798" ht="12.75"/>
    <row r="3799" ht="12.75"/>
    <row r="3800" ht="12.75"/>
    <row r="3801" ht="12.75"/>
    <row r="3802" ht="12.75"/>
    <row r="3803" ht="12.75"/>
    <row r="3804" ht="12.75"/>
    <row r="3805" ht="12.75"/>
    <row r="3806" ht="12.75"/>
    <row r="3807" ht="12.75"/>
    <row r="3808" ht="12.75"/>
    <row r="3809" ht="12.75"/>
    <row r="3810" ht="12.75"/>
    <row r="3811" ht="12.75"/>
    <row r="3812" ht="12.75"/>
    <row r="3813" ht="12.75"/>
    <row r="3814" ht="12.75"/>
    <row r="3815" ht="12.75"/>
    <row r="3816" ht="12.75"/>
    <row r="3817" ht="12.75"/>
    <row r="3818" ht="12.75"/>
    <row r="3819" ht="12.75"/>
    <row r="3820" ht="12.75"/>
    <row r="3821" ht="12.75"/>
    <row r="3822" ht="12.75"/>
    <row r="3823" ht="12.75"/>
    <row r="3824" ht="12.75"/>
    <row r="3825" ht="12.75"/>
    <row r="3826" ht="12.75"/>
    <row r="3827" ht="12.75"/>
    <row r="3828" ht="12.75"/>
    <row r="3829" ht="12.75"/>
    <row r="3830" ht="12.75"/>
    <row r="3831" ht="12.75"/>
    <row r="3832" ht="12.75"/>
    <row r="3833" ht="12.75"/>
    <row r="3834" ht="12.75"/>
    <row r="3835" ht="12.75"/>
    <row r="3836" ht="12.75"/>
    <row r="3837" ht="12.75"/>
    <row r="3838" ht="12.75"/>
    <row r="3839" ht="12.75"/>
    <row r="3840" ht="12.75"/>
    <row r="3841" ht="12.75"/>
    <row r="3842" ht="12.75"/>
    <row r="3843" ht="12.75"/>
    <row r="3844" ht="12.75"/>
    <row r="3845" ht="12.75"/>
    <row r="3846" ht="12.75"/>
    <row r="3847" ht="12.75"/>
    <row r="3848" ht="12.75"/>
    <row r="3849" ht="12.75"/>
    <row r="3850" ht="12.75"/>
    <row r="3851" ht="12.75"/>
    <row r="3852" ht="12.75"/>
    <row r="3853" ht="12.75"/>
    <row r="3854" ht="12.75"/>
    <row r="3855" ht="12.75"/>
    <row r="3856" ht="12.75"/>
    <row r="3857" ht="12.75"/>
    <row r="3858" ht="12.75"/>
    <row r="3859" ht="12.75"/>
    <row r="3860" ht="12.75"/>
    <row r="3861" ht="12.75"/>
    <row r="3862" ht="12.75"/>
    <row r="3863" ht="12.75"/>
    <row r="3864" ht="12.75"/>
    <row r="3865" ht="12.75"/>
    <row r="3866" ht="12.75"/>
    <row r="3867" ht="12.75"/>
    <row r="3868" ht="12.75"/>
    <row r="3869" ht="12.75"/>
    <row r="3870" ht="12.75"/>
    <row r="3871" ht="12.75"/>
    <row r="3872" ht="12.75"/>
    <row r="3873" ht="12.75"/>
    <row r="3874" ht="12.75"/>
    <row r="3875" ht="12.75"/>
    <row r="3876" ht="12.75"/>
    <row r="3877" ht="12.75"/>
    <row r="3878" ht="12.75"/>
    <row r="3879" ht="12.75"/>
    <row r="3880" ht="12.75"/>
    <row r="3881" ht="12.75"/>
    <row r="3882" ht="12.75"/>
    <row r="3883" ht="12.75"/>
    <row r="3884" ht="12.75"/>
    <row r="3885" ht="12.75"/>
    <row r="3886" ht="12.75"/>
    <row r="3887" ht="12.75"/>
    <row r="3888" ht="12.75"/>
    <row r="3889" ht="12.75"/>
    <row r="3890" ht="12.75"/>
    <row r="3891" ht="12.75"/>
    <row r="3892" ht="12.75"/>
    <row r="3893" ht="12.75"/>
    <row r="3894" ht="12.75"/>
    <row r="3895" ht="12.75"/>
    <row r="3896" ht="12.75"/>
    <row r="3897" ht="12.75"/>
    <row r="3898" ht="12.75"/>
    <row r="3899" ht="12.75"/>
    <row r="3900" ht="12.75"/>
    <row r="3901" ht="12.75"/>
    <row r="3902" ht="12.75"/>
    <row r="3903" ht="12.75"/>
    <row r="3904" ht="12.75"/>
    <row r="3905" ht="12.75"/>
    <row r="3906" ht="12.75"/>
    <row r="3907" ht="12.75"/>
    <row r="3908" ht="12.75"/>
    <row r="3909" ht="12.75"/>
    <row r="3910" ht="12.75"/>
    <row r="3911" ht="12.75"/>
    <row r="3912" ht="12.75"/>
    <row r="3913" ht="12.75"/>
    <row r="3914" ht="12.75"/>
    <row r="3915" ht="12.75"/>
    <row r="3916" ht="12.75"/>
    <row r="3917" ht="12.75"/>
    <row r="3918" ht="12.75"/>
    <row r="3919" ht="12.75"/>
    <row r="3920" ht="12.75"/>
    <row r="3921" ht="12.75"/>
    <row r="3922" ht="12.75"/>
    <row r="3923" ht="12.75"/>
    <row r="3924" ht="12.75"/>
    <row r="3925" ht="12.75"/>
    <row r="3926" ht="12.75"/>
    <row r="3927" ht="12.75"/>
    <row r="3928" ht="12.75"/>
    <row r="3929" ht="12.75"/>
    <row r="3930" ht="12.75"/>
    <row r="3931" ht="12.75"/>
    <row r="3932" ht="12.75"/>
    <row r="3933" ht="12.75"/>
    <row r="3934" ht="12.75"/>
    <row r="3935" ht="12.75"/>
    <row r="3936" ht="12.75"/>
    <row r="3937" ht="12.75"/>
    <row r="3938" ht="12.75"/>
    <row r="3939" ht="12.75"/>
    <row r="3940" ht="12.75"/>
    <row r="3941" ht="12.75"/>
    <row r="3942" ht="12.75"/>
    <row r="3943" ht="12.75"/>
    <row r="3944" ht="12.75"/>
    <row r="3945" ht="12.75"/>
    <row r="3946" ht="12.75"/>
    <row r="3947" ht="12.75"/>
    <row r="3948" ht="12.75"/>
    <row r="3949" ht="12.75"/>
    <row r="3950" ht="12.75"/>
    <row r="3951" ht="12.75"/>
    <row r="3952" ht="12.75"/>
    <row r="3953" ht="12.75"/>
    <row r="3954" ht="12.75"/>
    <row r="3955" ht="12.75"/>
    <row r="3956" ht="12.75"/>
    <row r="3957" ht="12.75"/>
    <row r="3958" ht="12.75"/>
    <row r="3959" ht="12.75"/>
    <row r="3960" ht="12.75"/>
    <row r="3961" ht="12.75"/>
    <row r="3962" ht="12.75"/>
    <row r="3963" ht="12.75"/>
    <row r="3964" ht="12.75"/>
    <row r="3965" ht="12.75"/>
    <row r="3966" ht="12.75"/>
    <row r="3967" ht="12.75"/>
    <row r="3968" ht="12.75"/>
    <row r="3969" ht="12.75"/>
    <row r="3970" ht="12.75"/>
    <row r="3971" ht="12.75"/>
    <row r="3972" ht="12.75"/>
    <row r="3973" ht="12.75"/>
    <row r="3974" ht="12.75"/>
    <row r="3975" ht="12.75"/>
    <row r="3976" ht="12.75"/>
    <row r="3977" ht="12.75"/>
    <row r="3978" ht="12.75"/>
    <row r="3979" ht="12.75"/>
    <row r="3980" ht="12.75"/>
    <row r="3981" ht="12.75"/>
    <row r="3982" ht="12.75"/>
    <row r="3983" ht="12.75"/>
    <row r="3984" ht="12.75"/>
    <row r="3985" ht="12.75"/>
    <row r="3986" ht="12.75"/>
    <row r="3987" ht="12.75"/>
    <row r="3988" ht="12.75"/>
    <row r="3989" ht="12.75"/>
    <row r="3990" ht="12.75"/>
    <row r="3991" ht="12.75"/>
    <row r="3992" ht="12.75"/>
    <row r="3993" ht="12.75"/>
    <row r="3994" ht="12.75"/>
    <row r="3995" ht="12.75"/>
    <row r="3996" ht="12.75"/>
    <row r="3997" ht="12.75"/>
    <row r="3998" ht="12.75"/>
    <row r="3999" ht="12.75"/>
    <row r="4000" ht="12.75"/>
    <row r="4001" ht="12.75"/>
    <row r="4002" ht="12.75"/>
    <row r="4003" ht="12.75"/>
    <row r="4004" ht="12.75"/>
    <row r="4005" ht="12.75"/>
    <row r="4006" ht="12.75"/>
    <row r="4007" ht="12.75"/>
    <row r="4008" ht="12.75"/>
    <row r="4009" ht="12.75"/>
    <row r="4010" ht="12.75"/>
    <row r="4011" ht="12.75"/>
    <row r="4012" ht="12.75"/>
    <row r="4013" ht="12.75"/>
    <row r="4014" ht="12.75"/>
    <row r="4015" ht="12.75"/>
    <row r="4016" ht="12.75"/>
    <row r="4017" ht="12.75"/>
    <row r="4018" ht="12.75"/>
    <row r="4019" ht="12.75"/>
    <row r="4020" ht="12.75"/>
    <row r="4021" ht="12.75"/>
    <row r="4022" ht="12.75"/>
    <row r="4023" ht="12.75"/>
    <row r="4024" ht="12.75"/>
    <row r="4025" ht="12.75"/>
    <row r="4026" ht="12.75"/>
    <row r="4027" ht="12.75"/>
    <row r="4028" ht="12.75"/>
    <row r="4029" ht="12.75"/>
    <row r="4030" ht="12.75"/>
    <row r="4031" ht="12.75"/>
    <row r="4032" ht="12.75"/>
    <row r="4033" ht="12.75"/>
    <row r="4034" ht="12.75"/>
    <row r="4035" ht="12.75"/>
    <row r="4036" ht="12.75"/>
    <row r="4037" ht="12.75"/>
    <row r="4038" ht="12.75"/>
    <row r="4039" ht="12.75"/>
    <row r="4040" ht="12.75"/>
    <row r="4041" ht="12.75"/>
    <row r="4042" ht="12.75"/>
    <row r="4043" ht="12.75"/>
    <row r="4044" ht="12.75"/>
    <row r="4045" ht="12.75"/>
    <row r="4046" ht="12.75"/>
    <row r="4047" ht="12.75"/>
    <row r="4048" ht="12.75"/>
    <row r="4049" ht="12.75"/>
    <row r="4050" ht="12.75"/>
    <row r="4051" ht="12.75"/>
    <row r="4052" ht="12.75"/>
    <row r="4053" ht="12.75"/>
    <row r="4054" ht="12.75"/>
    <row r="4055" ht="12.75"/>
    <row r="4056" ht="12.75"/>
    <row r="4057" ht="12.75"/>
    <row r="4058" ht="12.75"/>
    <row r="4059" ht="12.75"/>
    <row r="4060" ht="12.75"/>
    <row r="4061" ht="12.75"/>
    <row r="4062" ht="12.75"/>
    <row r="4063" ht="12.75"/>
    <row r="4064" ht="12.75"/>
    <row r="4065" ht="12.75"/>
    <row r="4066" ht="12.75"/>
    <row r="4067" ht="12.75"/>
    <row r="4068" ht="12.75"/>
    <row r="4069" ht="12.75"/>
    <row r="4070" ht="12.75"/>
    <row r="4071" ht="12.75"/>
    <row r="4072" ht="12.75"/>
    <row r="4073" ht="12.75"/>
    <row r="4074" ht="12.75"/>
    <row r="4075" ht="12.75"/>
    <row r="4076" ht="12.75"/>
    <row r="4077" ht="12.75"/>
    <row r="4078" ht="12.75"/>
    <row r="4079" ht="12.75"/>
    <row r="4080" ht="12.75"/>
    <row r="4081" ht="12.75"/>
    <row r="4082" ht="12.75"/>
    <row r="4083" ht="12.75"/>
    <row r="4084" ht="12.75"/>
    <row r="4085" ht="12.75"/>
    <row r="4086" ht="12.75"/>
    <row r="4087" ht="12.75"/>
    <row r="4088" ht="12.75"/>
    <row r="4089" ht="12.75"/>
    <row r="4090" ht="12.75"/>
    <row r="4091" ht="12.75"/>
    <row r="4092" ht="12.75"/>
    <row r="4093" ht="12.75"/>
    <row r="4094" ht="12.75"/>
    <row r="4095" ht="12.75"/>
    <row r="4096" ht="12.75"/>
    <row r="4097" ht="12.75"/>
    <row r="4098" ht="12.75"/>
    <row r="4099" ht="12.75"/>
    <row r="4100" ht="12.75"/>
    <row r="4101" ht="12.75"/>
    <row r="4102" ht="12.75"/>
    <row r="4103" ht="12.75"/>
    <row r="4104" ht="12.75"/>
    <row r="4105" ht="12.75"/>
    <row r="4106" ht="12.75"/>
    <row r="4107" ht="12.75"/>
    <row r="4108" ht="12.75"/>
    <row r="4109" ht="12.75"/>
    <row r="4110" ht="12.75"/>
    <row r="4111" ht="12.75"/>
    <row r="4112" ht="12.75"/>
    <row r="4113" ht="12.75"/>
    <row r="4114" ht="12.75"/>
    <row r="4115" ht="12.75"/>
    <row r="4116" ht="12.75"/>
    <row r="4117" ht="12.75"/>
    <row r="4118" ht="12.75"/>
    <row r="4119" ht="12.75"/>
    <row r="4120" ht="12.75"/>
    <row r="4121" ht="12.75"/>
    <row r="4122" ht="12.75"/>
    <row r="4123" ht="12.75"/>
    <row r="4124" ht="12.75"/>
    <row r="4125" ht="12.75"/>
    <row r="4126" ht="12.75"/>
    <row r="4127" ht="12.75"/>
    <row r="4128" ht="12.75"/>
    <row r="4129" ht="12.75"/>
    <row r="4130" ht="12.75"/>
    <row r="4131" ht="12.75"/>
    <row r="4132" ht="12.75"/>
    <row r="4133" ht="12.75"/>
    <row r="4134" ht="12.75"/>
    <row r="4135" ht="12.75"/>
    <row r="4136" ht="12.75"/>
    <row r="4137" ht="12.75"/>
    <row r="4138" ht="12.75"/>
    <row r="4139" ht="12.75"/>
    <row r="4140" ht="12.75"/>
    <row r="4141" ht="12.75"/>
    <row r="4142" ht="12.75"/>
    <row r="4143" ht="12.75"/>
    <row r="4144" ht="12.75"/>
    <row r="4145" ht="12.75"/>
    <row r="4146" ht="12.75"/>
    <row r="4147" ht="12.75"/>
    <row r="4148" ht="12.75"/>
    <row r="4149" ht="12.75"/>
    <row r="4150" ht="12.75"/>
    <row r="4151" ht="12.75"/>
    <row r="4152" ht="12.75"/>
    <row r="4153" ht="12.75"/>
    <row r="4154" ht="12.75"/>
    <row r="4155" ht="12.75"/>
    <row r="4156" ht="12.75"/>
    <row r="4157" ht="12.75"/>
    <row r="4158" ht="12.75"/>
    <row r="4159" ht="12.75"/>
    <row r="4160" ht="12.75"/>
    <row r="4161" ht="12.75"/>
    <row r="4162" ht="12.75"/>
    <row r="4163" ht="12.75"/>
    <row r="4164" ht="12.75"/>
    <row r="4165" ht="12.75"/>
    <row r="4166" ht="12.75"/>
    <row r="4167" ht="12.75"/>
    <row r="4168" ht="12.75"/>
    <row r="4169" ht="12.75"/>
    <row r="4170" ht="12.75"/>
    <row r="4171" ht="12.75"/>
    <row r="4172" ht="12.75"/>
    <row r="4173" ht="12.75"/>
    <row r="4174" ht="12.75"/>
    <row r="4175" ht="12.75"/>
    <row r="4176" ht="12.75"/>
    <row r="4177" ht="12.75"/>
    <row r="4178" ht="12.75"/>
    <row r="4179" ht="12.75"/>
    <row r="4180" ht="12.75"/>
    <row r="4181" ht="12.75"/>
    <row r="4182" ht="12.75"/>
    <row r="4183" ht="12.75"/>
    <row r="4184" ht="12.75"/>
    <row r="4185" ht="12.75"/>
    <row r="4186" ht="12.75"/>
    <row r="4187" ht="12.75"/>
    <row r="4188" ht="12.75"/>
    <row r="4189" ht="12.75"/>
    <row r="4190" ht="12.75"/>
    <row r="4191" ht="12.75"/>
    <row r="4192" ht="12.75"/>
    <row r="4193" ht="12.75"/>
    <row r="4194" ht="12.75"/>
    <row r="4195" ht="12.75"/>
    <row r="4196" ht="12.75"/>
    <row r="4197" ht="12.75"/>
    <row r="4198" ht="12.75"/>
    <row r="4199" ht="12.75"/>
    <row r="4200" ht="12.75"/>
    <row r="4201" ht="12.75"/>
    <row r="4202" ht="12.75"/>
    <row r="4203" ht="12.75"/>
    <row r="4204" ht="12.75"/>
    <row r="4205" ht="12.75"/>
    <row r="4206" ht="12.75"/>
    <row r="4207" ht="12.75"/>
    <row r="4208" ht="12.75"/>
    <row r="4209" ht="12.75"/>
    <row r="4210" ht="12.75"/>
    <row r="4211" ht="12.75"/>
    <row r="4212" ht="12.75"/>
    <row r="4213" ht="12.75"/>
    <row r="4214" ht="12.75"/>
    <row r="4215" ht="12.75"/>
    <row r="4216" ht="12.75"/>
    <row r="4217" ht="12.75"/>
    <row r="4218" ht="12.75"/>
    <row r="4219" ht="12.75"/>
    <row r="4220" ht="12.75"/>
    <row r="4221" ht="12.75"/>
    <row r="4222" ht="12.75"/>
    <row r="4223" ht="12.75"/>
    <row r="4224" ht="12.75"/>
    <row r="4225" ht="12.75"/>
    <row r="4226" ht="12.75"/>
    <row r="4227" ht="12.75"/>
    <row r="4228" ht="12.75"/>
    <row r="4229" ht="12.75"/>
    <row r="4230" ht="12.75"/>
    <row r="4231" ht="12.75"/>
    <row r="4232" ht="12.75"/>
    <row r="4233" ht="12.75"/>
    <row r="4234" ht="12.75"/>
    <row r="4235" ht="12.75"/>
    <row r="4236" ht="12.75"/>
    <row r="4237" ht="12.75"/>
    <row r="4238" ht="12.75"/>
    <row r="4239" ht="12.75"/>
    <row r="4240" ht="12.75"/>
    <row r="4241" ht="12.75"/>
    <row r="4242" ht="12.75"/>
    <row r="4243" ht="12.75"/>
    <row r="4244" ht="12.75"/>
    <row r="4245" ht="12.75"/>
    <row r="4246" ht="12.75"/>
    <row r="4247" ht="12.75"/>
    <row r="4248" ht="12.75"/>
    <row r="4249" ht="12.75"/>
    <row r="4250" ht="12.75"/>
    <row r="4251" ht="12.75"/>
    <row r="4252" ht="12.75"/>
    <row r="4253" ht="12.75"/>
    <row r="4254" ht="12.75"/>
    <row r="4255" ht="12.75"/>
    <row r="4256" ht="12.75"/>
    <row r="4257" ht="12.75"/>
    <row r="4258" ht="12.75"/>
    <row r="4259" ht="12.75"/>
    <row r="4260" ht="12.75"/>
    <row r="4261" ht="12.75"/>
    <row r="4262" ht="12.75"/>
    <row r="4263" ht="12.75"/>
    <row r="4264" ht="12.75"/>
    <row r="4265" ht="12.75"/>
    <row r="4266" ht="12.75"/>
    <row r="4267" ht="12.75"/>
    <row r="4268" ht="12.75"/>
    <row r="4269" ht="12.75"/>
    <row r="4270" ht="12.75"/>
    <row r="4271" ht="12.75"/>
    <row r="4272" ht="12.75"/>
    <row r="4273" ht="12.75"/>
    <row r="4274" ht="12.75"/>
    <row r="4275" ht="12.75"/>
    <row r="4276" ht="12.75"/>
    <row r="4277" ht="12.75"/>
    <row r="4278" ht="12.75"/>
    <row r="4279" ht="12.75"/>
    <row r="4280" ht="12.75"/>
    <row r="4281" ht="12.75"/>
    <row r="4282" ht="12.75"/>
    <row r="4283" ht="12.75"/>
    <row r="4284" ht="12.75"/>
    <row r="4285" ht="12.75"/>
    <row r="4286" ht="12.75"/>
    <row r="4287" ht="12.75"/>
    <row r="4288" ht="12.75"/>
    <row r="4289" ht="12.75"/>
    <row r="4290" ht="12.75"/>
    <row r="4291" ht="12.75"/>
    <row r="4292" ht="12.75"/>
    <row r="4293" ht="12.75"/>
    <row r="4294" ht="12.75"/>
    <row r="4295" ht="12.75"/>
    <row r="4296" ht="12.75"/>
    <row r="4297" ht="12.75"/>
    <row r="4298" ht="12.75"/>
    <row r="4299" ht="12.75"/>
    <row r="4300" ht="12.75"/>
    <row r="4301" ht="12.75"/>
    <row r="4302" ht="12.75"/>
    <row r="4303" ht="12.75"/>
    <row r="4304" ht="12.75"/>
    <row r="4305" ht="12.75"/>
    <row r="4306" ht="12.75"/>
    <row r="4307" ht="12.75"/>
    <row r="4308" ht="12.75"/>
    <row r="4309" ht="12.75"/>
    <row r="4310" ht="12.75"/>
    <row r="4311" ht="12.75"/>
    <row r="4312" ht="12.75"/>
    <row r="4313" ht="12.75"/>
    <row r="4314" ht="12.75"/>
    <row r="4315" ht="12.75"/>
    <row r="4316" ht="12.75"/>
    <row r="4317" ht="12.75"/>
    <row r="4318" ht="12.75"/>
    <row r="4319" ht="12.75"/>
    <row r="4320" ht="12.75"/>
    <row r="4321" ht="12.75"/>
    <row r="4322" ht="12.75"/>
    <row r="4323" ht="12.75"/>
    <row r="4324" ht="12.75"/>
    <row r="4325" ht="12.75"/>
    <row r="4326" ht="12.75"/>
    <row r="4327" ht="12.75"/>
    <row r="4328" ht="12.75"/>
    <row r="4329" ht="12.75"/>
    <row r="4330" ht="12.75"/>
    <row r="4331" ht="12.75"/>
    <row r="4332" ht="12.75"/>
    <row r="4333" ht="12.75"/>
    <row r="4334" ht="12.75"/>
    <row r="4335" ht="12.75"/>
    <row r="4336" ht="12.75"/>
    <row r="4337" ht="12.75"/>
    <row r="4338" ht="12.75"/>
    <row r="4339" ht="12.75"/>
    <row r="4340" ht="12.75"/>
    <row r="4341" ht="12.75"/>
    <row r="4342" ht="12.75"/>
    <row r="4343" ht="12.75"/>
    <row r="4344" ht="12.75"/>
    <row r="4345" ht="12.75"/>
    <row r="4346" ht="12.75"/>
    <row r="4347" ht="12.75"/>
    <row r="4348" ht="12.75"/>
    <row r="4349" ht="12.75"/>
    <row r="4350" ht="12.75"/>
    <row r="4351" ht="12.75"/>
    <row r="4352" ht="12.75"/>
    <row r="4353" ht="12.75"/>
    <row r="4354" ht="12.75"/>
    <row r="4355" ht="12.75"/>
    <row r="4356" ht="12.75"/>
    <row r="4357" ht="12.75"/>
    <row r="4358" ht="12.75"/>
    <row r="4359" ht="12.75"/>
    <row r="4360" ht="12.75"/>
    <row r="4361" ht="12.75"/>
    <row r="4362" ht="12.75"/>
    <row r="4363" ht="12.75"/>
    <row r="4364" ht="12.75"/>
    <row r="4365" ht="12.75"/>
    <row r="4366" ht="12.75"/>
    <row r="4367" ht="12.75"/>
    <row r="4368" ht="12.75"/>
    <row r="4369" ht="12.75"/>
    <row r="4370" ht="12.75"/>
    <row r="4371" ht="12.75"/>
    <row r="4372" ht="12.75"/>
    <row r="4373" ht="12.75"/>
    <row r="4374" ht="12.75"/>
    <row r="4375" ht="12.75"/>
    <row r="4376" ht="12.75"/>
    <row r="4377" ht="12.75"/>
    <row r="4378" ht="12.75"/>
    <row r="4379" ht="12.75"/>
    <row r="4380" ht="12.75"/>
    <row r="4381" ht="12.75"/>
    <row r="4382" ht="12.75"/>
    <row r="4383" ht="12.75"/>
    <row r="4384" ht="12.75"/>
    <row r="4385" ht="12.75"/>
    <row r="4386" ht="12.75"/>
    <row r="4387" ht="12.75"/>
    <row r="4388" ht="12.75"/>
    <row r="4389" ht="12.75"/>
    <row r="4390" ht="12.75"/>
    <row r="4391" ht="12.75"/>
    <row r="4392" ht="12.75"/>
    <row r="4393" ht="12.75"/>
    <row r="4394" ht="12.75"/>
    <row r="4395" ht="12.75"/>
    <row r="4396" ht="12.75"/>
    <row r="4397" ht="12.75"/>
    <row r="4398" ht="12.75"/>
    <row r="4399" ht="12.75"/>
    <row r="4400" ht="12.75"/>
    <row r="4401" ht="12.75"/>
    <row r="4402" ht="12.75"/>
    <row r="4403" ht="12.75"/>
    <row r="4404" ht="12.75"/>
    <row r="4405" ht="12.75"/>
    <row r="4406" ht="12.75"/>
    <row r="4407" ht="12.75"/>
    <row r="4408" ht="12.75"/>
    <row r="4409" ht="12.75"/>
    <row r="4410" ht="12.75"/>
    <row r="4411" ht="12.75"/>
    <row r="4412" ht="12.75"/>
    <row r="4413" ht="12.75"/>
    <row r="4414" ht="12.75"/>
    <row r="4415" ht="12.75"/>
    <row r="4416" ht="12.75"/>
    <row r="4417" ht="12.75"/>
    <row r="4418" ht="12.75"/>
    <row r="4419" ht="12.75"/>
    <row r="4420" ht="12.75"/>
    <row r="4421" ht="12.75"/>
    <row r="4422" ht="12.75"/>
    <row r="4423" ht="12.75"/>
    <row r="4424" ht="12.75"/>
    <row r="4425" ht="12.75"/>
    <row r="4426" ht="12.75"/>
    <row r="4427" ht="12.75"/>
    <row r="4428" ht="12.75"/>
    <row r="4429" ht="12.75"/>
    <row r="4430" ht="12.75"/>
    <row r="4431" ht="12.75"/>
    <row r="4432" ht="12.75"/>
    <row r="4433" ht="12.75"/>
    <row r="4434" ht="12.75"/>
    <row r="4435" ht="12.75"/>
    <row r="4436" ht="12.75"/>
    <row r="4437" ht="12.75"/>
    <row r="4438" ht="12.75"/>
    <row r="4439" ht="12.75"/>
    <row r="4440" ht="12.75"/>
    <row r="4441" ht="12.75"/>
    <row r="4442" ht="12.75"/>
    <row r="4443" ht="12.75"/>
    <row r="4444" ht="12.75"/>
    <row r="4445" ht="12.75"/>
    <row r="4446" ht="12.75"/>
    <row r="4447" ht="12.75"/>
    <row r="4448" ht="12.75"/>
    <row r="4449" ht="12.75"/>
    <row r="4450" ht="12.75"/>
    <row r="4451" ht="12.75"/>
    <row r="4452" ht="12.75"/>
    <row r="4453" ht="12.75"/>
    <row r="4454" ht="12.75"/>
    <row r="4455" ht="12.75"/>
    <row r="4456" ht="12.75"/>
    <row r="4457" ht="12.75"/>
    <row r="4458" ht="12.75"/>
    <row r="4459" ht="12.75"/>
    <row r="4460" ht="12.75"/>
    <row r="4461" ht="12.75"/>
    <row r="4462" ht="12.75"/>
    <row r="4463" ht="12.75"/>
    <row r="4464" ht="12.75"/>
    <row r="4465" ht="12.75"/>
    <row r="4466" ht="12.75"/>
    <row r="4467" ht="12.75"/>
    <row r="4468" ht="12.75"/>
    <row r="4469" ht="12.75"/>
    <row r="4470" ht="12.75"/>
    <row r="4471" ht="12.75"/>
    <row r="4472" ht="12.75"/>
    <row r="4473" ht="12.75"/>
    <row r="4474" ht="12.75"/>
    <row r="4475" ht="12.75"/>
    <row r="4476" ht="12.75"/>
    <row r="4477" ht="12.75"/>
    <row r="4478" ht="12.75"/>
    <row r="4479" ht="12.75"/>
    <row r="4480" ht="12.75"/>
    <row r="4481" ht="12.75"/>
    <row r="4482" ht="12.75"/>
    <row r="4483" ht="12.75"/>
    <row r="4484" ht="12.75"/>
    <row r="4485" ht="12.75"/>
    <row r="4486" ht="12.75"/>
    <row r="4487" ht="12.75"/>
    <row r="4488" ht="12.75"/>
    <row r="4489" ht="12.75"/>
    <row r="4490" ht="12.75"/>
    <row r="4491" ht="12.75"/>
    <row r="4492" ht="12.75"/>
    <row r="4493" ht="12.75"/>
    <row r="4494" ht="12.75"/>
    <row r="4495" ht="12.75"/>
    <row r="4496" ht="12.75"/>
    <row r="4497" ht="12.75"/>
    <row r="4498" ht="12.75"/>
    <row r="4499" ht="12.75"/>
    <row r="4500" ht="12.75"/>
    <row r="4501" ht="12.75"/>
    <row r="4502" ht="12.75"/>
    <row r="4503" ht="12.75"/>
    <row r="4504" ht="12.75"/>
    <row r="4505" ht="12.75"/>
    <row r="4506" ht="12.75"/>
    <row r="4507" ht="12.75"/>
    <row r="4508" ht="12.75"/>
    <row r="4509" ht="12.75"/>
    <row r="4510" ht="12.75"/>
    <row r="4511" ht="12.75"/>
    <row r="4512" ht="12.75"/>
    <row r="4513" ht="12.75"/>
    <row r="4514" ht="12.75"/>
    <row r="4515" ht="12.75"/>
    <row r="4516" ht="12.75"/>
    <row r="4517" ht="12.75"/>
    <row r="4518" ht="12.75"/>
    <row r="4519" ht="12.75"/>
    <row r="4520" ht="12.75"/>
    <row r="4521" ht="12.75"/>
    <row r="4522" ht="12.75"/>
    <row r="4523" ht="12.75"/>
    <row r="4524" ht="12.75"/>
    <row r="4525" ht="12.75"/>
    <row r="4526" ht="12.75"/>
    <row r="4527" ht="12.75"/>
    <row r="4528" ht="12.75"/>
    <row r="4529" ht="12.75"/>
    <row r="4530" ht="12.75"/>
    <row r="4531" ht="12.75"/>
    <row r="4532" ht="12.75"/>
    <row r="4533" ht="12.75"/>
    <row r="4534" ht="12.75"/>
    <row r="4535" ht="12.75"/>
    <row r="4536" ht="12.75"/>
    <row r="4537" ht="12.75"/>
    <row r="4538" ht="12.75"/>
    <row r="4539" ht="12.75"/>
    <row r="4540" ht="12.75"/>
    <row r="4541" ht="12.75"/>
    <row r="4542" ht="12.75"/>
    <row r="4543" ht="12.75"/>
    <row r="4544" ht="12.75"/>
    <row r="4545" ht="12.75"/>
    <row r="4546" ht="12.75"/>
    <row r="4547" ht="12.75"/>
    <row r="4548" ht="12.75"/>
    <row r="4549" ht="12.75"/>
    <row r="4550" ht="12.75"/>
    <row r="4551" ht="12.75"/>
    <row r="4552" ht="12.75"/>
    <row r="4553" ht="12.75"/>
    <row r="4554" ht="12.75"/>
    <row r="4555" ht="12.75"/>
    <row r="4556" ht="12.75"/>
    <row r="4557" ht="12.75"/>
    <row r="4558" ht="12.75"/>
    <row r="4559" ht="12.75"/>
    <row r="4560" ht="12.75"/>
    <row r="4561" ht="12.75"/>
    <row r="4562" ht="12.75"/>
    <row r="4563" ht="12.75"/>
    <row r="4564" ht="12.75"/>
    <row r="4565" ht="12.75"/>
    <row r="4566" ht="12.75"/>
    <row r="4567" ht="12.75"/>
    <row r="4568" ht="12.75"/>
    <row r="4569" ht="12.75"/>
    <row r="4570" ht="12.75"/>
    <row r="4571" ht="12.75"/>
    <row r="4572" ht="12.75"/>
    <row r="4573" ht="12.75"/>
    <row r="4574" ht="12.75"/>
    <row r="4575" ht="12.75"/>
    <row r="4576" ht="12.75"/>
    <row r="4577" ht="12.75"/>
    <row r="4578" ht="12.75"/>
    <row r="4579" ht="12.75"/>
    <row r="4580" ht="12.75"/>
    <row r="4581" ht="12.75"/>
    <row r="4582" ht="12.75"/>
    <row r="4583" ht="12.75"/>
    <row r="4584" ht="12.75"/>
    <row r="4585" ht="12.75"/>
    <row r="4586" ht="12.75"/>
    <row r="4587" ht="12.75"/>
    <row r="4588" ht="12.75"/>
    <row r="4589" ht="12.75"/>
    <row r="4590" ht="12.75"/>
    <row r="4591" ht="12.75"/>
    <row r="4592" ht="12.75"/>
    <row r="4593" ht="12.75"/>
    <row r="4594" ht="12.75"/>
    <row r="4595" ht="12.75"/>
    <row r="4596" ht="12.75"/>
    <row r="4597" ht="12.75"/>
    <row r="4598" ht="12.75"/>
    <row r="4599" ht="12.75"/>
    <row r="4600" ht="12.75"/>
    <row r="4601" ht="12.75"/>
    <row r="4602" ht="12.75"/>
    <row r="4603" ht="12.75"/>
    <row r="4604" ht="12.75"/>
    <row r="4605" ht="12.75"/>
    <row r="4606" ht="12.75"/>
    <row r="4607" ht="12.75"/>
    <row r="4608" ht="12.75"/>
    <row r="4609" ht="12.75"/>
    <row r="4610" ht="12.75"/>
    <row r="4611" ht="12.75"/>
    <row r="4612" ht="12.75"/>
    <row r="4613" ht="12.75"/>
    <row r="4614" ht="12.75"/>
    <row r="4615" ht="12.75"/>
    <row r="4616" ht="12.75"/>
    <row r="4617" ht="12.75"/>
    <row r="4618" ht="12.75"/>
    <row r="4619" ht="12.75"/>
    <row r="4620" ht="12.75"/>
    <row r="4621" ht="12.75"/>
    <row r="4622" ht="12.75"/>
    <row r="4623" ht="12.75"/>
    <row r="4624" ht="12.75"/>
    <row r="4625" ht="12.75"/>
    <row r="4626" ht="12.75"/>
    <row r="4627" ht="12.75"/>
    <row r="4628" ht="12.75"/>
    <row r="4629" ht="12.75"/>
    <row r="4630" ht="12.75"/>
    <row r="4631" ht="12.75"/>
    <row r="4632" ht="12.75"/>
    <row r="4633" ht="12.75"/>
    <row r="4634" ht="12.75"/>
    <row r="4635" ht="12.75"/>
    <row r="4636" ht="12.75"/>
    <row r="4637" ht="12.75"/>
    <row r="4638" ht="12.75"/>
    <row r="4639" ht="12.75"/>
    <row r="4640" ht="12.75"/>
    <row r="4641" ht="12.75"/>
    <row r="4642" ht="12.75"/>
    <row r="4643" ht="12.75"/>
    <row r="4644" ht="12.75"/>
    <row r="4645" ht="12.75"/>
    <row r="4646" ht="12.75"/>
    <row r="4647" ht="12.75"/>
    <row r="4648" ht="12.75"/>
    <row r="4649" ht="12.75"/>
    <row r="4650" ht="12.75"/>
    <row r="4651" ht="12.75"/>
    <row r="4652" ht="12.75"/>
    <row r="4653" ht="12.75"/>
    <row r="4654" ht="12.75"/>
    <row r="4655" ht="12.75"/>
    <row r="4656" ht="12.75"/>
    <row r="4657" ht="12.75"/>
    <row r="4658" ht="12.75"/>
    <row r="4659" ht="12.75"/>
    <row r="4660" ht="12.75"/>
    <row r="4661" ht="12.75"/>
    <row r="4662" ht="12.75"/>
    <row r="4663" ht="12.75"/>
    <row r="4664" ht="12.75"/>
    <row r="4665" ht="12.75"/>
    <row r="4666" ht="12.75"/>
    <row r="4667" ht="12.75"/>
    <row r="4668" ht="12.75"/>
    <row r="4669" ht="12.75"/>
    <row r="4670" ht="12.75"/>
    <row r="4671" ht="12.75"/>
    <row r="4672" ht="12.75"/>
    <row r="4673" ht="12.75"/>
    <row r="4674" ht="12.75"/>
    <row r="4675" ht="12.75"/>
    <row r="4676" ht="12.75"/>
    <row r="4677" ht="12.75"/>
    <row r="4678" ht="12.75"/>
    <row r="4679" ht="12.75"/>
    <row r="4680" ht="12.75"/>
    <row r="4681" ht="12.75"/>
    <row r="4682" ht="12.75"/>
    <row r="4683" ht="12.75"/>
    <row r="4684" ht="12.75"/>
    <row r="4685" ht="12.75"/>
    <row r="4686" ht="12.75"/>
    <row r="4687" ht="12.75"/>
    <row r="4688" ht="12.75"/>
    <row r="4689" ht="12.75"/>
    <row r="4690" ht="12.75"/>
    <row r="4691" ht="12.75"/>
    <row r="4692" ht="12.75"/>
    <row r="4693" ht="12.75"/>
    <row r="4694" ht="12.75"/>
    <row r="4695" ht="12.75"/>
    <row r="4696" ht="12.75"/>
    <row r="4697" ht="12.75"/>
    <row r="4698" ht="12.75"/>
    <row r="4699" ht="12.75"/>
    <row r="4700" ht="12.75"/>
    <row r="4701" ht="12.75"/>
    <row r="4702" ht="12.75"/>
    <row r="4703" ht="12.75"/>
    <row r="4704" ht="12.75"/>
    <row r="4705" ht="12.75"/>
    <row r="4706" ht="12.75"/>
    <row r="4707" ht="12.75"/>
    <row r="4708" ht="12.75"/>
    <row r="4709" ht="12.75"/>
    <row r="4710" ht="12.75"/>
    <row r="4711" ht="12.75"/>
    <row r="4712" ht="12.75"/>
    <row r="4713" ht="12.75"/>
    <row r="4714" ht="12.75"/>
    <row r="4715" ht="12.75"/>
    <row r="4716" ht="12.75"/>
    <row r="4717" ht="12.75"/>
    <row r="4718" ht="12.75"/>
    <row r="4719" ht="12.75"/>
    <row r="4720" ht="12.75"/>
    <row r="4721" ht="12.75"/>
    <row r="4722" ht="12.75"/>
    <row r="4723" ht="12.75"/>
    <row r="4724" ht="12.75"/>
    <row r="4725" ht="12.75"/>
    <row r="4726" ht="12.75"/>
    <row r="4727" ht="12.75"/>
    <row r="4728" ht="12.75"/>
    <row r="4729" ht="12.75"/>
    <row r="4730" ht="12.75"/>
    <row r="4731" ht="12.75"/>
    <row r="4732" ht="12.75"/>
    <row r="4733" ht="12.75"/>
    <row r="4734" ht="12.75"/>
    <row r="4735" ht="12.75"/>
    <row r="4736" ht="12.75"/>
    <row r="4737" ht="12.75"/>
    <row r="4738" ht="12.75"/>
    <row r="4739" ht="12.75"/>
    <row r="4740" ht="12.75"/>
    <row r="4741" ht="12.75"/>
    <row r="4742" ht="12.75"/>
    <row r="4743" ht="12.75"/>
    <row r="4744" ht="12.75"/>
    <row r="4745" ht="12.75"/>
    <row r="4746" ht="12.75"/>
    <row r="4747" ht="12.75"/>
    <row r="4748" ht="12.75"/>
    <row r="4749" ht="12.75"/>
    <row r="4750" ht="12.75"/>
    <row r="4751" ht="12.75"/>
    <row r="4752" ht="12.75"/>
    <row r="4753" ht="12.75"/>
    <row r="4754" ht="12.75"/>
    <row r="4755" ht="12.75"/>
    <row r="4756" ht="12.75"/>
    <row r="4757" ht="12.75"/>
    <row r="4758" ht="12.75"/>
    <row r="4759" ht="12.75"/>
    <row r="4760" ht="12.75"/>
    <row r="4761" ht="12.75"/>
    <row r="4762" ht="12.75"/>
    <row r="4763" ht="12.75"/>
    <row r="4764" ht="12.75"/>
    <row r="4765" ht="12.75"/>
    <row r="4766" ht="12.75"/>
    <row r="4767" ht="12.75"/>
    <row r="4768" ht="12.75"/>
    <row r="4769" ht="12.75"/>
    <row r="4770" ht="12.75"/>
    <row r="4771" ht="12.75"/>
    <row r="4772" ht="12.75"/>
    <row r="4773" ht="12.75"/>
    <row r="4774" ht="12.75"/>
    <row r="4775" ht="12.75"/>
    <row r="4776" ht="12.75"/>
    <row r="4777" ht="12.75"/>
    <row r="4778" ht="12.75"/>
    <row r="4779" ht="12.75"/>
    <row r="4780" ht="12.75"/>
    <row r="4781" ht="12.75"/>
    <row r="4782" ht="12.75"/>
    <row r="4783" ht="12.75"/>
    <row r="4784" ht="12.75"/>
    <row r="4785" ht="12.75"/>
    <row r="4786" ht="12.75"/>
    <row r="4787" ht="12.75"/>
    <row r="4788" ht="12.75"/>
    <row r="4789" ht="12.75"/>
    <row r="4790" ht="12.75"/>
    <row r="4791" ht="12.75"/>
    <row r="4792" ht="12.75"/>
    <row r="4793" ht="12.75"/>
    <row r="4794" ht="12.75"/>
    <row r="4795" ht="12.75"/>
    <row r="4796" ht="12.75"/>
    <row r="4797" ht="12.75"/>
    <row r="4798" ht="12.75"/>
    <row r="4799" ht="12.75"/>
    <row r="4800" ht="12.75"/>
    <row r="4801" ht="12.75"/>
    <row r="4802" ht="12.75"/>
    <row r="4803" ht="12.75"/>
    <row r="4804" ht="12.75"/>
    <row r="4805" ht="12.75"/>
    <row r="4806" ht="12.75"/>
    <row r="4807" ht="12.75"/>
    <row r="4808" ht="12.75"/>
    <row r="4809" ht="12.75"/>
    <row r="4810" ht="12.75"/>
    <row r="4811" ht="12.75"/>
    <row r="4812" ht="12.75"/>
    <row r="4813" ht="12.75"/>
    <row r="4814" ht="12.75"/>
    <row r="4815" ht="12.75"/>
    <row r="4816" ht="12.75"/>
    <row r="4817" ht="12.75"/>
    <row r="4818" ht="12.75"/>
    <row r="4819" ht="12.75"/>
    <row r="4820" ht="12.75"/>
    <row r="4821" ht="12.75"/>
    <row r="4822" ht="12.75"/>
    <row r="4823" ht="12.75"/>
    <row r="4824" ht="12.75"/>
    <row r="4825" ht="12.75"/>
    <row r="4826" ht="12.75"/>
    <row r="4827" ht="12.75"/>
    <row r="4828" ht="12.75"/>
    <row r="4829" ht="12.75"/>
    <row r="4830" ht="12.75"/>
    <row r="4831" ht="12.75"/>
    <row r="4832" ht="12.75"/>
    <row r="4833" ht="12.75"/>
    <row r="4834" ht="12.75"/>
    <row r="4835" ht="12.75"/>
    <row r="4836" ht="12.75"/>
    <row r="4837" ht="12.75"/>
    <row r="4838" ht="12.75"/>
    <row r="4839" ht="12.75"/>
    <row r="4840" ht="12.75"/>
    <row r="4841" ht="12.75"/>
    <row r="4842" ht="12.75"/>
    <row r="4843" ht="12.75"/>
    <row r="4844" ht="12.75"/>
    <row r="4845" ht="12.75"/>
    <row r="4846" ht="12.75"/>
    <row r="4847" ht="12.75"/>
    <row r="4848" ht="12.75"/>
    <row r="4849" ht="12.75"/>
    <row r="4850" ht="12.75"/>
    <row r="4851" ht="12.75"/>
    <row r="4852" ht="12.75"/>
    <row r="4853" ht="12.75"/>
    <row r="4854" ht="12.75"/>
    <row r="4855" ht="12.75"/>
    <row r="4856" ht="12.75"/>
    <row r="4857" ht="12.75"/>
    <row r="4858" ht="12.75"/>
    <row r="4859" ht="12.75"/>
    <row r="4860" ht="12.75"/>
    <row r="4861" ht="12.75"/>
    <row r="4862" ht="12.75"/>
    <row r="4863" ht="12.75"/>
    <row r="4864" ht="12.75"/>
    <row r="4865" ht="12.75"/>
    <row r="4866" ht="12.75"/>
    <row r="4867" ht="12.75"/>
    <row r="4868" ht="12.75"/>
    <row r="4869" ht="12.75"/>
    <row r="4870" ht="12.75"/>
    <row r="4871" ht="12.75"/>
    <row r="4872" ht="12.75"/>
    <row r="4873" ht="12.75"/>
    <row r="4874" ht="12.75"/>
    <row r="4875" ht="12.75"/>
    <row r="4876" ht="12.75"/>
    <row r="4877" ht="12.75"/>
    <row r="4878" ht="12.75"/>
    <row r="4879" ht="12.75"/>
    <row r="4880" ht="12.75"/>
    <row r="4881" ht="12.75"/>
    <row r="4882" ht="12.75"/>
    <row r="4883" ht="12.75"/>
    <row r="4884" ht="12.75"/>
    <row r="4885" ht="12.75"/>
    <row r="4886" ht="12.75"/>
    <row r="4887" ht="12.75"/>
    <row r="4888" ht="12.75"/>
    <row r="4889" ht="12.75"/>
    <row r="4890" ht="12.75"/>
    <row r="4891" ht="12.75"/>
    <row r="4892" ht="12.75"/>
    <row r="4893" ht="12.75"/>
    <row r="4894" ht="12.75"/>
    <row r="4895" ht="12.75"/>
    <row r="4896" ht="12.75"/>
    <row r="4897" ht="12.75"/>
    <row r="4898" ht="12.75"/>
    <row r="4899" ht="12.75"/>
    <row r="4900" ht="12.75"/>
    <row r="4901" ht="12.75"/>
    <row r="4902" ht="12.75"/>
    <row r="4903" ht="12.75"/>
    <row r="4904" ht="12.75"/>
    <row r="4905" ht="12.75"/>
    <row r="4906" ht="12.75"/>
    <row r="4907" ht="12.75"/>
    <row r="4908" ht="12.75"/>
    <row r="4909" ht="12.75"/>
    <row r="4910" ht="12.75"/>
    <row r="4911" ht="12.75"/>
    <row r="4912" ht="12.75"/>
    <row r="4913" ht="12.75"/>
    <row r="4914" ht="12.75"/>
    <row r="4915" ht="12.75"/>
    <row r="4916" ht="12.75"/>
    <row r="4917" ht="12.75"/>
    <row r="4918" ht="12.75"/>
    <row r="4919" ht="12.75"/>
    <row r="4920" ht="12.75"/>
    <row r="4921" ht="12.75"/>
    <row r="4922" ht="12.75"/>
    <row r="4923" ht="12.75"/>
    <row r="4924" ht="12.75"/>
    <row r="4925" ht="12.75"/>
    <row r="4926" ht="12.75"/>
    <row r="4927" ht="12.75"/>
    <row r="4928" ht="12.75"/>
    <row r="4929" ht="12.75"/>
    <row r="4930" ht="12.75"/>
    <row r="4931" ht="12.75"/>
    <row r="4932" ht="12.75"/>
    <row r="4933" ht="12.75"/>
    <row r="4934" ht="12.75"/>
    <row r="4935" ht="12.75"/>
    <row r="4936" ht="12.75"/>
    <row r="4937" ht="12.75"/>
    <row r="4938" ht="12.75"/>
    <row r="4939" ht="12.75"/>
    <row r="4940" ht="12.75"/>
    <row r="4941" ht="12.75"/>
    <row r="4942" ht="12.75"/>
    <row r="4943" ht="12.75"/>
    <row r="4944" ht="12.75"/>
    <row r="4945" ht="12.75"/>
    <row r="4946" ht="12.75"/>
    <row r="4947" ht="12.75"/>
    <row r="4948" ht="12.75"/>
    <row r="4949" ht="12.75"/>
    <row r="4950" ht="12.75"/>
    <row r="4951" ht="12.75"/>
    <row r="4952" ht="12.75"/>
    <row r="4953" ht="12.75"/>
    <row r="4954" ht="12.75"/>
    <row r="4955" ht="12.75"/>
    <row r="4956" ht="12.75"/>
    <row r="4957" ht="12.75"/>
    <row r="4958" ht="12.75"/>
    <row r="4959" ht="12.75"/>
    <row r="4960" ht="12.75"/>
    <row r="4961" ht="12.75"/>
    <row r="4962" ht="12.75"/>
    <row r="4963" ht="12.75"/>
    <row r="4964" ht="12.75"/>
    <row r="4965" ht="12.75"/>
    <row r="4966" ht="12.75"/>
    <row r="4967" ht="12.75"/>
    <row r="4968" ht="12.75"/>
    <row r="4969" ht="12.75"/>
    <row r="4970" ht="12.75"/>
    <row r="4971" ht="12.75"/>
    <row r="4972" ht="12.75"/>
    <row r="4973" ht="12.75"/>
    <row r="4974" ht="12.75"/>
    <row r="4975" ht="12.75"/>
    <row r="4976" ht="12.75"/>
    <row r="4977" ht="12.75"/>
    <row r="4978" ht="12.75"/>
    <row r="4979" ht="12.75"/>
    <row r="4980" ht="12.75"/>
    <row r="4981" ht="12.75"/>
    <row r="4982" ht="12.75"/>
    <row r="4983" ht="12.75"/>
    <row r="4984" ht="12.75"/>
    <row r="4985" ht="12.75"/>
    <row r="4986" ht="12.75"/>
    <row r="4987" ht="12.75"/>
    <row r="4988" ht="12.75"/>
    <row r="4989" ht="12.75"/>
    <row r="4990" ht="12.75"/>
    <row r="4991" ht="12.75"/>
    <row r="4992" ht="12.75"/>
    <row r="4993" ht="12.75"/>
    <row r="4994" ht="12.75"/>
    <row r="4995" ht="12.75"/>
    <row r="4996" ht="12.75"/>
    <row r="4997" ht="12.75"/>
    <row r="4998" ht="12.75"/>
    <row r="4999" ht="12.75"/>
    <row r="5000" ht="12.75"/>
    <row r="5001" ht="12.75"/>
    <row r="5002" ht="12.75"/>
    <row r="5003" ht="12.75"/>
    <row r="5004" ht="12.75"/>
    <row r="5005" ht="12.75"/>
    <row r="5006" ht="12.75"/>
    <row r="5007" ht="12.75"/>
    <row r="5008" ht="12.75"/>
    <row r="5009" ht="12.75"/>
    <row r="5010" ht="12.75"/>
    <row r="5011" ht="12.75"/>
    <row r="5012" ht="12.75"/>
    <row r="5013" ht="12.75"/>
    <row r="5014" ht="12.75"/>
    <row r="5015" ht="12.75"/>
    <row r="5016" ht="12.75"/>
    <row r="5017" ht="12.75"/>
    <row r="5018" ht="12.75"/>
    <row r="5019" ht="12.75"/>
    <row r="5020" ht="12.75"/>
    <row r="5021" ht="12.75"/>
    <row r="5022" ht="12.75"/>
    <row r="5023" ht="12.75"/>
    <row r="5024" ht="12.75"/>
    <row r="5025" ht="12.75"/>
    <row r="5026" ht="12.75"/>
    <row r="5027" ht="12.75"/>
    <row r="5028" ht="12.75"/>
    <row r="5029" ht="12.75"/>
    <row r="5030" ht="12.75"/>
    <row r="5031" ht="12.75"/>
    <row r="5032" ht="12.75"/>
    <row r="5033" ht="12.75"/>
    <row r="5034" ht="12.75"/>
    <row r="5035" ht="12.75"/>
    <row r="5036" ht="12.75"/>
    <row r="5037" ht="12.75"/>
    <row r="5038" ht="12.75"/>
    <row r="5039" ht="12.75"/>
    <row r="5040" ht="12.75"/>
    <row r="5041" ht="12.75"/>
    <row r="5042" ht="12.75"/>
    <row r="5043" ht="12.75"/>
    <row r="5044" ht="12.75"/>
    <row r="5045" ht="12.75"/>
    <row r="5046" ht="12.75"/>
    <row r="5047" ht="12.75"/>
    <row r="5048" ht="12.75"/>
    <row r="5049" ht="12.75"/>
    <row r="5050" ht="12.75"/>
    <row r="5051" ht="12.75"/>
    <row r="5052" ht="12.75"/>
    <row r="5053" ht="12.75"/>
    <row r="5054" ht="12.75"/>
    <row r="5055" ht="12.75"/>
    <row r="5056" ht="12.75"/>
    <row r="5057" ht="12.75"/>
    <row r="5058" ht="12.75"/>
    <row r="5059" ht="12.75"/>
    <row r="5060" ht="12.75"/>
    <row r="5061" ht="12.75"/>
    <row r="5062" ht="12.75"/>
    <row r="5063" ht="12.75"/>
    <row r="5064" ht="12.75"/>
    <row r="5065" ht="12.75"/>
    <row r="5066" ht="12.75"/>
    <row r="5067" ht="12.75"/>
    <row r="5068" ht="12.75"/>
    <row r="5069" ht="12.75"/>
    <row r="5070" ht="12.75"/>
    <row r="5071" ht="12.75"/>
    <row r="5072" ht="12.75"/>
    <row r="5073" ht="12.75"/>
    <row r="5074" ht="12.75"/>
    <row r="5075" ht="12.75"/>
    <row r="5076" ht="12.75"/>
    <row r="5077" ht="12.75"/>
    <row r="5078" ht="12.75"/>
    <row r="5079" ht="12.75"/>
    <row r="5080" ht="12.75"/>
    <row r="5081" ht="12.75"/>
    <row r="5082" ht="12.75"/>
    <row r="5083" ht="12.75"/>
    <row r="5084" ht="12.75"/>
    <row r="5085" ht="12.75"/>
    <row r="5086" ht="12.75"/>
    <row r="5087" ht="12.75"/>
    <row r="5088" ht="12.75"/>
    <row r="5089" ht="12.75"/>
    <row r="5090" ht="12.75"/>
    <row r="5091" ht="12.75"/>
    <row r="5092" ht="12.75"/>
    <row r="5093" ht="12.75"/>
    <row r="5094" ht="12.75"/>
    <row r="5095" ht="12.75"/>
    <row r="5096" ht="12.75"/>
    <row r="5097" ht="12.75"/>
    <row r="5098" ht="12.75"/>
    <row r="5099" ht="12.75"/>
    <row r="5100" ht="12.75"/>
    <row r="5101" ht="12.75"/>
    <row r="5102" ht="12.75"/>
    <row r="5103" ht="12.75"/>
    <row r="5104" ht="12.75"/>
    <row r="5105" ht="12.75"/>
    <row r="5106" ht="12.75"/>
    <row r="5107" ht="12.75"/>
    <row r="5108" ht="12.75"/>
    <row r="5109" ht="12.75"/>
    <row r="5110" ht="12.75"/>
    <row r="5111" ht="12.75"/>
    <row r="5112" ht="12.75"/>
    <row r="5113" ht="12.75"/>
    <row r="5114" ht="12.75"/>
    <row r="5115" ht="12.75"/>
    <row r="5116" ht="12.75"/>
    <row r="5117" ht="12.75"/>
    <row r="5118" ht="12.75"/>
    <row r="5119" ht="12.75"/>
    <row r="5120" ht="12.75"/>
    <row r="5121" ht="12.75"/>
    <row r="5122" ht="12.75"/>
    <row r="5123" ht="12.75"/>
    <row r="5124" ht="12.75"/>
    <row r="5125" ht="12.75"/>
    <row r="5126" ht="12.75"/>
    <row r="5127" ht="12.75"/>
    <row r="5128" ht="12.75"/>
    <row r="5129" ht="12.75"/>
    <row r="5130" ht="12.75"/>
    <row r="5131" ht="12.75"/>
    <row r="5132" ht="12.75"/>
    <row r="5133" ht="12.75"/>
    <row r="5134" ht="12.75"/>
    <row r="5135" ht="12.75"/>
    <row r="5136" ht="12.75"/>
    <row r="5137" ht="12.75"/>
    <row r="5138" ht="12.75"/>
    <row r="5139" ht="12.75"/>
    <row r="5140" ht="12.75"/>
    <row r="5141" ht="12.75"/>
    <row r="5142" ht="12.75"/>
    <row r="5143" ht="12.75"/>
    <row r="5144" ht="12.75"/>
    <row r="5145" ht="12.75"/>
    <row r="5146" ht="12.75"/>
    <row r="5147" ht="12.75"/>
    <row r="5148" ht="12.75"/>
    <row r="5149" ht="12.75"/>
    <row r="5150" ht="12.75"/>
    <row r="5151" ht="12.75"/>
    <row r="5152" ht="12.75"/>
    <row r="5153" ht="12.75"/>
    <row r="5154" ht="12.75"/>
    <row r="5155" ht="12.75"/>
    <row r="5156" ht="12.75"/>
    <row r="5157" ht="12.75"/>
    <row r="5158" ht="12.75"/>
    <row r="5159" ht="12.75"/>
    <row r="5160" ht="12.75"/>
    <row r="5161" ht="12.75"/>
    <row r="5162" ht="12.75"/>
    <row r="5163" ht="12.75"/>
    <row r="5164" ht="12.75"/>
    <row r="5165" ht="12.75"/>
    <row r="5166" ht="12.75"/>
    <row r="5167" ht="12.75"/>
    <row r="5168" ht="12.75"/>
    <row r="5169" ht="12.75"/>
    <row r="5170" ht="12.75"/>
    <row r="5171" ht="12.75"/>
    <row r="5172" ht="12.75"/>
    <row r="5173" ht="12.75"/>
    <row r="5174" ht="12.75"/>
    <row r="5175" ht="12.75"/>
    <row r="5176" ht="12.75"/>
    <row r="5177" ht="12.75"/>
    <row r="5178" ht="12.75"/>
    <row r="5179" ht="12.75"/>
    <row r="5180" ht="12.75"/>
    <row r="5181" ht="12.75"/>
    <row r="5182" ht="12.75"/>
    <row r="5183" ht="12.75"/>
    <row r="5184" ht="12.75"/>
    <row r="5185" ht="12.75"/>
    <row r="5186" ht="12.75"/>
    <row r="5187" ht="12.75"/>
    <row r="5188" ht="12.75"/>
    <row r="5189" ht="12.75"/>
    <row r="5190" ht="12.75"/>
    <row r="5191" ht="12.75"/>
    <row r="5192" ht="12.75"/>
    <row r="5193" ht="12.75"/>
    <row r="5194" ht="12.75"/>
    <row r="5195" ht="12.75"/>
    <row r="5196" ht="12.75"/>
    <row r="5197" ht="12.75"/>
    <row r="5198" ht="12.75"/>
    <row r="5199" ht="12.75"/>
    <row r="5200" ht="12.75"/>
    <row r="5201" ht="12.75"/>
    <row r="5202" ht="12.75"/>
    <row r="5203" ht="12.75"/>
    <row r="5204" ht="12.75"/>
    <row r="5205" ht="12.75"/>
    <row r="5206" ht="12.75"/>
    <row r="5207" ht="12.75"/>
    <row r="5208" ht="12.75"/>
    <row r="5209" ht="12.75"/>
    <row r="5210" ht="12.75"/>
    <row r="5211" ht="12.75"/>
    <row r="5212" ht="12.75"/>
    <row r="5213" ht="12.75"/>
    <row r="5214" ht="12.75"/>
    <row r="5215" ht="12.75"/>
    <row r="5216" ht="12.75"/>
    <row r="5217" ht="12.75"/>
    <row r="5218" ht="12.75"/>
    <row r="5219" ht="12.75"/>
    <row r="5220" ht="12.75"/>
    <row r="5221" ht="12.75"/>
    <row r="5222" ht="12.75"/>
    <row r="5223" ht="12.75"/>
    <row r="5224" ht="12.75"/>
    <row r="5225" ht="12.75"/>
    <row r="5226" ht="12.75"/>
    <row r="5227" ht="12.75"/>
    <row r="5228" ht="12.75"/>
    <row r="5229" ht="12.75"/>
    <row r="5230" ht="12.75"/>
    <row r="5231" ht="12.75"/>
    <row r="5232" ht="12.75"/>
    <row r="5233" ht="12.75"/>
    <row r="5234" ht="12.75"/>
    <row r="5235" ht="12.75"/>
    <row r="5236" ht="12.75"/>
    <row r="5237" ht="12.75"/>
    <row r="5238" ht="12.75"/>
    <row r="5239" ht="12.75"/>
    <row r="5240" ht="12.75"/>
    <row r="5241" ht="12.75"/>
    <row r="5242" ht="12.75"/>
    <row r="5243" ht="12.75"/>
    <row r="5244" ht="12.75"/>
    <row r="5245" ht="12.75"/>
    <row r="5246" ht="12.75"/>
    <row r="5247" ht="12.75"/>
    <row r="5248" ht="12.75"/>
    <row r="5249" ht="12.75"/>
    <row r="5250" ht="12.75"/>
    <row r="5251" ht="12.75"/>
    <row r="5252" ht="12.75"/>
    <row r="5253" ht="12.75"/>
    <row r="5254" ht="12.75"/>
    <row r="5255" ht="12.75"/>
    <row r="5256" ht="12.75"/>
    <row r="5257" ht="12.75"/>
    <row r="5258" ht="12.75"/>
    <row r="5259" ht="12.75"/>
    <row r="5260" ht="12.75"/>
    <row r="5261" ht="12.75"/>
    <row r="5262" ht="12.75"/>
    <row r="5263" ht="12.75"/>
    <row r="5264" ht="12.75"/>
    <row r="5265" ht="12.75"/>
    <row r="5266" ht="12.75"/>
    <row r="5267" ht="12.75"/>
    <row r="5268" ht="12.75"/>
    <row r="5269" ht="12.75"/>
    <row r="5270" ht="12.75"/>
    <row r="5271" ht="12.75"/>
    <row r="5272" ht="12.75"/>
    <row r="5273" ht="12.75"/>
    <row r="5274" ht="12.75"/>
    <row r="5275" ht="12.75"/>
    <row r="5276" ht="12.75"/>
    <row r="5277" ht="12.75"/>
    <row r="5278" ht="12.75"/>
    <row r="5279" ht="12.75"/>
    <row r="5280" ht="12.75"/>
    <row r="5281" ht="12.75"/>
    <row r="5282" ht="12.75"/>
    <row r="5283" ht="12.75"/>
    <row r="5284" ht="12.75"/>
    <row r="5285" ht="12.75"/>
    <row r="5286" ht="12.75"/>
    <row r="5287" ht="12.75"/>
    <row r="5288" ht="12.75"/>
    <row r="5289" ht="12.75"/>
    <row r="5290" ht="12.75"/>
    <row r="5291" ht="12.75"/>
    <row r="5292" ht="12.75"/>
    <row r="5293" ht="12.75"/>
    <row r="5294" ht="12.75"/>
    <row r="5295" ht="12.75"/>
    <row r="5296" ht="12.75"/>
    <row r="5297" ht="12.75"/>
    <row r="5298" ht="12.75"/>
    <row r="5299" ht="12.75"/>
    <row r="5300" ht="12.75"/>
    <row r="5301" ht="12.75"/>
    <row r="5302" ht="12.75"/>
    <row r="5303" ht="12.75"/>
    <row r="5304" ht="12.75"/>
    <row r="5305" ht="12.75"/>
    <row r="5306" ht="12.75"/>
    <row r="5307" ht="12.75"/>
    <row r="5308" ht="12.75"/>
    <row r="5309" ht="12.75"/>
    <row r="5310" ht="12.75"/>
    <row r="5311" ht="12.75"/>
    <row r="5312" ht="12.75"/>
    <row r="5313" ht="12.75"/>
    <row r="5314" ht="12.75"/>
    <row r="5315" ht="12.75"/>
    <row r="5316" ht="12.75"/>
    <row r="5317" ht="12.75"/>
    <row r="5318" ht="12.75"/>
    <row r="5319" ht="12.75"/>
    <row r="5320" ht="12.75"/>
    <row r="5321" ht="12.75"/>
    <row r="5322" ht="12.75"/>
    <row r="5323" ht="12.75"/>
    <row r="5324" ht="12.75"/>
    <row r="5325" ht="12.75"/>
    <row r="5326" ht="12.75"/>
    <row r="5327" ht="12.75"/>
    <row r="5328" ht="12.75"/>
    <row r="5329" ht="12.75"/>
    <row r="5330" ht="12.75"/>
    <row r="5331" ht="12.75"/>
    <row r="5332" ht="12.75"/>
    <row r="5333" ht="12.75"/>
    <row r="5334" ht="12.75"/>
    <row r="5335" ht="12.75"/>
    <row r="5336" ht="12.75"/>
    <row r="5337" ht="12.75"/>
    <row r="5338" ht="12.75"/>
    <row r="5339" ht="12.75"/>
    <row r="5340" ht="12.75"/>
    <row r="5341" ht="12.75"/>
    <row r="5342" ht="12.75"/>
    <row r="5343" ht="12.75"/>
    <row r="5344" ht="12.75"/>
    <row r="5345" ht="12.75"/>
    <row r="5346" ht="12.75"/>
    <row r="5347" ht="12.75"/>
    <row r="5348" ht="12.75"/>
    <row r="5349" ht="12.75"/>
    <row r="5350" ht="12.75"/>
    <row r="5351" ht="12.75"/>
    <row r="5352" ht="12.75"/>
    <row r="5353" ht="12.75"/>
    <row r="5354" ht="12.75"/>
    <row r="5355" ht="12.75"/>
    <row r="5356" ht="12.75"/>
    <row r="5357" ht="12.75"/>
    <row r="5358" ht="12.75"/>
    <row r="5359" ht="12.75"/>
    <row r="5360" ht="12.75"/>
    <row r="5361" ht="12.75"/>
    <row r="5362" ht="12.75"/>
    <row r="5363" ht="12.75"/>
    <row r="5364" ht="12.75"/>
    <row r="5365" ht="12.75"/>
    <row r="5366" ht="12.75"/>
    <row r="5367" ht="12.75"/>
    <row r="5368" ht="12.75"/>
    <row r="5369" ht="12.75"/>
    <row r="5370" ht="12.75"/>
    <row r="5371" ht="12.75"/>
    <row r="5372" ht="12.75"/>
    <row r="5373" ht="12.75"/>
    <row r="5374" ht="12.75"/>
    <row r="5375" ht="12.75"/>
    <row r="5376" ht="12.75"/>
    <row r="5377" ht="12.75"/>
    <row r="5378" ht="12.75"/>
    <row r="5379" ht="12.75"/>
    <row r="5380" ht="12.75"/>
    <row r="5381" ht="12.75"/>
    <row r="5382" ht="12.75"/>
    <row r="5383" ht="12.75"/>
    <row r="5384" ht="12.75"/>
    <row r="5385" ht="12.75"/>
    <row r="5386" ht="12.75"/>
    <row r="5387" ht="12.75"/>
    <row r="5388" ht="12.75"/>
    <row r="5389" ht="12.75"/>
    <row r="5390" ht="12.75"/>
    <row r="5391" ht="12.75"/>
    <row r="5392" ht="12.75"/>
    <row r="5393" ht="12.75"/>
    <row r="5394" ht="12.75"/>
    <row r="5395" ht="12.75"/>
    <row r="5396" ht="12.75"/>
    <row r="5397" ht="12.75"/>
    <row r="5398" ht="12.75"/>
    <row r="5399" ht="12.75"/>
    <row r="5400" ht="12.75"/>
    <row r="5401" ht="12.75"/>
    <row r="5402" ht="12.75"/>
    <row r="5403" ht="12.75"/>
    <row r="5404" ht="12.75"/>
    <row r="5405" ht="12.75"/>
    <row r="5406" ht="12.75"/>
    <row r="5407" ht="12.75"/>
    <row r="5408" ht="12.75"/>
    <row r="5409" ht="12.75"/>
    <row r="5410" ht="12.75"/>
    <row r="5411" ht="12.75"/>
    <row r="5412" ht="12.75"/>
    <row r="5413" ht="12.75"/>
    <row r="5414" ht="12.75"/>
    <row r="5415" ht="12.75"/>
    <row r="5416" ht="12.75"/>
    <row r="5417" ht="12.75"/>
    <row r="5418" ht="12.75"/>
    <row r="5419" ht="12.75"/>
    <row r="5420" ht="12.75"/>
    <row r="5421" ht="12.75"/>
    <row r="5422" ht="12.75"/>
    <row r="5423" ht="12.75"/>
    <row r="5424" ht="12.75"/>
    <row r="5425" ht="12.75"/>
    <row r="5426" ht="12.75"/>
    <row r="5427" ht="12.75"/>
    <row r="5428" ht="12.75"/>
    <row r="5429" ht="12.75"/>
    <row r="5430" ht="12.75"/>
    <row r="5431" ht="12.75"/>
    <row r="5432" ht="12.75"/>
    <row r="5433" ht="12.75"/>
    <row r="5434" ht="12.75"/>
    <row r="5435" ht="12.75"/>
    <row r="5436" ht="12.75"/>
    <row r="5437" ht="12.75"/>
    <row r="5438" ht="12.75"/>
    <row r="5439" ht="12.75"/>
    <row r="5440" ht="12.75"/>
    <row r="5441" ht="12.75"/>
    <row r="5442" ht="12.75"/>
    <row r="5443" ht="12.75"/>
    <row r="5444" ht="12.75"/>
    <row r="5445" ht="12.75"/>
    <row r="5446" ht="12.75"/>
    <row r="5447" ht="12.75"/>
    <row r="5448" ht="12.75"/>
    <row r="5449" ht="12.75"/>
    <row r="5450" ht="12.75"/>
    <row r="5451" ht="12.75"/>
    <row r="5452" ht="12.75"/>
    <row r="5453" ht="12.75"/>
    <row r="5454" ht="12.75"/>
    <row r="5455" ht="12.75"/>
    <row r="5456" ht="12.75"/>
    <row r="5457" ht="12.75"/>
    <row r="5458" ht="12.75"/>
    <row r="5459" ht="12.75"/>
    <row r="5460" ht="12.75"/>
    <row r="5461" ht="12.75"/>
    <row r="5462" ht="12.75"/>
    <row r="5463" ht="12.75"/>
    <row r="5464" ht="12.75"/>
    <row r="5465" ht="12.75"/>
    <row r="5466" ht="12.75"/>
    <row r="5467" ht="12.75"/>
    <row r="5468" ht="12.75"/>
    <row r="5469" ht="12.75"/>
    <row r="5470" ht="12.75"/>
    <row r="5471" ht="12.75"/>
    <row r="5472" ht="12.75"/>
    <row r="5473" ht="12.75"/>
    <row r="5474" ht="12.75"/>
    <row r="5475" ht="12.75"/>
    <row r="5476" ht="12.75"/>
    <row r="5477" ht="12.75"/>
    <row r="5478" ht="12.75"/>
    <row r="5479" ht="12.75"/>
    <row r="5480" ht="12.75"/>
    <row r="5481" ht="12.75"/>
    <row r="5482" ht="12.75"/>
    <row r="5483" ht="12.75"/>
    <row r="5484" ht="12.75"/>
    <row r="5485" ht="12.75"/>
    <row r="5486" ht="12.75"/>
    <row r="5487" ht="12.75"/>
    <row r="5488" ht="12.75"/>
    <row r="5489" ht="12.75"/>
    <row r="5490" ht="12.75"/>
    <row r="5491" ht="12.75"/>
    <row r="5492" ht="12.75"/>
    <row r="5493" ht="12.75"/>
    <row r="5494" ht="12.75"/>
    <row r="5495" ht="12.75"/>
    <row r="5496" ht="12.75"/>
    <row r="5497" ht="12.75"/>
    <row r="5498" ht="12.75"/>
    <row r="5499" ht="12.75"/>
    <row r="5500" ht="12.75"/>
    <row r="5501" ht="12.75"/>
    <row r="5502" ht="12.75"/>
    <row r="5503" ht="12.75"/>
    <row r="5504" ht="12.75"/>
    <row r="5505" ht="12.75"/>
    <row r="5506" ht="12.75"/>
    <row r="5507" ht="12.75"/>
    <row r="5508" ht="12.75"/>
    <row r="5509" ht="12.75"/>
    <row r="5510" ht="12.75"/>
    <row r="5511" ht="12.75"/>
    <row r="5512" ht="12.75"/>
    <row r="5513" ht="12.75"/>
    <row r="5514" ht="12.75"/>
    <row r="5515" ht="12.75"/>
    <row r="5516" ht="12.75"/>
    <row r="5517" ht="12.75"/>
    <row r="5518" ht="12.75"/>
    <row r="5519" ht="12.75"/>
    <row r="5520" ht="12.75"/>
    <row r="5521" ht="12.75"/>
    <row r="5522" ht="12.75"/>
    <row r="5523" ht="12.75"/>
    <row r="5524" ht="12.75"/>
    <row r="5525" ht="12.75"/>
    <row r="5526" ht="12.75"/>
    <row r="5527" ht="12.75"/>
    <row r="5528" ht="12.75"/>
    <row r="5529" ht="12.75"/>
    <row r="5530" ht="12.75"/>
    <row r="5531" ht="12.75"/>
    <row r="5532" ht="12.75"/>
    <row r="5533" ht="12.75"/>
    <row r="5534" ht="12.75"/>
    <row r="5535" ht="12.75"/>
    <row r="5536" ht="12.75"/>
    <row r="5537" ht="12.75"/>
    <row r="5538" ht="12.75"/>
    <row r="5539" ht="12.75"/>
    <row r="5540" ht="12.75"/>
    <row r="5541" ht="12.75"/>
    <row r="5542" ht="12.75"/>
    <row r="5543" ht="12.75"/>
    <row r="5544" ht="12.75"/>
    <row r="5545" ht="12.75"/>
    <row r="5546" ht="12.75"/>
    <row r="5547" ht="12.75"/>
    <row r="5548" ht="12.75"/>
    <row r="5549" ht="12.75"/>
    <row r="5550" ht="12.75"/>
    <row r="5551" ht="12.75"/>
    <row r="5552" ht="12.75"/>
    <row r="5553" ht="12.75"/>
    <row r="5554" ht="12.75"/>
    <row r="5555" ht="12.75"/>
    <row r="5556" ht="12.75"/>
    <row r="5557" ht="12.75"/>
    <row r="5558" ht="12.75"/>
    <row r="5559" ht="12.75"/>
    <row r="5560" ht="12.75"/>
    <row r="5561" ht="12.75"/>
    <row r="5562" ht="12.75"/>
    <row r="5563" ht="12.75"/>
    <row r="5564" ht="12.75"/>
    <row r="5565" ht="12.75"/>
    <row r="5566" ht="12.75"/>
    <row r="5567" ht="12.75"/>
    <row r="5568" ht="12.75"/>
    <row r="5569" ht="12.75"/>
    <row r="5570" ht="12.75"/>
    <row r="5571" ht="12.75"/>
    <row r="5572" ht="12.75"/>
    <row r="5573" ht="12.75"/>
    <row r="5574" ht="12.75"/>
    <row r="5575" ht="12.75"/>
    <row r="5576" ht="12.75"/>
    <row r="5577" ht="12.75"/>
    <row r="5578" ht="12.75"/>
    <row r="5579" ht="12.75"/>
    <row r="5580" ht="12.75"/>
    <row r="5581" ht="12.75"/>
    <row r="5582" ht="12.75"/>
    <row r="5583" ht="12.75"/>
    <row r="5584" ht="12.75"/>
    <row r="5585" ht="12.75"/>
    <row r="5586" ht="12.75"/>
    <row r="5587" ht="12.75"/>
    <row r="5588" ht="12.75"/>
    <row r="5589" ht="12.75"/>
    <row r="5590" ht="12.75"/>
    <row r="5591" ht="12.75"/>
    <row r="5592" ht="12.75"/>
    <row r="5593" ht="12.75"/>
    <row r="5594" ht="12.75"/>
    <row r="5595" ht="12.75"/>
    <row r="5596" ht="12.75"/>
    <row r="5597" ht="12.75"/>
    <row r="5598" ht="12.75"/>
    <row r="5599" ht="12.75"/>
    <row r="5600" ht="12.75"/>
    <row r="5601" ht="12.75"/>
    <row r="5602" ht="12.75"/>
    <row r="5603" ht="12.75"/>
    <row r="5604" ht="12.75"/>
    <row r="5605" ht="12.75"/>
    <row r="5606" ht="12.75"/>
    <row r="5607" ht="12.75"/>
    <row r="5608" ht="12.75"/>
    <row r="5609" ht="12.75"/>
    <row r="5610" ht="12.75"/>
    <row r="5611" ht="12.75"/>
    <row r="5612" ht="12.75"/>
    <row r="5613" ht="12.75"/>
    <row r="5614" ht="12.75"/>
    <row r="5615" ht="12.75"/>
    <row r="5616" ht="12.75"/>
    <row r="5617" ht="12.75"/>
    <row r="5618" ht="12.75"/>
    <row r="5619" ht="12.75"/>
    <row r="5620" ht="12.75"/>
    <row r="5621" ht="12.75"/>
    <row r="5622" ht="12.75"/>
    <row r="5623" ht="12.75"/>
    <row r="5624" ht="12.75"/>
    <row r="5625" ht="12.75"/>
    <row r="5626" ht="12.75"/>
    <row r="5627" ht="12.75"/>
    <row r="5628" ht="12.75"/>
    <row r="5629" ht="12.75"/>
    <row r="5630" ht="12.75"/>
    <row r="5631" ht="12.75"/>
    <row r="5632" ht="12.75"/>
    <row r="5633" ht="12.75"/>
    <row r="5634" ht="12.75"/>
    <row r="5635" ht="12.75"/>
    <row r="5636" ht="12.75"/>
    <row r="5637" ht="12.75"/>
    <row r="5638" ht="12.75"/>
    <row r="5639" ht="12.75"/>
    <row r="5640" ht="12.75"/>
    <row r="5641" ht="12.75"/>
    <row r="5642" ht="12.75"/>
    <row r="5643" ht="12.75"/>
    <row r="5644" ht="12.75"/>
    <row r="5645" ht="12.75"/>
    <row r="5646" ht="12.75"/>
    <row r="5647" ht="12.75"/>
    <row r="5648" ht="12.75"/>
    <row r="5649" ht="12.75"/>
    <row r="5650" ht="12.75"/>
    <row r="5651" ht="12.75"/>
    <row r="5652" ht="12.75"/>
    <row r="5653" ht="12.75"/>
    <row r="5654" ht="12.75"/>
    <row r="5655" ht="12.75"/>
    <row r="5656" ht="12.75"/>
    <row r="5657" ht="12.75"/>
    <row r="5658" ht="12.75"/>
    <row r="5659" ht="12.75"/>
    <row r="5660" ht="12.75"/>
    <row r="5661" ht="12.75"/>
    <row r="5662" ht="12.75"/>
    <row r="5663" ht="12.75"/>
    <row r="5664" ht="12.75"/>
    <row r="5665" ht="12.75"/>
    <row r="5666" ht="12.75"/>
    <row r="5667" ht="12.75"/>
    <row r="5668" ht="12.75"/>
    <row r="5669" ht="12.75"/>
    <row r="5670" ht="12.75"/>
    <row r="5671" ht="12.75"/>
    <row r="5672" ht="12.75"/>
    <row r="5673" ht="12.75"/>
    <row r="5674" ht="12.75"/>
    <row r="5675" ht="12.75"/>
    <row r="5676" ht="12.75"/>
    <row r="5677" ht="12.75"/>
    <row r="5678" ht="12.75"/>
    <row r="5679" ht="12.75"/>
    <row r="5680" ht="12.75"/>
    <row r="5681" ht="12.75"/>
    <row r="5682" ht="12.75"/>
    <row r="5683" ht="12.75"/>
    <row r="5684" ht="12.75"/>
    <row r="5685" ht="12.75"/>
    <row r="5686" ht="12.75"/>
    <row r="5687" ht="12.75"/>
    <row r="5688" ht="12.75"/>
    <row r="5689" ht="12.75"/>
    <row r="5690" ht="12.75"/>
    <row r="5691" ht="12.75"/>
    <row r="5692" ht="12.75"/>
    <row r="5693" ht="12.75"/>
    <row r="5694" ht="12.75"/>
    <row r="5695" ht="12.75"/>
    <row r="5696" ht="12.75"/>
    <row r="5697" ht="12.75"/>
    <row r="5698" ht="12.75"/>
    <row r="5699" ht="12.75"/>
    <row r="5700" ht="12.75"/>
    <row r="5701" ht="12.75"/>
    <row r="5702" ht="12.75"/>
    <row r="5703" ht="12.75"/>
    <row r="5704" ht="12.75"/>
    <row r="5705" ht="12.75"/>
    <row r="5706" ht="12.75"/>
    <row r="5707" ht="12.75"/>
    <row r="5708" ht="12.75"/>
    <row r="5709" ht="12.75"/>
    <row r="5710" ht="12.75"/>
    <row r="5711" ht="12.75"/>
    <row r="5712" ht="12.75"/>
    <row r="5713" ht="12.75"/>
    <row r="5714" ht="12.75"/>
    <row r="5715" ht="12.75"/>
    <row r="5716" ht="12.75"/>
    <row r="5717" ht="12.75"/>
    <row r="5718" ht="12.75"/>
    <row r="5719" ht="12.75"/>
    <row r="5720" ht="12.75"/>
    <row r="5721" ht="12.75"/>
    <row r="5722" ht="12.75"/>
    <row r="5723" ht="12.75"/>
    <row r="5724" ht="12.75"/>
    <row r="5725" ht="12.75"/>
    <row r="5726" ht="12.75"/>
    <row r="5727" ht="12.75"/>
    <row r="5728" ht="12.75"/>
    <row r="5729" ht="12.75"/>
    <row r="5730" ht="12.75"/>
    <row r="5731" ht="12.75"/>
    <row r="5732" ht="12.75"/>
    <row r="5733" ht="12.75"/>
    <row r="5734" ht="12.75"/>
    <row r="5735" ht="12.75"/>
    <row r="5736" ht="12.75"/>
    <row r="5737" ht="12.75"/>
    <row r="5738" ht="12.75"/>
    <row r="5739" ht="12.75"/>
    <row r="5740" ht="12.75"/>
    <row r="5741" ht="12.75"/>
    <row r="5742" ht="12.75"/>
    <row r="5743" ht="12.75"/>
    <row r="5744" ht="12.75"/>
    <row r="5745" ht="12.75"/>
    <row r="5746" ht="12.75"/>
    <row r="5747" ht="12.75"/>
    <row r="5748" ht="12.75"/>
    <row r="5749" ht="12.75"/>
    <row r="5750" ht="12.75"/>
    <row r="5751" ht="12.75"/>
    <row r="5752" ht="12.75"/>
    <row r="5753" ht="12.75"/>
    <row r="5754" ht="12.75"/>
    <row r="5755" ht="12.75"/>
    <row r="5756" ht="12.75"/>
    <row r="5757" ht="12.75"/>
    <row r="5758" ht="12.75"/>
    <row r="5759" ht="12.75"/>
    <row r="5760" ht="12.75"/>
    <row r="5761" ht="12.75"/>
    <row r="5762" ht="12.75"/>
    <row r="5763" ht="12.75"/>
    <row r="5764" ht="12.75"/>
    <row r="5765" ht="12.75"/>
    <row r="5766" ht="12.75"/>
    <row r="5767" ht="12.75"/>
    <row r="5768" ht="12.75"/>
    <row r="5769" ht="12.75"/>
    <row r="5770" ht="12.75"/>
    <row r="5771" ht="12.75"/>
    <row r="5772" ht="12.75"/>
    <row r="5773" ht="12.75"/>
    <row r="5774" ht="12.75"/>
    <row r="5775" ht="12.75"/>
    <row r="5776" ht="12.75"/>
    <row r="5777" ht="12.75"/>
    <row r="5778" ht="12.75"/>
    <row r="5779" ht="12.75"/>
    <row r="5780" ht="12.75"/>
    <row r="5781" ht="12.75"/>
    <row r="5782" ht="12.75"/>
    <row r="5783" ht="12.75"/>
    <row r="5784" ht="12.75"/>
    <row r="5785" ht="12.75"/>
    <row r="5786" ht="12.75"/>
    <row r="5787" ht="12.75"/>
    <row r="5788" ht="12.75"/>
    <row r="5789" ht="12.75"/>
    <row r="5790" ht="12.75"/>
    <row r="5791" ht="12.75"/>
    <row r="5792" ht="12.75"/>
    <row r="5793" ht="12.75"/>
    <row r="5794" ht="12.75"/>
    <row r="5795" ht="12.75"/>
    <row r="5796" ht="12.75"/>
    <row r="5797" ht="12.75"/>
    <row r="5798" ht="12.75"/>
    <row r="5799" ht="12.75"/>
    <row r="5800" ht="12.75"/>
    <row r="5801" ht="12.75"/>
    <row r="5802" ht="12.75"/>
    <row r="5803" ht="12.75"/>
    <row r="5804" ht="12.75"/>
    <row r="5805" ht="12.75"/>
    <row r="5806" ht="12.75"/>
    <row r="5807" ht="12.75"/>
    <row r="5808" ht="12.75"/>
    <row r="5809" ht="12.75"/>
    <row r="5810" ht="12.75"/>
    <row r="5811" ht="12.75"/>
    <row r="5812" ht="12.75"/>
    <row r="5813" ht="12.75"/>
    <row r="5814" ht="12.75"/>
    <row r="5815" ht="12.75"/>
    <row r="5816" ht="12.75"/>
    <row r="5817" ht="12.75"/>
    <row r="5818" ht="12.75"/>
    <row r="5819" ht="12.75"/>
    <row r="5820" ht="12.75"/>
    <row r="5821" ht="12.75"/>
    <row r="5822" ht="12.75"/>
    <row r="5823" ht="12.75"/>
    <row r="5824" ht="12.75"/>
    <row r="5825" ht="12.75"/>
    <row r="5826" ht="12.75"/>
    <row r="5827" ht="12.75"/>
    <row r="5828" ht="12.75"/>
    <row r="5829" ht="12.75"/>
    <row r="5830" ht="12.75"/>
    <row r="5831" ht="12.75"/>
    <row r="5832" ht="12.75"/>
    <row r="5833" ht="12.75"/>
    <row r="5834" ht="12.75"/>
    <row r="5835" ht="12.75"/>
    <row r="5836" ht="12.75"/>
    <row r="5837" ht="12.75"/>
    <row r="5838" ht="12.75"/>
    <row r="5839" ht="12.75"/>
    <row r="5840" ht="12.75"/>
    <row r="5841" ht="12.75"/>
    <row r="5842" ht="12.75"/>
    <row r="5843" ht="12.75"/>
    <row r="5844" ht="12.75"/>
    <row r="5845" ht="12.75"/>
    <row r="5846" ht="12.75"/>
    <row r="5847" ht="12.75"/>
    <row r="5848" ht="12.75"/>
    <row r="5849" ht="12.75"/>
    <row r="5850" ht="12.75"/>
    <row r="5851" ht="12.75"/>
    <row r="5852" ht="12.75"/>
    <row r="5853" ht="12.75"/>
    <row r="5854" ht="12.75"/>
    <row r="5855" ht="12.75"/>
    <row r="5856" ht="12.75"/>
    <row r="5857" ht="12.75"/>
    <row r="5858" ht="12.75"/>
    <row r="5859" ht="12.75"/>
    <row r="5860" ht="12.75"/>
    <row r="5861" ht="12.75"/>
    <row r="5862" ht="12.75"/>
    <row r="5863" ht="12.75"/>
    <row r="5864" ht="12.75"/>
    <row r="5865" ht="12.75"/>
    <row r="5866" ht="12.75"/>
    <row r="5867" ht="12.75"/>
    <row r="5868" ht="12.75"/>
    <row r="5869" ht="12.75"/>
    <row r="5870" ht="12.75"/>
    <row r="5871" ht="12.75"/>
    <row r="5872" ht="12.75"/>
    <row r="5873" ht="12.75"/>
    <row r="5874" ht="12.75"/>
    <row r="5875" ht="12.75"/>
    <row r="5876" ht="12.75"/>
    <row r="5877" ht="12.75"/>
    <row r="5878" ht="12.75"/>
    <row r="5879" ht="12.75"/>
    <row r="5880" ht="12.75"/>
    <row r="5881" ht="12.75"/>
    <row r="5882" ht="12.75"/>
    <row r="5883" ht="12.75"/>
    <row r="5884" ht="12.75"/>
    <row r="5885" ht="12.75"/>
    <row r="5886" ht="12.75"/>
    <row r="5887" ht="12.75"/>
    <row r="5888" ht="12.75"/>
    <row r="5889" ht="12.75"/>
    <row r="5890" ht="12.75"/>
    <row r="5891" ht="12.75"/>
    <row r="5892" ht="12.75"/>
    <row r="5893" ht="12.75"/>
    <row r="5894" ht="12.75"/>
    <row r="5895" ht="12.75"/>
    <row r="5896" ht="12.75"/>
    <row r="5897" ht="12.75"/>
    <row r="5898" ht="12.75"/>
    <row r="5899" ht="12.75"/>
    <row r="5900" ht="12.75"/>
    <row r="5901" ht="12.75"/>
    <row r="5902" ht="12.75"/>
    <row r="5903" ht="12.75"/>
    <row r="5904" ht="12.75"/>
    <row r="5905" ht="12.75"/>
    <row r="5906" ht="12.75"/>
    <row r="5907" ht="12.75"/>
    <row r="5908" ht="12.75"/>
    <row r="5909" ht="12.75"/>
    <row r="5910" ht="12.75"/>
    <row r="5911" ht="12.75"/>
    <row r="5912" ht="12.75"/>
    <row r="5913" ht="12.75"/>
    <row r="5914" ht="12.75"/>
    <row r="5915" ht="12.75"/>
    <row r="5916" ht="12.75"/>
    <row r="5917" ht="12.75"/>
    <row r="5918" ht="12.75"/>
    <row r="5919" ht="12.75"/>
    <row r="5920" ht="12.75"/>
    <row r="5921" ht="12.75"/>
    <row r="5922" ht="12.75"/>
    <row r="5923" ht="12.75"/>
    <row r="5924" ht="12.75"/>
    <row r="5925" ht="12.75"/>
    <row r="5926" ht="12.75"/>
    <row r="5927" ht="12.75"/>
    <row r="5928" ht="12.75"/>
    <row r="5929" ht="12.75"/>
    <row r="5930" ht="12.75"/>
    <row r="5931" ht="12.75"/>
    <row r="5932" ht="12.75"/>
    <row r="5933" ht="12.75"/>
    <row r="5934" ht="12.75"/>
    <row r="5935" ht="12.75"/>
    <row r="5936" ht="12.75"/>
    <row r="5937" ht="12.75"/>
    <row r="5938" ht="12.75"/>
    <row r="5939" ht="12.75"/>
    <row r="5940" ht="12.75"/>
    <row r="5941" ht="12.75"/>
    <row r="5942" ht="12.75"/>
    <row r="5943" ht="12.75"/>
    <row r="5944" ht="12.75"/>
    <row r="5945" ht="12.75"/>
    <row r="5946" ht="12.75"/>
    <row r="5947" ht="12.75"/>
    <row r="5948" ht="12.75"/>
    <row r="5949" ht="12.75"/>
    <row r="5950" ht="12.75"/>
    <row r="5951" ht="12.75"/>
    <row r="5952" ht="12.75"/>
    <row r="5953" ht="12.75"/>
    <row r="5954" ht="12.75"/>
    <row r="5955" ht="12.75"/>
    <row r="5956" ht="12.75"/>
    <row r="5957" ht="12.75"/>
    <row r="5958" ht="12.75"/>
    <row r="5959" ht="12.75"/>
    <row r="5960" ht="12.75"/>
    <row r="5961" ht="12.75"/>
    <row r="5962" ht="12.75"/>
    <row r="5963" ht="12.75"/>
    <row r="5964" ht="12.75"/>
    <row r="5965" ht="12.75"/>
    <row r="5966" ht="12.75"/>
    <row r="5967" ht="12.75"/>
    <row r="5968" ht="12.75"/>
    <row r="5969" ht="12.75"/>
    <row r="5970" ht="12.75"/>
    <row r="5971" ht="12.75"/>
    <row r="5972" ht="12.75"/>
    <row r="5973" ht="12.75"/>
    <row r="5974" ht="12.75"/>
    <row r="5975" ht="12.75"/>
    <row r="5976" ht="12.75"/>
    <row r="5977" ht="12.75"/>
    <row r="5978" ht="12.75"/>
    <row r="5979" ht="12.75"/>
    <row r="5980" ht="12.75"/>
    <row r="5981" ht="12.75"/>
    <row r="5982" ht="12.75"/>
    <row r="5983" ht="12.75"/>
    <row r="5984" ht="12.75"/>
    <row r="5985" ht="12.75"/>
    <row r="5986" ht="12.75"/>
    <row r="5987" ht="12.75"/>
    <row r="5988" ht="12.75"/>
    <row r="5989" ht="12.75"/>
    <row r="5990" ht="12.75"/>
    <row r="5991" ht="12.75"/>
    <row r="5992" ht="12.75"/>
    <row r="5993" ht="12.75"/>
    <row r="5994" ht="12.75"/>
    <row r="5995" ht="12.75"/>
    <row r="5996" ht="12.75"/>
    <row r="5997" ht="12.75"/>
    <row r="5998" ht="12.75"/>
    <row r="5999" ht="12.75"/>
    <row r="6000" ht="12.75"/>
    <row r="6001" ht="12.75"/>
    <row r="6002" ht="12.75"/>
    <row r="6003" ht="12.75"/>
    <row r="6004" ht="12.75"/>
    <row r="6005" ht="12.75"/>
    <row r="6006" ht="12.75"/>
    <row r="6007" ht="12.75"/>
    <row r="6008" ht="12.75"/>
    <row r="6009" ht="12.75"/>
    <row r="6010" ht="12.75"/>
    <row r="6011" ht="12.75"/>
    <row r="6012" ht="12.75"/>
    <row r="6013" ht="12.75"/>
    <row r="6014" ht="12.75"/>
    <row r="6015" ht="12.75"/>
    <row r="6016" ht="12.75"/>
    <row r="6017" ht="12.75"/>
    <row r="6018" ht="12.75"/>
    <row r="6019" ht="12.75"/>
    <row r="6020" ht="12.75"/>
    <row r="6021" ht="12.75"/>
    <row r="6022" ht="12.75"/>
    <row r="6023" ht="12.75"/>
    <row r="6024" ht="12.75"/>
    <row r="6025" ht="12.75"/>
    <row r="6026" ht="12.75"/>
    <row r="6027" ht="12.75"/>
    <row r="6028" ht="12.75"/>
    <row r="6029" ht="12.75"/>
    <row r="6030" ht="12.75"/>
    <row r="6031" ht="12.75"/>
    <row r="6032" ht="12.75"/>
    <row r="6033" ht="12.75"/>
    <row r="6034" ht="12.75"/>
    <row r="6035" ht="12.75"/>
    <row r="6036" ht="12.75"/>
    <row r="6037" ht="12.75"/>
    <row r="6038" ht="12.75"/>
    <row r="6039" ht="12.75"/>
    <row r="6040" ht="12.75"/>
    <row r="6041" ht="12.75"/>
    <row r="6042" ht="12.75"/>
    <row r="6043" ht="12.75"/>
    <row r="6044" ht="12.75"/>
    <row r="6045" ht="12.75"/>
    <row r="6046" ht="12.75"/>
    <row r="6047" ht="12.75"/>
    <row r="6048" ht="12.75"/>
    <row r="6049" ht="12.75"/>
    <row r="6050" ht="12.75"/>
    <row r="6051" ht="12.75"/>
    <row r="6052" ht="12.75"/>
    <row r="6053" ht="12.75"/>
    <row r="6054" ht="12.75"/>
    <row r="6055" ht="12.75"/>
    <row r="6056" ht="12.75"/>
    <row r="6057" ht="12.75"/>
    <row r="6058" ht="12.75"/>
    <row r="6059" ht="12.75"/>
    <row r="6060" ht="12.75"/>
    <row r="6061" ht="12.75"/>
    <row r="6062" ht="12.75"/>
    <row r="6063" ht="12.75"/>
    <row r="6064" ht="12.75"/>
    <row r="6065" ht="12.75"/>
    <row r="6066" ht="12.75"/>
    <row r="6067" ht="12.75"/>
    <row r="6068" ht="12.75"/>
    <row r="6069" ht="12.75"/>
    <row r="6070" ht="12.75"/>
    <row r="6071" ht="12.75"/>
    <row r="6072" ht="12.75"/>
    <row r="6073" ht="12.75"/>
    <row r="6074" ht="12.75"/>
    <row r="6075" ht="12.75"/>
    <row r="6076" ht="12.75"/>
    <row r="6077" ht="12.75"/>
    <row r="6078" ht="12.75"/>
    <row r="6079" ht="12.75"/>
    <row r="6080" ht="12.75"/>
    <row r="6081" ht="12.75"/>
    <row r="6082" ht="12.75"/>
    <row r="6083" ht="12.75"/>
    <row r="6084" ht="12.75"/>
    <row r="6085" ht="12.75"/>
    <row r="6086" ht="12.75"/>
    <row r="6087" ht="12.75"/>
    <row r="6088" ht="12.75"/>
    <row r="6089" ht="12.75"/>
    <row r="6090" ht="12.75"/>
    <row r="6091" ht="12.75"/>
    <row r="6092" ht="12.75"/>
    <row r="6093" ht="12.75"/>
    <row r="6094" ht="12.75"/>
    <row r="6095" ht="12.75"/>
    <row r="6096" ht="12.75"/>
    <row r="6097" ht="12.75"/>
    <row r="6098" ht="12.75"/>
    <row r="6099" ht="12.75"/>
    <row r="6100" ht="12.75"/>
    <row r="6101" ht="12.75"/>
    <row r="6102" ht="12.75"/>
    <row r="6103" ht="12.75"/>
    <row r="6104" ht="12.75"/>
    <row r="6105" ht="12.75"/>
    <row r="6106" ht="12.75"/>
    <row r="6107" ht="12.75"/>
    <row r="6108" ht="12.75"/>
    <row r="6109" ht="12.75"/>
    <row r="6110" ht="12.75"/>
    <row r="6111" ht="12.75"/>
    <row r="6112" ht="12.75"/>
    <row r="6113" ht="12.75"/>
    <row r="6114" ht="12.75"/>
    <row r="6115" ht="12.75"/>
    <row r="6116" ht="12.75"/>
    <row r="6117" ht="12.75"/>
    <row r="6118" ht="12.75"/>
    <row r="6119" ht="12.75"/>
    <row r="6120" ht="12.75"/>
    <row r="6121" ht="12.75"/>
    <row r="6122" ht="12.75"/>
    <row r="6123" ht="12.75"/>
    <row r="6124" ht="12.75"/>
    <row r="6125" ht="12.75"/>
    <row r="6126" ht="12.75"/>
    <row r="6127" ht="12.75"/>
    <row r="6128" ht="12.75"/>
    <row r="6129" ht="12.75"/>
    <row r="6130" ht="12.75"/>
    <row r="6131" ht="12.75"/>
    <row r="6132" ht="12.75"/>
    <row r="6133" ht="12.75"/>
    <row r="6134" ht="12.75"/>
    <row r="6135" ht="12.75"/>
    <row r="6136" ht="12.75"/>
    <row r="6137" ht="12.75"/>
    <row r="6138" ht="12.75"/>
    <row r="6139" ht="12.75"/>
    <row r="6140" ht="12.75"/>
    <row r="6141" ht="12.75"/>
    <row r="6142" ht="12.75"/>
    <row r="6143" ht="12.75"/>
    <row r="6144" ht="12.75"/>
    <row r="6145" ht="12.75"/>
    <row r="6146" ht="12.75"/>
    <row r="6147" ht="12.75"/>
    <row r="6148" ht="12.75"/>
    <row r="6149" ht="12.75"/>
    <row r="6150" ht="12.75"/>
    <row r="6151" ht="12.75"/>
    <row r="6152" ht="12.75"/>
    <row r="6153" ht="12.75"/>
    <row r="6154" ht="12.75"/>
    <row r="6155" ht="12.75"/>
    <row r="6156" ht="12.75"/>
    <row r="6157" ht="12.75"/>
    <row r="6158" ht="12.75"/>
    <row r="6159" ht="12.75"/>
    <row r="6160" ht="12.75"/>
    <row r="6161" ht="12.75"/>
    <row r="6162" ht="12.75"/>
    <row r="6163" ht="12.75"/>
    <row r="6164" ht="12.75"/>
    <row r="6165" ht="12.75"/>
    <row r="6166" ht="12.75"/>
    <row r="6167" ht="12.75"/>
    <row r="6168" ht="12.75"/>
    <row r="6169" ht="12.75"/>
    <row r="6170" ht="12.75"/>
    <row r="6171" ht="12.75"/>
    <row r="6172" ht="12.75"/>
    <row r="6173" ht="12.75"/>
    <row r="6174" ht="12.75"/>
    <row r="6175" ht="12.75"/>
    <row r="6176" ht="12.75"/>
    <row r="6177" ht="12.75"/>
    <row r="6178" ht="12.75"/>
    <row r="6179" ht="12.75"/>
    <row r="6180" ht="12.75"/>
    <row r="6181" ht="12.75"/>
    <row r="6182" ht="12.75"/>
    <row r="6183" ht="12.75"/>
    <row r="6184" ht="12.75"/>
    <row r="6185" ht="12.75"/>
    <row r="6186" ht="12.75"/>
    <row r="6187" ht="12.75"/>
    <row r="6188" ht="12.75"/>
    <row r="6189" ht="12.75"/>
    <row r="6190" ht="12.75"/>
    <row r="6191" ht="12.75"/>
    <row r="6192" ht="12.75"/>
    <row r="6193" ht="12.75"/>
    <row r="6194" ht="12.75"/>
    <row r="6195" ht="12.75"/>
    <row r="6196" ht="12.75"/>
    <row r="6197" ht="12.75"/>
    <row r="6198" ht="12.75"/>
    <row r="6199" ht="12.75"/>
    <row r="6200" ht="12.75"/>
    <row r="6201" ht="12.75"/>
    <row r="6202" ht="12.75"/>
    <row r="6203" ht="12.75"/>
    <row r="6204" ht="12.75"/>
    <row r="6205" ht="12.75"/>
    <row r="6206" ht="12.75"/>
    <row r="6207" ht="12.75"/>
    <row r="6208" ht="12.75"/>
    <row r="6209" ht="12.75"/>
    <row r="6210" ht="12.75"/>
    <row r="6211" ht="12.75"/>
    <row r="6212" ht="12.75"/>
    <row r="6213" ht="12.75"/>
    <row r="6214" ht="12.75"/>
    <row r="6215" ht="12.75"/>
    <row r="6216" ht="12.75"/>
    <row r="6217" ht="12.75"/>
    <row r="6218" ht="12.75"/>
    <row r="6219" ht="12.75"/>
    <row r="6220" ht="12.75"/>
    <row r="6221" ht="12.75"/>
    <row r="6222" ht="12.75"/>
    <row r="6223" ht="12.75"/>
    <row r="6224" ht="12.75"/>
    <row r="6225" ht="12.75"/>
    <row r="6226" ht="12.75"/>
    <row r="6227" ht="12.75"/>
    <row r="6228" ht="12.75"/>
    <row r="6229" ht="12.75"/>
    <row r="6230" ht="12.75"/>
    <row r="6231" ht="12.75"/>
    <row r="6232" ht="12.75"/>
    <row r="6233" ht="12.75"/>
    <row r="6234" ht="12.75"/>
    <row r="6235" ht="12.75"/>
    <row r="6236" ht="12.75"/>
    <row r="6237" ht="12.75"/>
    <row r="6238" ht="12.75"/>
    <row r="6239" ht="12.75"/>
    <row r="6240" ht="12.75"/>
    <row r="6241" ht="12.75"/>
    <row r="6242" ht="12.75"/>
    <row r="6243" ht="12.75"/>
    <row r="6244" ht="12.75"/>
    <row r="6245" ht="12.75"/>
    <row r="6246" ht="12.75"/>
    <row r="6247" ht="12.75"/>
    <row r="6248" ht="12.75"/>
    <row r="6249" ht="12.75"/>
    <row r="6250" ht="12.75"/>
    <row r="6251" ht="12.75"/>
    <row r="6252" ht="12.75"/>
    <row r="6253" ht="12.75"/>
    <row r="6254" ht="12.75"/>
    <row r="6255" ht="12.75"/>
    <row r="6256" ht="12.75"/>
    <row r="6257" ht="12.75"/>
    <row r="6258" ht="12.75"/>
    <row r="6259" ht="12.75"/>
    <row r="6260" ht="12.75"/>
    <row r="6261" ht="12.75"/>
    <row r="6262" ht="12.75"/>
    <row r="6263" ht="12.75"/>
    <row r="6264" ht="12.75"/>
    <row r="6265" ht="12.75"/>
    <row r="6266" ht="12.75"/>
    <row r="6267" ht="12.75"/>
    <row r="6268" ht="12.75"/>
    <row r="6269" ht="12.75"/>
    <row r="6270" ht="12.75"/>
    <row r="6271" ht="12.75"/>
    <row r="6272" ht="12.75"/>
    <row r="6273" ht="12.75"/>
    <row r="6274" ht="12.75"/>
    <row r="6275" ht="12.75"/>
    <row r="6276" ht="12.75"/>
    <row r="6277" ht="12.75"/>
    <row r="6278" ht="12.75"/>
    <row r="6279" ht="12.75"/>
    <row r="6280" ht="12.75"/>
    <row r="6281" ht="12.75"/>
    <row r="6282" ht="12.75"/>
    <row r="6283" ht="12.75"/>
    <row r="6284" ht="12.75"/>
    <row r="6285" ht="12.75"/>
    <row r="6286" ht="12.75"/>
    <row r="6287" ht="12.75"/>
    <row r="6288" ht="12.75"/>
    <row r="6289" ht="12.75"/>
    <row r="6290" ht="12.75"/>
    <row r="6291" ht="12.75"/>
    <row r="6292" ht="12.75"/>
    <row r="6293" ht="12.75"/>
    <row r="6294" ht="12.75"/>
    <row r="6295" ht="12.75"/>
    <row r="6296" ht="12.75"/>
    <row r="6297" ht="12.75"/>
    <row r="6298" ht="12.75"/>
    <row r="6299" ht="12.75"/>
    <row r="6300" ht="12.75"/>
    <row r="6301" ht="12.75"/>
    <row r="6302" ht="12.75"/>
    <row r="6303" ht="12.75"/>
    <row r="6304" ht="12.75"/>
    <row r="6305" ht="12.75"/>
    <row r="6306" ht="12.75"/>
    <row r="6307" ht="12.75"/>
    <row r="6308" ht="12.75"/>
    <row r="6309" ht="12.75"/>
    <row r="6310" ht="12.75"/>
    <row r="6311" ht="12.75"/>
    <row r="6312" ht="12.75"/>
    <row r="6313" ht="12.75"/>
    <row r="6314" ht="12.75"/>
    <row r="6315" ht="12.75"/>
    <row r="6316" ht="12.75"/>
    <row r="6317" ht="12.75"/>
    <row r="6318" ht="12.75"/>
    <row r="6319" ht="12.75"/>
    <row r="6320" ht="12.75"/>
    <row r="6321" ht="12.75"/>
    <row r="6322" ht="12.75"/>
    <row r="6323" ht="12.75"/>
    <row r="6324" ht="12.75"/>
    <row r="6325" ht="12.75"/>
    <row r="6326" ht="12.75"/>
    <row r="6327" ht="12.75"/>
    <row r="6328" ht="12.75"/>
    <row r="6329" ht="12.75"/>
    <row r="6330" ht="12.75"/>
    <row r="6331" ht="12.75"/>
    <row r="6332" ht="12.75"/>
    <row r="6333" ht="12.75"/>
    <row r="6334" ht="12.75"/>
    <row r="6335" ht="12.75"/>
    <row r="6336" ht="12.75"/>
    <row r="6337" ht="12.75"/>
    <row r="6338" ht="12.75"/>
    <row r="6339" ht="12.75"/>
    <row r="6340" ht="12.75"/>
    <row r="6341" ht="12.75"/>
    <row r="6342" ht="12.75"/>
    <row r="6343" ht="12.75"/>
    <row r="6344" ht="12.75"/>
    <row r="6345" ht="12.75"/>
    <row r="6346" ht="12.75"/>
    <row r="6347" ht="12.75"/>
    <row r="6348" ht="12.75"/>
    <row r="6349" ht="12.75"/>
    <row r="6350" ht="12.75"/>
    <row r="6351" ht="12.75"/>
    <row r="6352" ht="12.75"/>
    <row r="6353" ht="12.75"/>
    <row r="6354" ht="12.75"/>
    <row r="6355" ht="12.75"/>
    <row r="6356" ht="12.75"/>
    <row r="6357" ht="12.75"/>
    <row r="6358" ht="12.75"/>
    <row r="6359" ht="12.75"/>
    <row r="6360" ht="12.75"/>
    <row r="6361" ht="12.75"/>
    <row r="6362" ht="12.75"/>
    <row r="6363" ht="12.75"/>
    <row r="6364" ht="12.75"/>
    <row r="6365" ht="12.75"/>
    <row r="6366" ht="12.75"/>
    <row r="6367" ht="12.75"/>
    <row r="6368" ht="12.75"/>
    <row r="6369" ht="12.75"/>
    <row r="6370" ht="12.75"/>
    <row r="6371" ht="12.75"/>
    <row r="6372" ht="12.75"/>
    <row r="6373" ht="12.75"/>
    <row r="6374" ht="12.75"/>
    <row r="6375" ht="12.75"/>
    <row r="6376" ht="12.75"/>
    <row r="6377" ht="12.75"/>
    <row r="6378" ht="12.75"/>
    <row r="6379" ht="12.75"/>
    <row r="6380" ht="12.75"/>
    <row r="6381" ht="12.75"/>
    <row r="6382" ht="12.75"/>
    <row r="6383" ht="12.75"/>
    <row r="6384" ht="12.75"/>
    <row r="6385" ht="12.75"/>
    <row r="6386" ht="12.75"/>
    <row r="6387" ht="12.75"/>
    <row r="6388" ht="12.75"/>
    <row r="6389" ht="12.75"/>
    <row r="6390" ht="12.75"/>
    <row r="6391" ht="12.75"/>
    <row r="6392" ht="12.75"/>
    <row r="6393" ht="12.75"/>
    <row r="6394" ht="12.75"/>
    <row r="6395" ht="12.75"/>
    <row r="6396" ht="12.75"/>
    <row r="6397" ht="12.75"/>
    <row r="6398" ht="12.75"/>
    <row r="6399" ht="12.75"/>
    <row r="6400" ht="12.75"/>
    <row r="6401" ht="12.75"/>
    <row r="6402" ht="12.75"/>
    <row r="6403" ht="12.75"/>
    <row r="6404" ht="12.75"/>
    <row r="6405" ht="12.75"/>
    <row r="6406" ht="12.75"/>
    <row r="6407" ht="12.75"/>
    <row r="6408" ht="12.75"/>
    <row r="6409" ht="12.75"/>
    <row r="6410" ht="12.75"/>
    <row r="6411" ht="12.75"/>
    <row r="6412" ht="12.75"/>
    <row r="6413" ht="12.75"/>
    <row r="6414" ht="12.75"/>
    <row r="6415" ht="12.75"/>
    <row r="6416" ht="12.75"/>
    <row r="6417" ht="12.75"/>
    <row r="6418" ht="12.75"/>
    <row r="6419" ht="12.75"/>
    <row r="6420" ht="12.75"/>
    <row r="6421" ht="12.75"/>
    <row r="6422" ht="12.75"/>
    <row r="6423" ht="12.75"/>
    <row r="6424" ht="12.75"/>
    <row r="6425" ht="12.75"/>
    <row r="6426" ht="12.75"/>
    <row r="6427" ht="12.75"/>
    <row r="6428" ht="12.75"/>
    <row r="6429" ht="12.75"/>
    <row r="6430" ht="12.75"/>
    <row r="6431" ht="12.75"/>
    <row r="6432" ht="12.75"/>
    <row r="6433" ht="12.75"/>
    <row r="6434" ht="12.75"/>
    <row r="6435" ht="12.75"/>
    <row r="6436" ht="12.75"/>
    <row r="6437" ht="12.75"/>
    <row r="6438" ht="12.75"/>
    <row r="6439" ht="12.75"/>
    <row r="6440" ht="12.75"/>
    <row r="6441" ht="12.75"/>
    <row r="6442" ht="12.75"/>
    <row r="6443" ht="12.75"/>
    <row r="6444" ht="12.75"/>
    <row r="6445" ht="12.75"/>
    <row r="6446" ht="12.75"/>
    <row r="6447" ht="12.75"/>
    <row r="6448" ht="12.75"/>
    <row r="6449" ht="12.75"/>
    <row r="6450" ht="12.75"/>
    <row r="6451" ht="12.75"/>
    <row r="6452" ht="12.75"/>
    <row r="6453" ht="12.75"/>
    <row r="6454" ht="12.75"/>
    <row r="6455" ht="12.75"/>
    <row r="6456" ht="12.75"/>
    <row r="6457" ht="12.75"/>
    <row r="6458" ht="12.75"/>
    <row r="6459" ht="12.75"/>
    <row r="6460" ht="12.75"/>
    <row r="6461" ht="12.75"/>
    <row r="6462" ht="12.75"/>
    <row r="6463" ht="12.75"/>
    <row r="6464" ht="12.75"/>
    <row r="6465" ht="12.75"/>
    <row r="6466" ht="12.75"/>
    <row r="6467" ht="12.75"/>
    <row r="6468" ht="12.75"/>
    <row r="6469" ht="12.75"/>
    <row r="6470" ht="12.75"/>
    <row r="6471" ht="12.75"/>
    <row r="6472" ht="12.75"/>
    <row r="6473" ht="12.75"/>
    <row r="6474" ht="12.75"/>
    <row r="6475" ht="12.75"/>
    <row r="6476" ht="12.75"/>
    <row r="6477" ht="12.75"/>
    <row r="6478" ht="12.75"/>
    <row r="6479" ht="12.75"/>
    <row r="6480" ht="12.75"/>
    <row r="6481" ht="12.75"/>
    <row r="6482" ht="12.75"/>
    <row r="6483" ht="12.75"/>
    <row r="6484" ht="12.75"/>
    <row r="6485" ht="12.75"/>
    <row r="6486" ht="12.75"/>
    <row r="6487" ht="12.75"/>
    <row r="6488" ht="12.75"/>
    <row r="6489" ht="12.75"/>
    <row r="6490" ht="12.75"/>
    <row r="6491" ht="12.75"/>
    <row r="6492" ht="12.75"/>
    <row r="6493" ht="12.75"/>
    <row r="6494" ht="12.75"/>
    <row r="6495" ht="12.75"/>
    <row r="6496" ht="12.75"/>
    <row r="6497" ht="12.75"/>
    <row r="6498" ht="12.75"/>
    <row r="6499" ht="12.75"/>
    <row r="6500" ht="12.75"/>
    <row r="6501" ht="12.75"/>
    <row r="6502" ht="12.75"/>
    <row r="6503" ht="12.75"/>
    <row r="6504" ht="12.75"/>
    <row r="6505" ht="12.75"/>
    <row r="6506" ht="12.75"/>
    <row r="6507" ht="12.75"/>
    <row r="6508" ht="12.75"/>
    <row r="6509" ht="12.75"/>
    <row r="6510" ht="12.75"/>
    <row r="6511" ht="12.75"/>
    <row r="6512" ht="12.75"/>
    <row r="6513" ht="12.75"/>
    <row r="6514" ht="12.75"/>
    <row r="6515" ht="12.75"/>
    <row r="6516" ht="12.75"/>
    <row r="6517" ht="12.75"/>
    <row r="6518" ht="12.75"/>
    <row r="6519" ht="12.75"/>
    <row r="6520" ht="12.75"/>
    <row r="6521" ht="12.75"/>
    <row r="6522" ht="12.75"/>
    <row r="6523" ht="12.75"/>
    <row r="6524" ht="12.75"/>
    <row r="6525" ht="12.75"/>
    <row r="6526" ht="12.75"/>
    <row r="6527" ht="12.75"/>
    <row r="6528" ht="12.75"/>
    <row r="6529" ht="12.75"/>
    <row r="6530" ht="12.75"/>
    <row r="6531" ht="12.75"/>
    <row r="6532" ht="12.75"/>
    <row r="6533" ht="12.75"/>
    <row r="6534" ht="12.75"/>
    <row r="6535" ht="12.75"/>
    <row r="6536" ht="12.75"/>
    <row r="6537" ht="12.75"/>
    <row r="6538" ht="12.75"/>
    <row r="6539" ht="12.75"/>
    <row r="6540" ht="12.75"/>
    <row r="6541" ht="12.75"/>
    <row r="6542" ht="12.75"/>
    <row r="6543" ht="12.75"/>
    <row r="6544" ht="12.75"/>
    <row r="6545" ht="12.75"/>
    <row r="6546" ht="12.75"/>
    <row r="6547" ht="12.75"/>
    <row r="6548" ht="12.75"/>
    <row r="6549" ht="12.75"/>
    <row r="6550" ht="12.75"/>
    <row r="6551" ht="12.75"/>
    <row r="6552" ht="12.75"/>
    <row r="6553" ht="12.75"/>
    <row r="6554" ht="12.75"/>
    <row r="6555" ht="12.75"/>
    <row r="6556" ht="12.75"/>
    <row r="6557" ht="12.75"/>
    <row r="6558" ht="12.75"/>
    <row r="6559" ht="12.75"/>
    <row r="6560" ht="12.75"/>
    <row r="6561" ht="12.75"/>
    <row r="6562" ht="12.75"/>
    <row r="6563" ht="12.75"/>
    <row r="6564" ht="12.75"/>
    <row r="6565" ht="12.75"/>
    <row r="6566" ht="12.75"/>
    <row r="6567" ht="12.75"/>
    <row r="6568" ht="12.75"/>
    <row r="6569" ht="12.75"/>
    <row r="6570" ht="12.75"/>
    <row r="6571" ht="12.75"/>
    <row r="6572" ht="12.75"/>
    <row r="6573" ht="12.75"/>
    <row r="6574" ht="12.75"/>
    <row r="6575" ht="12.75"/>
    <row r="6576" ht="12.75"/>
    <row r="6577" ht="12.75"/>
    <row r="6578" ht="12.75"/>
    <row r="6579" ht="12.75"/>
    <row r="6580" ht="12.75"/>
    <row r="6581" ht="12.75"/>
    <row r="6582" ht="12.75"/>
    <row r="6583" ht="12.75"/>
    <row r="6584" ht="12.75"/>
    <row r="6585" ht="12.75"/>
    <row r="6586" ht="12.75"/>
    <row r="6587" ht="12.75"/>
    <row r="6588" ht="12.75"/>
    <row r="6589" ht="12.75"/>
    <row r="6590" ht="12.75"/>
    <row r="6591" ht="12.75"/>
    <row r="6592" ht="12.75"/>
    <row r="6593" ht="12.75"/>
    <row r="6594" ht="12.75"/>
    <row r="6595" ht="12.75"/>
    <row r="6596" ht="12.75"/>
    <row r="6597" ht="12.75"/>
    <row r="6598" ht="12.75"/>
    <row r="6599" ht="12.75"/>
    <row r="6600" ht="12.75"/>
    <row r="6601" ht="12.75"/>
    <row r="6602" ht="12.75"/>
    <row r="6603" ht="12.75"/>
    <row r="6604" ht="12.75"/>
    <row r="6605" ht="12.75"/>
    <row r="6606" ht="12.75"/>
    <row r="6607" ht="12.75"/>
    <row r="6608" ht="12.75"/>
    <row r="6609" ht="12.75"/>
    <row r="6610" ht="12.75"/>
    <row r="6611" ht="12.75"/>
    <row r="6612" ht="12.75"/>
    <row r="6613" ht="12.75"/>
    <row r="6614" ht="12.75"/>
    <row r="6615" ht="12.75"/>
    <row r="6616" ht="12.75"/>
    <row r="6617" ht="12.75"/>
    <row r="6618" ht="12.75"/>
    <row r="6619" ht="12.75"/>
    <row r="6620" ht="12.75"/>
    <row r="6621" ht="12.75"/>
    <row r="6622" ht="12.75"/>
    <row r="6623" ht="12.75"/>
    <row r="6624" ht="12.75"/>
    <row r="6625" ht="12.75"/>
    <row r="6626" ht="12.75"/>
    <row r="6627" ht="12.75"/>
    <row r="6628" ht="12.75"/>
    <row r="6629" ht="12.75"/>
    <row r="6630" ht="12.75"/>
    <row r="6631" ht="12.75"/>
    <row r="6632" ht="12.75"/>
    <row r="6633" ht="12.75"/>
    <row r="6634" ht="12.75"/>
    <row r="6635" ht="12.75"/>
    <row r="6636" ht="12.75"/>
    <row r="6637" ht="12.75"/>
    <row r="6638" ht="12.75"/>
    <row r="6639" ht="12.75"/>
    <row r="6640" ht="12.75"/>
    <row r="6641" ht="12.75"/>
    <row r="6642" ht="12.75"/>
    <row r="6643" ht="12.75"/>
    <row r="6644" ht="12.75"/>
    <row r="6645" ht="12.75"/>
    <row r="6646" ht="12.75"/>
    <row r="6647" ht="12.75"/>
    <row r="6648" ht="12.75"/>
    <row r="6649" ht="12.75"/>
    <row r="6650" ht="12.75"/>
    <row r="6651" ht="12.75"/>
    <row r="6652" ht="12.75"/>
    <row r="6653" ht="12.75"/>
    <row r="6654" ht="12.75"/>
    <row r="6655" ht="12.75"/>
    <row r="6656" ht="12.75"/>
    <row r="6657" ht="12.75"/>
    <row r="6658" ht="12.75"/>
    <row r="6659" ht="12.75"/>
    <row r="6660" ht="12.75"/>
    <row r="6661" ht="12.75"/>
    <row r="6662" ht="12.75"/>
    <row r="6663" ht="12.75"/>
    <row r="6664" ht="12.75"/>
    <row r="6665" ht="12.75"/>
    <row r="6666" ht="12.75"/>
    <row r="6667" ht="12.75"/>
    <row r="6668" ht="12.75"/>
    <row r="6669" ht="12.75"/>
    <row r="6670" ht="12.75"/>
    <row r="6671" ht="12.75"/>
    <row r="6672" ht="12.75"/>
    <row r="6673" ht="12.75"/>
    <row r="6674" ht="12.75"/>
    <row r="6675" ht="12.75"/>
    <row r="6676" ht="12.75"/>
    <row r="6677" ht="12.75"/>
    <row r="6678" ht="12.75"/>
    <row r="6679" ht="12.75"/>
    <row r="6680" ht="12.75"/>
    <row r="6681" ht="12.75"/>
    <row r="6682" ht="12.75"/>
    <row r="6683" ht="12.75"/>
    <row r="6684" ht="12.75"/>
    <row r="6685" ht="12.75"/>
    <row r="6686" ht="12.75"/>
    <row r="6687" ht="12.75"/>
    <row r="6688" ht="12.75"/>
    <row r="6689" ht="12.75"/>
    <row r="6690" ht="12.75"/>
    <row r="6691" ht="12.75"/>
    <row r="6692" ht="12.75"/>
    <row r="6693" ht="12.75"/>
    <row r="6694" ht="12.75"/>
    <row r="6695" ht="12.75"/>
    <row r="6696" ht="12.75"/>
    <row r="6697" ht="12.75"/>
    <row r="6698" ht="12.75"/>
    <row r="6699" ht="12.75"/>
    <row r="6700" ht="12.75"/>
    <row r="6701" ht="12.75"/>
    <row r="6702" ht="12.75"/>
    <row r="6703" ht="12.75"/>
    <row r="6704" ht="12.75"/>
    <row r="6705" ht="12.75"/>
    <row r="6706" ht="12.75"/>
    <row r="6707" ht="12.75"/>
    <row r="6708" ht="12.75"/>
    <row r="6709" ht="12.75"/>
    <row r="6710" ht="12.75"/>
    <row r="6711" ht="12.75"/>
    <row r="6712" ht="12.75"/>
    <row r="6713" ht="12.75"/>
    <row r="6714" ht="12.75"/>
    <row r="6715" ht="12.75"/>
    <row r="6716" ht="12.75"/>
    <row r="6717" ht="12.75"/>
    <row r="6718" ht="12.75"/>
    <row r="6719" ht="12.75"/>
    <row r="6720" ht="12.75"/>
    <row r="6721" ht="12.75"/>
    <row r="6722" ht="12.75"/>
    <row r="6723" ht="12.75"/>
    <row r="6724" ht="12.75"/>
    <row r="6725" ht="12.75"/>
    <row r="6726" ht="12.75"/>
    <row r="6727" ht="12.75"/>
    <row r="6728" ht="12.75"/>
    <row r="6729" ht="12.75"/>
    <row r="6730" ht="12.75"/>
    <row r="6731" ht="12.75"/>
    <row r="6732" ht="12.75"/>
    <row r="6733" ht="12.75"/>
    <row r="6734" ht="12.75"/>
    <row r="6735" ht="12.75"/>
    <row r="6736" ht="12.75"/>
    <row r="6737" ht="12.75"/>
    <row r="6738" ht="12.75"/>
    <row r="6739" ht="12.75"/>
    <row r="6740" ht="12.75"/>
    <row r="6741" ht="12.75"/>
    <row r="6742" ht="12.75"/>
    <row r="6743" ht="12.75"/>
    <row r="6744" ht="12.75"/>
    <row r="6745" ht="12.75"/>
    <row r="6746" ht="12.75"/>
    <row r="6747" ht="12.75"/>
    <row r="6748" ht="12.75"/>
    <row r="6749" ht="12.75"/>
    <row r="6750" ht="12.75"/>
    <row r="6751" ht="12.75"/>
    <row r="6752" ht="12.75"/>
    <row r="6753" ht="12.75"/>
    <row r="6754" ht="12.75"/>
    <row r="6755" ht="12.75"/>
    <row r="6756" ht="12.75"/>
    <row r="6757" ht="12.75"/>
    <row r="6758" ht="12.75"/>
    <row r="6759" ht="12.75"/>
    <row r="6760" ht="12.75"/>
    <row r="6761" ht="12.75"/>
    <row r="6762" ht="12.75"/>
    <row r="6763" ht="12.75"/>
    <row r="6764" ht="12.75"/>
    <row r="6765" ht="12.75"/>
    <row r="6766" ht="12.75"/>
    <row r="6767" ht="12.75"/>
    <row r="6768" ht="12.75"/>
    <row r="6769" ht="12.75"/>
    <row r="6770" ht="12.75"/>
    <row r="6771" ht="12.75"/>
    <row r="6772" ht="12.75"/>
    <row r="6773" ht="12.75"/>
    <row r="6774" ht="12.75"/>
    <row r="6775" ht="12.75"/>
    <row r="6776" ht="12.75"/>
    <row r="6777" ht="12.75"/>
    <row r="6778" ht="12.75"/>
    <row r="6779" ht="12.75"/>
    <row r="6780" ht="12.75"/>
    <row r="6781" ht="12.75"/>
    <row r="6782" ht="12.75"/>
    <row r="6783" ht="12.75"/>
    <row r="6784" ht="12.75"/>
    <row r="6785" ht="12.75"/>
    <row r="6786" ht="12.75"/>
    <row r="6787" ht="12.75"/>
    <row r="6788" ht="12.75"/>
    <row r="6789" ht="12.75"/>
    <row r="6790" ht="12.75"/>
    <row r="6791" ht="12.75"/>
    <row r="6792" ht="12.75"/>
    <row r="6793" ht="12.75"/>
    <row r="6794" ht="12.75"/>
    <row r="6795" ht="12.75"/>
    <row r="6796" ht="12.75"/>
    <row r="6797" ht="12.75"/>
    <row r="6798" ht="12.75"/>
    <row r="6799" ht="12.75"/>
    <row r="6800" ht="12.75"/>
    <row r="6801" ht="12.75"/>
    <row r="6802" ht="12.75"/>
    <row r="6803" ht="12.75"/>
    <row r="6804" ht="12.75"/>
    <row r="6805" ht="12.75"/>
    <row r="6806" ht="12.75"/>
    <row r="6807" ht="12.75"/>
    <row r="6808" ht="12.75"/>
    <row r="6809" ht="12.75"/>
    <row r="6810" ht="12.75"/>
    <row r="6811" ht="12.75"/>
    <row r="6812" ht="12.75"/>
    <row r="6813" ht="12.75"/>
    <row r="6814" ht="12.75"/>
    <row r="6815" ht="12.75"/>
    <row r="6816" ht="12.75"/>
    <row r="6817" ht="12.75"/>
    <row r="6818" ht="12.75"/>
    <row r="6819" ht="12.75"/>
    <row r="6820" ht="12.75"/>
    <row r="6821" ht="12.75"/>
    <row r="6822" ht="12.75"/>
    <row r="6823" ht="12.75"/>
    <row r="6824" ht="12.75"/>
    <row r="6825" ht="12.75"/>
    <row r="6826" ht="12.75"/>
    <row r="6827" ht="12.75"/>
    <row r="6828" ht="12.75"/>
    <row r="6829" ht="12.75"/>
    <row r="6830" ht="12.75"/>
    <row r="6831" ht="12.75"/>
    <row r="6832" ht="12.75"/>
    <row r="6833" ht="12.75"/>
    <row r="6834" ht="12.75"/>
    <row r="6835" ht="12.75"/>
    <row r="6836" ht="12.75"/>
    <row r="6837" ht="12.75"/>
    <row r="6838" ht="12.75"/>
    <row r="6839" ht="12.75"/>
    <row r="6840" ht="12.75"/>
    <row r="6841" ht="12.75"/>
    <row r="6842" ht="12.75"/>
    <row r="6843" ht="12.75"/>
    <row r="6844" ht="12.75"/>
    <row r="6845" ht="12.75"/>
    <row r="6846" ht="12.75"/>
    <row r="6847" ht="12.75"/>
    <row r="6848" ht="12.75"/>
    <row r="6849" ht="12.75"/>
    <row r="6850" ht="12.75"/>
    <row r="6851" ht="12.75"/>
    <row r="6852" ht="12.75"/>
    <row r="6853" ht="12.75"/>
    <row r="6854" ht="12.75"/>
    <row r="6855" ht="12.75"/>
    <row r="6856" ht="12.75"/>
    <row r="6857" ht="12.75"/>
    <row r="6858" ht="12.75"/>
    <row r="6859" ht="12.75"/>
    <row r="6860" ht="12.75"/>
    <row r="6861" ht="12.75"/>
    <row r="6862" ht="12.75"/>
    <row r="6863" ht="12.75"/>
    <row r="6864" ht="12.75"/>
    <row r="6865" ht="12.75"/>
    <row r="6866" ht="12.75"/>
    <row r="6867" ht="12.75"/>
    <row r="6868" ht="12.75"/>
    <row r="6869" ht="12.75"/>
    <row r="6870" ht="12.75"/>
    <row r="6871" ht="12.75"/>
    <row r="6872" ht="12.75"/>
    <row r="6873" ht="12.75"/>
    <row r="6874" ht="12.75"/>
    <row r="6875" ht="12.75"/>
    <row r="6876" ht="12.75"/>
    <row r="6877" ht="12.75"/>
    <row r="6878" ht="12.75"/>
    <row r="6879" ht="12.75"/>
    <row r="6880" ht="12.75"/>
    <row r="6881" ht="12.75"/>
    <row r="6882" ht="12.75"/>
    <row r="6883" ht="12.75"/>
    <row r="6884" ht="12.75"/>
    <row r="6885" ht="12.75"/>
    <row r="6886" ht="12.75"/>
    <row r="6887" ht="12.75"/>
    <row r="6888" ht="12.75"/>
    <row r="6889" ht="12.75"/>
    <row r="6890" ht="12.75"/>
    <row r="6891" ht="12.75"/>
    <row r="6892" ht="12.75"/>
    <row r="6893" ht="12.75"/>
    <row r="6894" ht="12.75"/>
    <row r="6895" ht="12.75"/>
    <row r="6896" ht="12.75"/>
    <row r="6897" ht="12.75"/>
    <row r="6898" ht="12.75"/>
    <row r="6899" ht="12.75"/>
    <row r="6900" ht="12.75"/>
    <row r="6901" ht="12.75"/>
    <row r="6902" ht="12.75"/>
    <row r="6903" ht="12.75"/>
    <row r="6904" ht="12.75"/>
    <row r="6905" ht="12.75"/>
    <row r="6906" ht="12.75"/>
    <row r="6907" ht="12.75"/>
    <row r="6908" ht="12.75"/>
    <row r="6909" ht="12.75"/>
    <row r="6910" ht="12.75"/>
    <row r="6911" ht="12.75"/>
    <row r="6912" ht="12.75"/>
    <row r="6913" ht="12.75"/>
    <row r="6914" ht="12.75"/>
    <row r="6915" ht="12.75"/>
    <row r="6916" ht="12.75"/>
    <row r="6917" ht="12.75"/>
    <row r="6918" ht="12.75"/>
    <row r="6919" ht="12.75"/>
    <row r="6920" ht="12.75"/>
    <row r="6921" ht="12.75"/>
    <row r="6922" ht="12.75"/>
    <row r="6923" ht="12.75"/>
    <row r="6924" ht="12.75"/>
    <row r="6925" ht="12.75"/>
    <row r="6926" ht="12.75"/>
    <row r="6927" ht="12.75"/>
    <row r="6928" ht="12.75"/>
    <row r="6929" ht="12.75"/>
    <row r="6930" ht="12.75"/>
    <row r="6931" ht="12.75"/>
    <row r="6932" ht="12.75"/>
    <row r="6933" ht="12.75"/>
    <row r="6934" ht="12.75"/>
    <row r="6935" ht="12.75"/>
    <row r="6936" ht="12.75"/>
    <row r="6937" ht="12.75"/>
    <row r="6938" ht="12.75"/>
    <row r="6939" ht="12.75"/>
    <row r="6940" ht="12.75"/>
    <row r="6941" ht="12.75"/>
    <row r="6942" ht="12.75"/>
    <row r="6943" ht="12.75"/>
    <row r="6944" ht="12.75"/>
    <row r="6945" ht="12.75"/>
    <row r="6946" ht="12.75"/>
    <row r="6947" ht="12.75"/>
    <row r="6948" ht="12.75"/>
    <row r="6949" ht="12.75"/>
    <row r="6950" ht="12.75"/>
    <row r="6951" ht="12.75"/>
    <row r="6952" ht="12.75"/>
    <row r="6953" ht="12.75"/>
    <row r="6954" ht="12.75"/>
    <row r="6955" ht="12.75"/>
    <row r="6956" ht="12.75"/>
    <row r="6957" ht="12.75"/>
    <row r="6958" ht="12.75"/>
    <row r="6959" ht="12.75"/>
    <row r="6960" ht="12.75"/>
    <row r="6961" ht="12.75"/>
    <row r="6962" ht="12.75"/>
    <row r="6963" ht="12.75"/>
    <row r="6964" ht="12.75"/>
    <row r="6965" ht="12.75"/>
    <row r="6966" ht="12.75"/>
    <row r="6967" ht="12.75"/>
    <row r="6968" ht="12.75"/>
    <row r="6969" ht="12.75"/>
    <row r="6970" ht="12.75"/>
    <row r="6971" ht="12.75"/>
    <row r="6972" ht="12.75"/>
    <row r="6973" ht="12.75"/>
    <row r="6974" ht="12.75"/>
    <row r="6975" ht="12.75"/>
    <row r="6976" ht="12.75"/>
    <row r="6977" ht="12.75"/>
    <row r="6978" ht="12.75"/>
    <row r="6979" ht="12.75"/>
    <row r="6980" ht="12.75"/>
    <row r="6981" ht="12.75"/>
    <row r="6982" ht="12.75"/>
    <row r="6983" ht="12.75"/>
    <row r="6984" ht="12.75"/>
    <row r="6985" ht="12.75"/>
    <row r="6986" ht="12.75"/>
    <row r="6987" ht="12.75"/>
    <row r="6988" ht="12.75"/>
    <row r="6989" ht="12.75"/>
    <row r="6990" ht="12.75"/>
    <row r="6991" ht="12.75"/>
    <row r="6992" ht="12.75"/>
    <row r="6993" ht="12.75"/>
    <row r="6994" ht="12.75"/>
    <row r="6995" ht="12.75"/>
    <row r="6996" ht="12.75"/>
    <row r="6997" ht="12.75"/>
    <row r="6998" ht="12.75"/>
    <row r="6999" ht="12.75"/>
    <row r="7000" ht="12.75"/>
    <row r="7001" ht="12.75"/>
    <row r="7002" ht="12.75"/>
    <row r="7003" ht="12.75"/>
    <row r="7004" ht="12.75"/>
    <row r="7005" ht="12.75"/>
    <row r="7006" ht="12.75"/>
    <row r="7007" ht="12.75"/>
    <row r="7008" ht="12.75"/>
    <row r="7009" ht="12.75"/>
    <row r="7010" ht="12.75"/>
    <row r="7011" ht="12.75"/>
    <row r="7012" ht="12.75"/>
    <row r="7013" ht="12.75"/>
    <row r="7014" ht="12.75"/>
    <row r="7015" ht="12.75"/>
    <row r="7016" ht="12.75"/>
    <row r="7017" ht="12.75"/>
    <row r="7018" ht="12.75"/>
    <row r="7019" ht="12.75"/>
    <row r="7020" ht="12.75"/>
    <row r="7021" ht="12.75"/>
    <row r="7022" ht="12.75"/>
    <row r="7023" ht="12.75"/>
    <row r="7024" ht="12.75"/>
    <row r="7025" ht="12.75"/>
    <row r="7026" ht="12.75"/>
    <row r="7027" ht="12.75"/>
    <row r="7028" ht="12.75"/>
    <row r="7029" ht="12.75"/>
    <row r="7030" ht="12.75"/>
    <row r="7031" ht="12.75"/>
    <row r="7032" ht="12.75"/>
    <row r="7033" ht="12.75"/>
    <row r="7034" ht="12.75"/>
    <row r="7035" ht="12.75"/>
    <row r="7036" ht="12.75"/>
    <row r="7037" ht="12.75"/>
    <row r="7038" ht="12.75"/>
    <row r="7039" ht="12.75"/>
    <row r="7040" ht="12.75"/>
    <row r="7041" ht="12.75"/>
    <row r="7042" ht="12.75"/>
    <row r="7043" ht="12.75"/>
    <row r="7044" ht="12.75"/>
    <row r="7045" ht="12.75"/>
    <row r="7046" ht="12.75"/>
    <row r="7047" ht="12.75"/>
    <row r="7048" ht="12.75"/>
    <row r="7049" ht="12.75"/>
    <row r="7050" ht="12.75"/>
    <row r="7051" ht="12.75"/>
    <row r="7052" ht="12.75"/>
    <row r="7053" ht="12.75"/>
    <row r="7054" ht="12.75"/>
    <row r="7055" ht="12.75"/>
    <row r="7056" ht="12.75"/>
    <row r="7057" ht="12.75"/>
    <row r="7058" ht="12.75"/>
    <row r="7059" ht="12.75"/>
    <row r="7060" ht="12.75"/>
    <row r="7061" ht="12.75"/>
    <row r="7062" ht="12.75"/>
    <row r="7063" ht="12.75"/>
    <row r="7064" ht="12.75"/>
    <row r="7065" ht="12.75"/>
    <row r="7066" ht="12.75"/>
    <row r="7067" ht="12.75"/>
    <row r="7068" ht="12.75"/>
    <row r="7069" ht="12.75"/>
    <row r="7070" ht="12.75"/>
    <row r="7071" ht="12.75"/>
    <row r="7072" ht="12.75"/>
    <row r="7073" ht="12.75"/>
    <row r="7074" ht="12.75"/>
    <row r="7075" ht="12.75"/>
    <row r="7076" ht="12.75"/>
    <row r="7077" ht="12.75"/>
    <row r="7078" ht="12.75"/>
    <row r="7079" ht="12.75"/>
    <row r="7080" ht="12.75"/>
    <row r="7081" ht="12.75"/>
    <row r="7082" ht="12.75"/>
    <row r="7083" ht="12.75"/>
    <row r="7084" ht="12.75"/>
    <row r="7085" ht="12.75"/>
    <row r="7086" ht="12.75"/>
    <row r="7087" ht="12.75"/>
    <row r="7088" ht="12.75"/>
    <row r="7089" ht="12.75"/>
    <row r="7090" ht="12.75"/>
    <row r="7091" ht="12.75"/>
    <row r="7092" ht="12.75"/>
    <row r="7093" ht="12.75"/>
    <row r="7094" ht="12.75"/>
    <row r="7095" ht="12.75"/>
    <row r="7096" ht="12.75"/>
    <row r="7097" ht="12.75"/>
    <row r="7098" ht="12.75"/>
    <row r="7099" ht="12.75"/>
    <row r="7100" ht="12.75"/>
    <row r="7101" ht="12.75"/>
    <row r="7102" ht="12.75"/>
    <row r="7103" ht="12.75"/>
    <row r="7104" ht="12.75"/>
    <row r="7105" ht="12.75"/>
    <row r="7106" ht="12.75"/>
    <row r="7107" ht="12.75"/>
    <row r="7108" ht="12.75"/>
    <row r="7109" ht="12.75"/>
    <row r="7110" ht="12.75"/>
    <row r="7111" ht="12.75"/>
    <row r="7112" ht="12.75"/>
    <row r="7113" ht="12.75"/>
    <row r="7114" ht="12.75"/>
    <row r="7115" ht="12.75"/>
    <row r="7116" ht="12.75"/>
    <row r="7117" ht="12.75"/>
    <row r="7118" ht="12.75"/>
    <row r="7119" ht="12.75"/>
    <row r="7120" ht="12.75"/>
    <row r="7121" ht="12.75"/>
    <row r="7122" ht="12.75"/>
    <row r="7123" ht="12.75"/>
    <row r="7124" ht="12.75"/>
    <row r="7125" ht="12.75"/>
    <row r="7126" ht="12.75"/>
    <row r="7127" ht="12.75"/>
    <row r="7128" ht="12.75"/>
    <row r="7129" ht="12.75"/>
    <row r="7130" ht="12.75"/>
    <row r="7131" ht="12.75"/>
    <row r="7132" ht="12.75"/>
    <row r="7133" ht="12.75"/>
    <row r="7134" ht="12.75"/>
    <row r="7135" ht="12.75"/>
    <row r="7136" ht="12.75"/>
    <row r="7137" ht="12.75"/>
    <row r="7138" ht="12.75"/>
    <row r="7139" ht="12.75"/>
    <row r="7140" ht="12.75"/>
    <row r="7141" ht="12.75"/>
    <row r="7142" ht="12.75"/>
    <row r="7143" ht="12.75"/>
    <row r="7144" ht="12.75"/>
    <row r="7145" ht="12.75"/>
    <row r="7146" ht="12.75"/>
    <row r="7147" ht="12.75"/>
    <row r="7148" ht="12.75"/>
    <row r="7149" ht="12.75"/>
    <row r="7150" ht="12.75"/>
    <row r="7151" ht="12.75"/>
    <row r="7152" ht="12.75"/>
    <row r="7153" ht="12.75"/>
    <row r="7154" ht="12.75"/>
    <row r="7155" ht="12.75"/>
    <row r="7156" ht="12.75"/>
    <row r="7157" ht="12.75"/>
    <row r="7158" ht="12.75"/>
    <row r="7159" ht="12.75"/>
    <row r="7160" ht="12.75"/>
    <row r="7161" ht="12.75"/>
    <row r="7162" ht="12.75"/>
    <row r="7163" ht="12.75"/>
    <row r="7164" ht="12.75"/>
    <row r="7165" ht="12.75"/>
    <row r="7166" ht="12.75"/>
    <row r="7167" ht="12.75"/>
    <row r="7168" ht="12.75"/>
    <row r="7169" ht="12.75"/>
    <row r="7170" ht="12.75"/>
    <row r="7171" ht="12.75"/>
    <row r="7172" ht="12.75"/>
    <row r="7173" ht="12.75"/>
    <row r="7174" ht="12.75"/>
    <row r="7175" ht="12.75"/>
    <row r="7176" ht="12.75"/>
    <row r="7177" ht="12.75"/>
    <row r="7178" ht="12.75"/>
    <row r="7179" ht="12.75"/>
    <row r="7180" ht="12.75"/>
    <row r="7181" ht="12.75"/>
    <row r="7182" ht="12.75"/>
    <row r="7183" ht="12.75"/>
    <row r="7184" ht="12.75"/>
    <row r="7185" ht="12.75"/>
    <row r="7186" ht="12.75"/>
    <row r="7187" ht="12.75"/>
    <row r="7188" ht="12.75"/>
    <row r="7189" ht="12.75"/>
    <row r="7190" ht="12.75"/>
    <row r="7191" ht="12.75"/>
    <row r="7192" ht="12.75"/>
    <row r="7193" ht="12.75"/>
    <row r="7194" ht="12.75"/>
    <row r="7195" ht="12.75"/>
    <row r="7196" ht="12.75"/>
    <row r="7197" ht="12.75"/>
    <row r="7198" ht="12.75"/>
    <row r="7199" ht="12.75"/>
    <row r="7200" ht="12.75"/>
    <row r="7201" ht="12.75"/>
    <row r="7202" ht="12.75"/>
    <row r="7203" ht="12.75"/>
    <row r="7204" ht="12.75"/>
    <row r="7205" ht="12.75"/>
    <row r="7206" ht="12.75"/>
    <row r="7207" ht="12.75"/>
    <row r="7208" ht="12.75"/>
    <row r="7209" ht="12.75"/>
    <row r="7210" ht="12.75"/>
    <row r="7211" ht="12.75"/>
    <row r="7212" ht="12.75"/>
    <row r="7213" ht="12.75"/>
    <row r="7214" ht="12.75"/>
    <row r="7215" ht="12.75"/>
    <row r="7216" ht="12.75"/>
    <row r="7217" ht="12.75"/>
    <row r="7218" ht="12.75"/>
    <row r="7219" ht="12.75"/>
    <row r="7220" ht="12.75"/>
    <row r="7221" ht="12.75"/>
    <row r="7222" ht="12.75"/>
    <row r="7223" ht="12.75"/>
    <row r="7224" ht="12.75"/>
    <row r="7225" ht="12.75"/>
    <row r="7226" ht="12.75"/>
    <row r="7227" ht="12.75"/>
    <row r="7228" ht="12.75"/>
    <row r="7229" ht="12.75"/>
    <row r="7230" ht="12.75"/>
    <row r="7231" ht="12.75"/>
    <row r="7232" ht="12.75"/>
    <row r="7233" ht="12.75"/>
    <row r="7234" ht="12.75"/>
    <row r="7235" ht="12.75"/>
    <row r="7236" ht="12.75"/>
    <row r="7237" ht="12.75"/>
    <row r="7238" ht="12.75"/>
    <row r="7239" ht="12.75"/>
    <row r="7240" ht="12.75"/>
    <row r="7241" ht="12.75"/>
    <row r="7242" ht="12.75"/>
    <row r="7243" ht="12.75"/>
    <row r="7244" ht="12.75"/>
    <row r="7245" ht="12.75"/>
    <row r="7246" ht="12.75"/>
    <row r="7247" ht="12.75"/>
    <row r="7248" ht="12.75"/>
    <row r="7249" ht="12.75"/>
    <row r="7250" ht="12.75"/>
    <row r="7251" ht="12.75"/>
    <row r="7252" ht="12.75"/>
    <row r="7253" ht="12.75"/>
    <row r="7254" ht="12.75"/>
    <row r="7255" ht="12.75"/>
    <row r="7256" ht="12.75"/>
    <row r="7257" ht="12.75"/>
    <row r="7258" ht="12.75"/>
    <row r="7259" ht="12.75"/>
    <row r="7260" ht="12.75"/>
    <row r="7261" ht="12.75"/>
    <row r="7262" ht="12.75"/>
    <row r="7263" ht="12.75"/>
    <row r="7264" ht="12.75"/>
    <row r="7265" ht="12.75"/>
    <row r="7266" ht="12.75"/>
    <row r="7267" ht="12.75"/>
    <row r="7268" ht="12.75"/>
    <row r="7269" ht="12.75"/>
    <row r="7270" ht="12.75"/>
    <row r="7271" ht="12.75"/>
    <row r="7272" ht="12.75"/>
    <row r="7273" ht="12.75"/>
    <row r="7274" ht="12.75"/>
    <row r="7275" ht="12.75"/>
    <row r="7276" ht="12.75"/>
    <row r="7277" ht="12.75"/>
    <row r="7278" ht="12.75"/>
    <row r="7279" ht="12.75"/>
    <row r="7280" ht="12.75"/>
    <row r="7281" ht="12.75"/>
    <row r="7282" ht="12.75"/>
    <row r="7283" ht="12.75"/>
    <row r="7284" ht="12.75"/>
    <row r="7285" ht="12.75"/>
    <row r="7286" ht="12.75"/>
    <row r="7287" ht="12.75"/>
    <row r="7288" ht="12.75"/>
    <row r="7289" ht="12.75"/>
    <row r="7290" ht="12.75"/>
    <row r="7291" ht="12.75"/>
    <row r="7292" ht="12.75"/>
    <row r="7293" ht="12.75"/>
    <row r="7294" ht="12.75"/>
    <row r="7295" ht="12.75"/>
    <row r="7296" ht="12.75"/>
    <row r="7297" ht="12.75"/>
    <row r="7298" ht="12.75"/>
    <row r="7299" ht="12.75"/>
    <row r="7300" ht="12.75"/>
    <row r="7301" ht="12.75"/>
    <row r="7302" ht="12.75"/>
    <row r="7303" ht="12.75"/>
    <row r="7304" ht="12.75"/>
    <row r="7305" ht="12.75"/>
    <row r="7306" ht="12.75"/>
    <row r="7307" ht="12.75"/>
    <row r="7308" ht="12.75"/>
    <row r="7309" ht="12.75"/>
    <row r="7310" ht="12.75"/>
    <row r="7311" ht="12.75"/>
    <row r="7312" ht="12.75"/>
    <row r="7313" ht="12.75"/>
    <row r="7314" ht="12.75"/>
    <row r="7315" ht="12.75"/>
    <row r="7316" ht="12.75"/>
    <row r="7317" ht="12.75"/>
    <row r="7318" ht="12.75"/>
    <row r="7319" ht="12.75"/>
    <row r="7320" ht="12.75"/>
    <row r="7321" ht="12.75"/>
    <row r="7322" ht="12.75"/>
    <row r="7323" ht="12.75"/>
    <row r="7324" ht="12.75"/>
    <row r="7325" ht="12.75"/>
    <row r="7326" ht="12.75"/>
    <row r="7327" ht="12.75"/>
    <row r="7328" ht="12.75"/>
    <row r="7329" ht="12.75"/>
    <row r="7330" ht="12.75"/>
    <row r="7331" ht="12.75"/>
    <row r="7332" ht="12.75"/>
    <row r="7333" ht="12.75"/>
    <row r="7334" ht="12.75"/>
    <row r="7335" ht="12.75"/>
    <row r="7336" ht="12.75"/>
    <row r="7337" ht="12.75"/>
    <row r="7338" ht="12.75"/>
    <row r="7339" ht="12.75"/>
    <row r="7340" ht="12.75"/>
    <row r="7341" ht="12.75"/>
    <row r="7342" ht="12.75"/>
    <row r="7343" ht="12.75"/>
    <row r="7344" ht="12.75"/>
    <row r="7345" ht="12.75"/>
    <row r="7346" ht="12.75"/>
    <row r="7347" ht="12.75"/>
    <row r="7348" ht="12.75"/>
    <row r="7349" ht="12.75"/>
    <row r="7350" ht="12.75"/>
    <row r="7351" ht="12.75"/>
    <row r="7352" ht="12.75"/>
    <row r="7353" ht="12.75"/>
    <row r="7354" ht="12.75"/>
    <row r="7355" ht="12.75"/>
    <row r="7356" ht="12.75"/>
    <row r="7357" ht="12.75"/>
    <row r="7358" ht="12.75"/>
    <row r="7359" ht="12.75"/>
    <row r="7360" ht="12.75"/>
    <row r="7361" ht="12.75"/>
    <row r="7362" ht="12.75"/>
    <row r="7363" ht="12.75"/>
    <row r="7364" ht="12.75"/>
    <row r="7365" ht="12.75"/>
    <row r="7366" ht="12.75"/>
    <row r="7367" ht="12.75"/>
    <row r="7368" ht="12.75"/>
    <row r="7369" ht="12.75"/>
    <row r="7370" ht="12.75"/>
    <row r="7371" ht="12.75"/>
    <row r="7372" ht="12.75"/>
    <row r="7373" ht="12.75"/>
    <row r="7374" ht="12.75"/>
    <row r="7375" ht="12.75"/>
    <row r="7376" ht="12.75"/>
    <row r="7377" ht="12.75"/>
    <row r="7378" ht="12.75"/>
    <row r="7379" ht="12.75"/>
    <row r="7380" ht="12.75"/>
    <row r="7381" ht="12.75"/>
    <row r="7382" ht="12.75"/>
    <row r="7383" ht="12.75"/>
    <row r="7384" ht="12.75"/>
    <row r="7385" ht="12.75"/>
    <row r="7386" ht="12.75"/>
    <row r="7387" ht="12.75"/>
    <row r="7388" ht="12.75"/>
    <row r="7389" ht="12.75"/>
    <row r="7390" ht="12.75"/>
    <row r="7391" ht="12.75"/>
    <row r="7392" ht="12.75"/>
    <row r="7393" ht="12.75"/>
    <row r="7394" ht="12.75"/>
    <row r="7395" ht="12.75"/>
    <row r="7396" ht="12.75"/>
    <row r="7397" ht="12.75"/>
    <row r="7398" ht="12.75"/>
    <row r="7399" ht="12.75"/>
    <row r="7400" ht="12.75"/>
    <row r="7401" ht="12.75"/>
    <row r="7402" ht="12.75"/>
    <row r="7403" ht="12.75"/>
    <row r="7404" ht="12.75"/>
    <row r="7405" ht="12.75"/>
    <row r="7406" ht="12.75"/>
    <row r="7407" ht="12.75"/>
    <row r="7408" ht="12.75"/>
    <row r="7409" ht="12.75"/>
    <row r="7410" ht="12.75"/>
    <row r="7411" ht="12.75"/>
    <row r="7412" ht="12.75"/>
    <row r="7413" ht="12.75"/>
    <row r="7414" ht="12.75"/>
    <row r="7415" ht="12.75"/>
    <row r="7416" ht="12.75"/>
    <row r="7417" ht="12.75"/>
    <row r="7418" ht="12.75"/>
    <row r="7419" ht="12.75"/>
    <row r="7420" ht="12.75"/>
    <row r="7421" ht="12.75"/>
    <row r="7422" ht="12.75"/>
    <row r="7423" ht="12.75"/>
    <row r="7424" ht="12.75"/>
    <row r="7425" ht="12.75"/>
    <row r="7426" ht="12.75"/>
    <row r="7427" ht="12.75"/>
    <row r="7428" ht="12.75"/>
    <row r="7429" ht="12.75"/>
    <row r="7430" ht="12.75"/>
    <row r="7431" ht="12.75"/>
    <row r="7432" ht="12.75"/>
    <row r="7433" ht="12.75"/>
    <row r="7434" ht="12.75"/>
    <row r="7435" ht="12.75"/>
    <row r="7436" ht="12.75"/>
    <row r="7437" ht="12.75"/>
    <row r="7438" ht="12.75"/>
    <row r="7439" ht="12.75"/>
    <row r="7440" ht="12.75"/>
    <row r="7441" ht="12.75"/>
    <row r="7442" ht="12.75"/>
    <row r="7443" ht="12.75"/>
    <row r="7444" ht="12.75"/>
    <row r="7445" ht="12.75"/>
    <row r="7446" ht="12.75"/>
    <row r="7447" ht="12.75"/>
    <row r="7448" ht="12.75"/>
    <row r="7449" ht="12.75"/>
    <row r="7450" ht="12.75"/>
    <row r="7451" ht="12.75"/>
    <row r="7452" ht="12.75"/>
    <row r="7453" ht="12.75"/>
    <row r="7454" ht="12.75"/>
    <row r="7455" ht="12.75"/>
    <row r="7456" ht="12.75"/>
    <row r="7457" ht="12.75"/>
    <row r="7458" ht="12.75"/>
    <row r="7459" ht="12.75"/>
    <row r="7460" ht="12.75"/>
    <row r="7461" ht="12.75"/>
    <row r="7462" ht="12.75"/>
    <row r="7463" ht="12.75"/>
    <row r="7464" ht="12.75"/>
    <row r="7465" ht="12.75"/>
    <row r="7466" ht="12.75"/>
    <row r="7467" ht="12.75"/>
    <row r="7468" ht="12.75"/>
    <row r="7469" ht="12.75"/>
    <row r="7470" ht="12.75"/>
    <row r="7471" ht="12.75"/>
    <row r="7472" ht="12.75"/>
    <row r="7473" ht="12.75"/>
    <row r="7474" ht="12.75"/>
    <row r="7475" ht="12.75"/>
    <row r="7476" ht="12.75"/>
    <row r="7477" ht="12.75"/>
    <row r="7478" ht="12.75"/>
    <row r="7479" ht="12.75"/>
    <row r="7480" ht="12.75"/>
    <row r="7481" ht="12.75"/>
    <row r="7482" ht="12.75"/>
    <row r="7483" ht="12.75"/>
    <row r="7484" ht="12.75"/>
    <row r="7485" ht="12.75"/>
    <row r="7486" ht="12.75"/>
    <row r="7487" ht="12.75"/>
    <row r="7488" ht="12.75"/>
    <row r="7489" ht="12.75"/>
    <row r="7490" ht="12.75"/>
    <row r="7491" ht="12.75"/>
    <row r="7492" ht="12.75"/>
    <row r="7493" ht="12.75"/>
    <row r="7494" ht="12.75"/>
    <row r="7495" ht="12.75"/>
    <row r="7496" ht="12.75"/>
    <row r="7497" ht="12.75"/>
    <row r="7498" ht="12.75"/>
    <row r="7499" ht="12.75"/>
    <row r="7500" ht="12.75"/>
    <row r="7501" ht="12.75"/>
    <row r="7502" ht="12.75"/>
    <row r="7503" ht="12.75"/>
    <row r="7504" ht="12.75"/>
    <row r="7505" ht="12.75"/>
    <row r="7506" ht="12.75"/>
    <row r="7507" ht="12.75"/>
    <row r="7508" ht="12.75"/>
    <row r="7509" ht="12.75"/>
    <row r="7510" ht="12.75"/>
    <row r="7511" ht="12.75"/>
    <row r="7512" ht="12.75"/>
    <row r="7513" ht="12.75"/>
    <row r="7514" ht="12.75"/>
    <row r="7515" ht="12.75"/>
    <row r="7516" ht="12.75"/>
    <row r="7517" ht="12.75"/>
    <row r="7518" ht="12.75"/>
    <row r="7519" ht="12.75"/>
    <row r="7520" ht="12.75"/>
    <row r="7521" ht="12.75"/>
    <row r="7522" ht="12.75"/>
    <row r="7523" ht="12.75"/>
    <row r="7524" ht="12.75"/>
    <row r="7525" ht="12.75"/>
    <row r="7526" ht="12.75"/>
    <row r="7527" ht="12.75"/>
    <row r="7528" ht="12.75"/>
    <row r="7529" ht="12.75"/>
    <row r="7530" ht="12.75"/>
    <row r="7531" ht="12.75"/>
    <row r="7532" ht="12.75"/>
    <row r="7533" ht="12.75"/>
    <row r="7534" ht="12.75"/>
    <row r="7535" ht="12.75"/>
    <row r="7536" ht="12.75"/>
    <row r="7537" ht="12.75"/>
    <row r="7538" ht="12.75"/>
    <row r="7539" ht="12.75"/>
    <row r="7540" ht="12.75"/>
    <row r="7541" ht="12.75"/>
    <row r="7542" ht="12.75"/>
    <row r="7543" ht="12.75"/>
    <row r="7544" ht="12.75"/>
    <row r="7545" ht="12.75"/>
    <row r="7546" ht="12.75"/>
    <row r="7547" ht="12.75"/>
    <row r="7548" ht="12.75"/>
    <row r="7549" ht="12.75"/>
    <row r="7550" ht="12.75"/>
    <row r="7551" ht="12.75"/>
    <row r="7552" ht="12.75"/>
    <row r="7553" ht="12.75"/>
    <row r="7554" ht="12.75"/>
    <row r="7555" ht="12.75"/>
    <row r="7556" ht="12.75"/>
    <row r="7557" ht="12.75"/>
    <row r="7558" ht="12.75"/>
    <row r="7559" ht="12.75"/>
    <row r="7560" ht="12.75"/>
    <row r="7561" ht="12.75"/>
    <row r="7562" ht="12.75"/>
    <row r="7563" ht="12.75"/>
    <row r="7564" ht="12.75"/>
    <row r="7565" ht="12.75"/>
    <row r="7566" ht="12.75"/>
    <row r="7567" ht="12.75"/>
    <row r="7568" ht="12.75"/>
    <row r="7569" ht="12.75"/>
    <row r="7570" ht="12.75"/>
    <row r="7571" ht="12.75"/>
    <row r="7572" ht="12.75"/>
    <row r="7573" ht="12.75"/>
    <row r="7574" ht="12.75"/>
    <row r="7575" ht="12.75"/>
    <row r="7576" ht="12.75"/>
    <row r="7577" ht="12.75"/>
    <row r="7578" ht="12.75"/>
    <row r="7579" ht="12.75"/>
    <row r="7580" ht="12.75"/>
    <row r="7581" ht="12.75"/>
    <row r="7582" ht="12.75"/>
    <row r="7583" ht="12.75"/>
    <row r="7584" ht="12.75"/>
    <row r="7585" ht="12.75"/>
    <row r="7586" ht="12.75"/>
    <row r="7587" ht="12.75"/>
    <row r="7588" ht="12.75"/>
    <row r="7589" ht="12.75"/>
    <row r="7590" ht="12.75"/>
    <row r="7591" ht="12.75"/>
    <row r="7592" ht="12.75"/>
    <row r="7593" ht="12.75"/>
    <row r="7594" ht="12.75"/>
    <row r="7595" ht="12.75"/>
    <row r="7596" ht="12.75"/>
    <row r="7597" ht="12.75"/>
    <row r="7598" ht="12.75"/>
    <row r="7599" ht="12.75"/>
    <row r="7600" ht="12.75"/>
    <row r="7601" ht="12.75"/>
    <row r="7602" ht="12.75"/>
    <row r="7603" ht="12.75"/>
    <row r="7604" ht="12.75"/>
    <row r="7605" ht="12.75"/>
    <row r="7606" ht="12.75"/>
    <row r="7607" ht="12.75"/>
    <row r="7608" ht="12.75"/>
    <row r="7609" ht="12.75"/>
    <row r="7610" ht="12.75"/>
    <row r="7611" ht="12.75"/>
    <row r="7612" ht="12.75"/>
    <row r="7613" ht="12.75"/>
    <row r="7614" ht="12.75"/>
    <row r="7615" ht="12.75"/>
    <row r="7616" ht="12.75"/>
    <row r="7617" ht="12.75"/>
    <row r="7618" ht="12.75"/>
    <row r="7619" ht="12.75"/>
    <row r="7620" ht="12.75"/>
    <row r="7621" ht="12.75"/>
    <row r="7622" ht="12.75"/>
    <row r="7623" ht="12.75"/>
    <row r="7624" ht="12.75"/>
    <row r="7625" ht="12.75"/>
    <row r="7626" ht="12.75"/>
    <row r="7627" ht="12.75"/>
    <row r="7628" ht="12.75"/>
    <row r="7629" ht="12.75"/>
    <row r="7630" ht="12.75"/>
    <row r="7631" ht="12.75"/>
    <row r="7632" ht="12.75"/>
    <row r="7633" ht="12.75"/>
    <row r="7634" ht="12.75"/>
    <row r="7635" ht="12.75"/>
    <row r="7636" ht="12.75"/>
    <row r="7637" ht="12.75"/>
    <row r="7638" ht="12.75"/>
    <row r="7639" ht="12.75"/>
    <row r="7640" ht="12.75"/>
    <row r="7641" ht="12.75"/>
    <row r="7642" ht="12.75"/>
    <row r="7643" ht="12.75"/>
    <row r="7644" ht="12.75"/>
    <row r="7645" ht="12.75"/>
    <row r="7646" ht="12.75"/>
    <row r="7647" ht="12.75"/>
    <row r="7648" ht="12.75"/>
    <row r="7649" ht="12.75"/>
    <row r="7650" ht="12.75"/>
    <row r="7651" ht="12.75"/>
    <row r="7652" ht="12.75"/>
    <row r="7653" ht="12.75"/>
    <row r="7654" ht="12.75"/>
    <row r="7655" ht="12.75"/>
    <row r="7656" ht="12.75"/>
    <row r="7657" ht="12.75"/>
    <row r="7658" ht="12.75"/>
    <row r="7659" ht="12.75"/>
    <row r="7660" ht="12.75"/>
    <row r="7661" ht="12.75"/>
    <row r="7662" ht="12.75"/>
    <row r="7663" ht="12.75"/>
    <row r="7664" ht="12.75"/>
    <row r="7665" ht="12.75"/>
    <row r="7666" ht="12.75"/>
    <row r="7667" ht="12.75"/>
    <row r="7668" ht="12.75"/>
    <row r="7669" ht="12.75"/>
    <row r="7670" ht="12.75"/>
    <row r="7671" ht="12.75"/>
    <row r="7672" ht="12.75"/>
    <row r="7673" ht="12.75"/>
    <row r="7674" ht="12.75"/>
    <row r="7675" ht="12.75"/>
    <row r="7676" ht="12.75"/>
    <row r="7677" ht="12.75"/>
    <row r="7678" ht="12.75"/>
    <row r="7679" ht="12.75"/>
    <row r="7680" ht="12.75"/>
    <row r="7681" ht="12.75"/>
    <row r="7682" ht="12.75"/>
    <row r="7683" ht="12.75"/>
    <row r="7684" ht="12.75"/>
    <row r="7685" ht="12.75"/>
    <row r="7686" ht="12.75"/>
    <row r="7687" ht="12.75"/>
    <row r="7688" ht="12.75"/>
    <row r="7689" ht="12.75"/>
    <row r="7690" ht="12.75"/>
    <row r="7691" ht="12.75"/>
    <row r="7692" ht="12.75"/>
    <row r="7693" ht="12.75"/>
    <row r="7694" ht="12.75"/>
    <row r="7695" ht="12.75"/>
    <row r="7696" ht="12.75"/>
    <row r="7697" ht="12.75"/>
    <row r="7698" ht="12.75"/>
    <row r="7699" ht="12.75"/>
    <row r="7700" ht="12.75"/>
    <row r="7701" ht="12.75"/>
    <row r="7702" ht="12.75"/>
    <row r="7703" ht="12.75"/>
    <row r="7704" ht="12.75"/>
    <row r="7705" ht="12.75"/>
    <row r="7706" ht="12.75"/>
    <row r="7707" ht="12.75"/>
    <row r="7708" ht="12.75"/>
    <row r="7709" ht="12.75"/>
    <row r="7710" ht="12.75"/>
    <row r="7711" ht="12.75"/>
    <row r="7712" ht="12.75"/>
    <row r="7713" ht="12.75"/>
    <row r="7714" ht="12.75"/>
    <row r="7715" ht="12.75"/>
    <row r="7716" ht="12.75"/>
    <row r="7717" ht="12.75"/>
    <row r="7718" ht="12.75"/>
    <row r="7719" ht="12.75"/>
    <row r="7720" ht="12.75"/>
    <row r="7721" ht="12.75"/>
    <row r="7722" ht="12.75"/>
    <row r="7723" ht="12.75"/>
    <row r="7724" ht="12.75"/>
    <row r="7725" ht="12.75"/>
    <row r="7726" ht="12.75"/>
    <row r="7727" ht="12.75"/>
    <row r="7728" ht="12.75"/>
    <row r="7729" ht="12.75"/>
    <row r="7730" ht="12.75"/>
    <row r="7731" ht="12.75"/>
    <row r="7732" ht="12.75"/>
    <row r="7733" ht="12.75"/>
    <row r="7734" ht="12.75"/>
    <row r="7735" ht="12.75"/>
    <row r="7736" ht="12.75"/>
    <row r="7737" ht="12.75"/>
    <row r="7738" ht="12.75"/>
    <row r="7739" ht="12.75"/>
    <row r="7740" ht="12.75"/>
    <row r="7741" ht="12.75"/>
    <row r="7742" ht="12.75"/>
    <row r="7743" ht="12.75"/>
    <row r="7744" ht="12.75"/>
    <row r="7745" ht="12.75"/>
    <row r="7746" ht="12.75"/>
    <row r="7747" ht="12.75"/>
    <row r="7748" ht="12.75"/>
    <row r="7749" ht="12.75"/>
    <row r="7750" ht="12.75"/>
    <row r="7751" ht="12.75"/>
    <row r="7752" ht="12.75"/>
    <row r="7753" ht="12.75"/>
    <row r="7754" ht="12.75"/>
    <row r="7755" ht="12.75"/>
    <row r="7756" ht="12.75"/>
    <row r="7757" ht="12.75"/>
    <row r="7758" ht="12.75"/>
    <row r="7759" ht="12.75"/>
    <row r="7760" ht="12.75"/>
    <row r="7761" ht="12.75"/>
    <row r="7762" ht="12.75"/>
    <row r="7763" ht="12.75"/>
    <row r="7764" ht="12.75"/>
    <row r="7765" ht="12.75"/>
    <row r="7766" ht="12.75"/>
    <row r="7767" ht="12.75"/>
    <row r="7768" ht="12.75"/>
    <row r="7769" ht="12.75"/>
    <row r="7770" ht="12.75"/>
    <row r="7771" ht="12.75"/>
    <row r="7772" ht="12.75"/>
    <row r="7773" ht="12.75"/>
    <row r="7774" ht="12.75"/>
    <row r="7775" ht="12.75"/>
    <row r="7776" ht="12.75"/>
    <row r="7777" ht="12.75"/>
    <row r="7778" ht="12.75"/>
    <row r="7779" ht="12.75"/>
    <row r="7780" ht="12.75"/>
    <row r="7781" ht="12.75"/>
    <row r="7782" ht="12.75"/>
    <row r="7783" ht="12.75"/>
    <row r="7784" ht="12.75"/>
    <row r="7785" ht="12.75"/>
    <row r="7786" ht="12.75"/>
    <row r="7787" ht="12.75"/>
    <row r="7788" ht="12.75"/>
    <row r="7789" ht="12.75"/>
    <row r="7790" ht="12.75"/>
    <row r="7791" ht="12.75"/>
    <row r="7792" ht="12.75"/>
    <row r="7793" ht="12.75"/>
    <row r="7794" ht="12.75"/>
    <row r="7795" ht="12.75"/>
    <row r="7796" ht="12.75"/>
    <row r="7797" ht="12.75"/>
    <row r="7798" ht="12.75"/>
    <row r="7799" ht="12.75"/>
    <row r="7800" ht="12.75"/>
    <row r="7801" ht="12.75"/>
    <row r="7802" ht="12.75"/>
    <row r="7803" ht="12.75"/>
    <row r="7804" ht="12.75"/>
    <row r="7805" ht="12.75"/>
    <row r="7806" ht="12.75"/>
    <row r="7807" ht="12.75"/>
    <row r="7808" ht="12.75"/>
    <row r="7809" ht="12.75"/>
    <row r="7810" ht="12.75"/>
    <row r="7811" ht="12.75"/>
    <row r="7812" ht="12.75"/>
    <row r="7813" ht="12.75"/>
    <row r="7814" ht="12.75"/>
    <row r="7815" ht="12.75"/>
    <row r="7816" ht="12.75"/>
    <row r="7817" ht="12.75"/>
    <row r="7818" ht="12.75"/>
    <row r="7819" ht="12.75"/>
    <row r="7820" ht="12.75"/>
    <row r="7821" ht="12.75"/>
    <row r="7822" ht="12.75"/>
    <row r="7823" ht="12.75"/>
    <row r="7824" ht="12.75"/>
    <row r="7825" ht="12.75"/>
    <row r="7826" ht="12.75"/>
    <row r="7827" ht="12.75"/>
    <row r="7828" ht="12.75"/>
    <row r="7829" ht="12.75"/>
    <row r="7830" ht="12.75"/>
    <row r="7831" ht="12.75"/>
    <row r="7832" ht="12.75"/>
    <row r="7833" ht="12.75"/>
    <row r="7834" ht="12.75"/>
    <row r="7835" ht="12.75"/>
    <row r="7836" ht="12.75"/>
    <row r="7837" ht="12.75"/>
    <row r="7838" ht="12.75"/>
    <row r="7839" ht="12.75"/>
    <row r="7840" ht="12.75"/>
    <row r="7841" ht="12.75"/>
    <row r="7842" ht="12.75"/>
    <row r="7843" ht="12.75"/>
    <row r="7844" ht="12.75"/>
    <row r="7845" ht="12.75"/>
    <row r="7846" ht="12.75"/>
    <row r="7847" ht="12.75"/>
    <row r="7848" ht="12.75"/>
    <row r="7849" ht="12.75"/>
    <row r="7850" ht="12.75"/>
    <row r="7851" ht="12.75"/>
    <row r="7852" ht="12.75"/>
    <row r="7853" ht="12.75"/>
    <row r="7854" ht="12.75"/>
    <row r="7855" ht="12.75"/>
    <row r="7856" ht="12.75"/>
    <row r="7857" ht="12.75"/>
    <row r="7858" ht="12.75"/>
    <row r="7859" ht="12.75"/>
    <row r="7860" ht="12.75"/>
    <row r="7861" ht="12.75"/>
    <row r="7862" ht="12.75"/>
    <row r="7863" ht="12.75"/>
    <row r="7864" ht="12.75"/>
    <row r="7865" ht="12.75"/>
    <row r="7866" ht="12.75"/>
    <row r="7867" ht="12.75"/>
    <row r="7868" ht="12.75"/>
    <row r="7869" ht="12.75"/>
    <row r="7870" ht="12.75"/>
    <row r="7871" ht="12.75"/>
    <row r="7872" ht="12.75"/>
    <row r="7873" ht="12.75"/>
    <row r="7874" ht="12.75"/>
    <row r="7875" ht="12.75"/>
    <row r="7876" ht="12.75"/>
    <row r="7877" ht="12.75"/>
    <row r="7878" ht="12.75"/>
    <row r="7879" ht="12.75"/>
    <row r="7880" ht="12.75"/>
    <row r="7881" ht="12.75"/>
    <row r="7882" ht="12.75"/>
    <row r="7883" ht="12.75"/>
    <row r="7884" ht="12.75"/>
    <row r="7885" ht="12.75"/>
    <row r="7886" ht="12.75"/>
    <row r="7887" ht="12.75"/>
    <row r="7888" ht="12.75"/>
    <row r="7889" ht="12.75"/>
    <row r="7890" ht="12.75"/>
    <row r="7891" ht="12.75"/>
    <row r="7892" ht="12.75"/>
    <row r="7893" ht="12.75"/>
    <row r="7894" ht="12.75"/>
    <row r="7895" ht="12.75"/>
    <row r="7896" ht="12.75"/>
    <row r="7897" ht="12.75"/>
    <row r="7898" ht="12.75"/>
    <row r="7899" ht="12.75"/>
    <row r="7900" ht="12.75"/>
    <row r="7901" ht="12.75"/>
    <row r="7902" ht="12.75"/>
    <row r="7903" ht="12.75"/>
    <row r="7904" ht="12.75"/>
    <row r="7905" ht="12.75"/>
    <row r="7906" ht="12.75"/>
    <row r="7907" ht="12.75"/>
    <row r="7908" ht="12.75"/>
    <row r="7909" ht="12.75"/>
    <row r="7910" ht="12.75"/>
    <row r="7911" ht="12.75"/>
    <row r="7912" ht="12.75"/>
    <row r="7913" ht="12.75"/>
    <row r="7914" ht="12.75"/>
    <row r="7915" ht="12.75"/>
    <row r="7916" ht="12.75"/>
    <row r="7917" ht="12.75"/>
    <row r="7918" ht="12.75"/>
    <row r="7919" ht="12.75"/>
    <row r="7920" ht="12.75"/>
    <row r="7921" ht="12.75"/>
    <row r="7922" ht="12.75"/>
    <row r="7923" ht="12.75"/>
    <row r="7924" ht="12.75"/>
    <row r="7925" ht="12.75"/>
    <row r="7926" ht="12.75"/>
    <row r="7927" ht="12.75"/>
    <row r="7928" ht="12.75"/>
    <row r="7929" ht="12.75"/>
    <row r="7930" ht="12.75"/>
    <row r="7931" ht="12.75"/>
    <row r="7932" ht="12.75"/>
    <row r="7933" ht="12.75"/>
    <row r="7934" ht="12.75"/>
    <row r="7935" ht="12.75"/>
    <row r="7936" ht="12.75"/>
    <row r="7937" ht="12.75"/>
    <row r="7938" ht="12.75"/>
    <row r="7939" ht="12.75"/>
    <row r="7940" ht="12.75"/>
    <row r="7941" ht="12.75"/>
    <row r="7942" ht="12.75"/>
    <row r="7943" ht="12.75"/>
    <row r="7944" ht="12.75"/>
    <row r="7945" ht="12.75"/>
    <row r="7946" ht="12.75"/>
    <row r="7947" ht="12.75"/>
    <row r="7948" ht="12.75"/>
    <row r="7949" ht="12.75"/>
    <row r="7950" ht="12.75"/>
    <row r="7951" ht="12.75"/>
    <row r="7952" ht="12.75"/>
    <row r="7953" ht="12.75"/>
    <row r="7954" ht="12.75"/>
    <row r="7955" ht="12.75"/>
    <row r="7956" ht="12.75"/>
    <row r="7957" ht="12.75"/>
    <row r="7958" ht="12.75"/>
    <row r="7959" ht="12.75"/>
    <row r="7960" ht="12.75"/>
    <row r="7961" ht="12.75"/>
    <row r="7962" ht="12.75"/>
    <row r="7963" ht="12.75"/>
    <row r="7964" ht="12.75"/>
    <row r="7965" ht="12.75"/>
    <row r="7966" ht="12.75"/>
    <row r="7967" ht="12.75"/>
    <row r="7968" ht="12.75"/>
    <row r="7969" ht="12.75"/>
    <row r="7970" ht="12.75"/>
    <row r="7971" ht="12.75"/>
    <row r="7972" ht="12.75"/>
    <row r="7973" ht="12.75"/>
    <row r="7974" ht="12.75"/>
    <row r="7975" ht="12.75"/>
    <row r="7976" ht="12.75"/>
    <row r="7977" ht="12.75"/>
    <row r="7978" ht="12.75"/>
    <row r="7979" ht="12.75"/>
    <row r="7980" ht="12.75"/>
    <row r="7981" ht="12.75"/>
    <row r="7982" ht="12.75"/>
    <row r="7983" ht="12.75"/>
    <row r="7984" ht="12.75"/>
    <row r="7985" ht="12.75"/>
    <row r="7986" ht="12.75"/>
    <row r="7987" ht="12.75"/>
    <row r="7988" ht="12.75"/>
    <row r="7989" ht="12.75"/>
    <row r="7990" ht="12.75"/>
    <row r="7991" ht="12.75"/>
    <row r="7992" ht="12.75"/>
    <row r="7993" ht="12.75"/>
    <row r="7994" ht="12.75"/>
    <row r="7995" ht="12.75"/>
    <row r="7996" ht="12.75"/>
    <row r="7997" ht="12.75"/>
    <row r="7998" ht="12.75"/>
    <row r="7999" ht="12.75"/>
    <row r="8000" ht="12.75"/>
    <row r="8001" ht="12.75"/>
    <row r="8002" ht="12.75"/>
    <row r="8003" ht="12.75"/>
    <row r="8004" ht="12.75"/>
    <row r="8005" ht="12.75"/>
    <row r="8006" ht="12.75"/>
    <row r="8007" ht="12.75"/>
    <row r="8008" ht="12.75"/>
    <row r="8009" ht="12.75"/>
    <row r="8010" ht="12.75"/>
    <row r="8011" ht="12.75"/>
    <row r="8012" ht="12.75"/>
    <row r="8013" ht="12.75"/>
    <row r="8014" ht="12.75"/>
    <row r="8015" ht="12.75"/>
    <row r="8016" ht="12.75"/>
    <row r="8017" ht="12.75"/>
    <row r="8018" ht="12.75"/>
    <row r="8019" ht="12.75"/>
    <row r="8020" ht="12.75"/>
    <row r="8021" ht="12.75"/>
    <row r="8022" ht="12.75"/>
    <row r="8023" ht="12.75"/>
    <row r="8024" ht="12.75"/>
    <row r="8025" ht="12.75"/>
    <row r="8026" ht="12.75"/>
    <row r="8027" ht="12.75"/>
    <row r="8028" ht="12.75"/>
    <row r="8029" ht="12.75"/>
    <row r="8030" ht="12.75"/>
    <row r="8031" ht="12.75"/>
    <row r="8032" ht="12.75"/>
    <row r="8033" ht="12.75"/>
    <row r="8034" ht="12.75"/>
    <row r="8035" ht="12.75"/>
    <row r="8036" ht="12.75"/>
    <row r="8037" ht="12.75"/>
    <row r="8038" ht="12.75"/>
    <row r="8039" ht="12.75"/>
    <row r="8040" ht="12.75"/>
    <row r="8041" ht="12.75"/>
    <row r="8042" ht="12.75"/>
    <row r="8043" ht="12.75"/>
    <row r="8044" ht="12.75"/>
    <row r="8045" ht="12.75"/>
    <row r="8046" ht="12.75"/>
    <row r="8047" ht="12.75"/>
    <row r="8048" ht="12.75"/>
    <row r="8049" ht="12.75"/>
    <row r="8050" ht="12.75"/>
    <row r="8051" ht="12.75"/>
    <row r="8052" ht="12.75"/>
    <row r="8053" ht="12.75"/>
    <row r="8054" ht="12.75"/>
    <row r="8055" ht="12.75"/>
    <row r="8056" ht="12.75"/>
    <row r="8057" ht="12.75"/>
    <row r="8058" ht="12.75"/>
    <row r="8059" ht="12.75"/>
    <row r="8060" ht="12.75"/>
    <row r="8061" ht="12.75"/>
    <row r="8062" ht="12.75"/>
    <row r="8063" ht="12.75"/>
    <row r="8064" ht="12.75"/>
    <row r="8065" ht="12.75"/>
    <row r="8066" ht="12.75"/>
    <row r="8067" ht="12.75"/>
    <row r="8068" ht="12.75"/>
    <row r="8069" ht="12.75"/>
    <row r="8070" ht="12.75"/>
    <row r="8071" ht="12.75"/>
    <row r="8072" ht="12.75"/>
    <row r="8073" ht="12.75"/>
    <row r="8074" ht="12.75"/>
    <row r="8075" ht="12.75"/>
    <row r="8076" ht="12.75"/>
    <row r="8077" ht="12.75"/>
    <row r="8078" ht="12.75"/>
    <row r="8079" ht="12.75"/>
    <row r="8080" ht="12.75"/>
    <row r="8081" ht="12.75"/>
    <row r="8082" ht="12.75"/>
    <row r="8083" ht="12.75"/>
    <row r="8084" ht="12.75"/>
    <row r="8085" ht="12.75"/>
    <row r="8086" ht="12.75"/>
    <row r="8087" ht="12.75"/>
    <row r="8088" ht="12.75"/>
    <row r="8089" ht="12.75"/>
    <row r="8090" ht="12.75"/>
    <row r="8091" ht="12.75"/>
    <row r="8092" ht="12.75"/>
    <row r="8093" ht="12.75"/>
    <row r="8094" ht="12.75"/>
    <row r="8095" ht="12.75"/>
    <row r="8096" ht="12.75"/>
    <row r="8097" ht="12.75"/>
    <row r="8098" ht="12.75"/>
    <row r="8099" ht="12.75"/>
    <row r="8100" ht="12.75"/>
    <row r="8101" ht="12.75"/>
    <row r="8102" ht="12.75"/>
    <row r="8103" ht="12.75"/>
    <row r="8104" ht="12.75"/>
    <row r="8105" ht="12.75"/>
    <row r="8106" ht="12.75"/>
    <row r="8107" ht="12.75"/>
    <row r="8108" ht="12.75"/>
    <row r="8109" ht="12.75"/>
    <row r="8110" ht="12.75"/>
    <row r="8111" ht="12.75"/>
    <row r="8112" ht="12.75"/>
    <row r="8113" ht="12.75"/>
    <row r="8114" ht="12.75"/>
    <row r="8115" ht="12.75"/>
    <row r="8116" ht="12.75"/>
    <row r="8117" ht="12.75"/>
    <row r="8118" ht="12.75"/>
    <row r="8119" ht="12.75"/>
    <row r="8120" ht="12.75"/>
    <row r="8121" ht="12.75"/>
    <row r="8122" ht="12.75"/>
    <row r="8123" ht="12.75"/>
    <row r="8124" ht="12.75"/>
    <row r="8125" ht="12.75"/>
    <row r="8126" ht="12.75"/>
    <row r="8127" ht="12.75"/>
    <row r="8128" ht="12.75"/>
    <row r="8129" ht="12.75"/>
    <row r="8130" ht="12.75"/>
    <row r="8131" ht="12.75"/>
    <row r="8132" ht="12.75"/>
    <row r="8133" ht="12.75"/>
    <row r="8134" ht="12.75"/>
    <row r="8135" ht="12.75"/>
    <row r="8136" ht="12.75"/>
    <row r="8137" ht="12.75"/>
    <row r="8138" ht="12.75"/>
    <row r="8139" ht="12.75"/>
    <row r="8140" ht="12.75"/>
    <row r="8141" ht="12.75"/>
    <row r="8142" ht="12.75"/>
    <row r="8143" ht="12.75"/>
    <row r="8144" ht="12.75"/>
    <row r="8145" ht="12.75"/>
    <row r="8146" ht="12.75"/>
    <row r="8147" ht="12.75"/>
    <row r="8148" ht="12.75"/>
    <row r="8149" ht="12.75"/>
    <row r="8150" ht="12.75"/>
    <row r="8151" ht="12.75"/>
    <row r="8152" ht="12.75"/>
    <row r="8153" ht="12.75"/>
    <row r="8154" ht="12.75"/>
    <row r="8155" ht="12.75"/>
    <row r="8156" ht="12.75"/>
    <row r="8157" ht="12.75"/>
    <row r="8158" ht="12.75"/>
    <row r="8159" ht="12.75"/>
    <row r="8160" ht="12.75"/>
    <row r="8161" ht="12.75"/>
    <row r="8162" ht="12.75"/>
    <row r="8163" ht="12.75"/>
    <row r="8164" ht="12.75"/>
    <row r="8165" ht="12.75"/>
    <row r="8166" ht="12.75"/>
    <row r="8167" ht="12.75"/>
    <row r="8168" ht="12.75"/>
    <row r="8169" ht="12.75"/>
    <row r="8170" ht="12.75"/>
    <row r="8171" ht="12.75"/>
    <row r="8172" ht="12.75"/>
    <row r="8173" ht="12.75"/>
    <row r="8174" ht="12.75"/>
    <row r="8175" ht="12.75"/>
    <row r="8176" ht="12.75"/>
    <row r="8177" ht="12.75"/>
    <row r="8178" ht="12.75"/>
    <row r="8179" ht="12.75"/>
    <row r="8180" ht="12.75"/>
    <row r="8181" ht="12.75"/>
    <row r="8182" ht="12.75"/>
    <row r="8183" ht="12.75"/>
    <row r="8184" ht="12.75"/>
    <row r="8185" ht="12.75"/>
    <row r="8186" ht="12.75"/>
    <row r="8187" ht="12.75"/>
    <row r="8188" ht="12.75"/>
    <row r="8189" ht="12.75"/>
    <row r="8190" ht="12.75"/>
    <row r="8191" ht="12.75"/>
    <row r="8192" ht="12.75"/>
    <row r="8193" ht="12.75"/>
    <row r="8194" ht="12.75"/>
    <row r="8195" ht="12.75"/>
    <row r="8196" ht="12.75"/>
    <row r="8197" ht="12.75"/>
    <row r="8198" ht="12.75"/>
    <row r="8199" ht="12.75"/>
    <row r="8200" ht="12.75"/>
    <row r="8201" ht="12.75"/>
    <row r="8202" ht="12.75"/>
    <row r="8203" ht="12.75"/>
    <row r="8204" ht="12.75"/>
    <row r="8205" ht="12.75"/>
    <row r="8206" ht="12.75"/>
    <row r="8207" ht="12.75"/>
    <row r="8208" ht="12.75"/>
    <row r="8209" ht="12.75"/>
    <row r="8210" ht="12.75"/>
    <row r="8211" ht="12.75"/>
    <row r="8212" ht="12.75"/>
    <row r="8213" ht="12.75"/>
    <row r="8214" ht="12.75"/>
    <row r="8215" ht="12.75"/>
    <row r="8216" ht="12.75"/>
    <row r="8217" ht="12.75"/>
    <row r="8218" ht="12.75"/>
    <row r="8219" ht="12.75"/>
    <row r="8220" ht="12.75"/>
    <row r="8221" ht="12.75"/>
    <row r="8222" ht="12.75"/>
    <row r="8223" ht="12.75"/>
    <row r="8224" ht="12.75"/>
    <row r="8225" ht="12.75"/>
    <row r="8226" ht="12.75"/>
    <row r="8227" ht="12.75"/>
    <row r="8228" ht="12.75"/>
    <row r="8229" ht="12.75"/>
    <row r="8230" ht="12.75"/>
    <row r="8231" ht="12.75"/>
    <row r="8232" ht="12.75"/>
    <row r="8233" ht="12.75"/>
    <row r="8234" ht="12.75"/>
    <row r="8235" ht="12.75"/>
    <row r="8236" ht="12.75"/>
    <row r="8237" ht="12.75"/>
    <row r="8238" ht="12.75"/>
    <row r="8239" ht="12.75"/>
    <row r="8240" ht="12.75"/>
    <row r="8241" ht="12.75"/>
    <row r="8242" ht="12.75"/>
    <row r="8243" ht="12.75"/>
    <row r="8244" ht="12.75"/>
    <row r="8245" ht="12.75"/>
    <row r="8246" ht="12.75"/>
    <row r="8247" ht="12.75"/>
    <row r="8248" ht="12.75"/>
    <row r="8249" ht="12.75"/>
    <row r="8250" ht="12.75"/>
    <row r="8251" ht="12.75"/>
    <row r="8252" ht="12.75"/>
    <row r="8253" ht="12.75"/>
    <row r="8254" ht="12.75"/>
    <row r="8255" ht="12.75"/>
    <row r="8256" ht="12.75"/>
    <row r="8257" ht="12.75"/>
    <row r="8258" ht="12.75"/>
    <row r="8259" ht="12.75"/>
    <row r="8260" ht="12.75"/>
    <row r="8261" ht="12.75"/>
    <row r="8262" ht="12.75"/>
    <row r="8263" ht="12.75"/>
    <row r="8264" ht="12.75"/>
    <row r="8265" ht="12.75"/>
    <row r="8266" ht="12.75"/>
    <row r="8267" ht="12.75"/>
    <row r="8268" ht="12.75"/>
    <row r="8269" ht="12.75"/>
    <row r="8270" ht="12.75"/>
    <row r="8271" ht="12.75"/>
    <row r="8272" ht="12.75"/>
    <row r="8273" ht="12.75"/>
    <row r="8274" ht="12.75"/>
    <row r="8275" ht="12.75"/>
    <row r="8276" ht="12.75"/>
    <row r="8277" ht="12.75"/>
    <row r="8278" ht="12.75"/>
    <row r="8279" ht="12.75"/>
    <row r="8280" ht="12.75"/>
    <row r="8281" ht="12.75"/>
    <row r="8282" ht="12.75"/>
    <row r="8283" ht="12.75"/>
    <row r="8284" ht="12.75"/>
    <row r="8285" ht="12.75"/>
    <row r="8286" ht="12.75"/>
    <row r="8287" ht="12.75"/>
    <row r="8288" ht="12.75"/>
    <row r="8289" ht="12.75"/>
    <row r="8290" ht="12.75"/>
    <row r="8291" ht="12.75"/>
    <row r="8292" ht="12.75"/>
    <row r="8293" ht="12.75"/>
    <row r="8294" ht="12.75"/>
    <row r="8295" ht="12.75"/>
    <row r="8296" ht="12.75"/>
    <row r="8297" ht="12.75"/>
    <row r="8298" ht="12.75"/>
    <row r="8299" ht="12.75"/>
    <row r="8300" ht="12.75"/>
    <row r="8301" ht="12.75"/>
    <row r="8302" ht="12.75"/>
    <row r="8303" ht="12.75"/>
    <row r="8304" ht="12.75"/>
    <row r="8305" ht="12.75"/>
    <row r="8306" ht="12.75"/>
    <row r="8307" ht="12.75"/>
    <row r="8308" ht="12.75"/>
    <row r="8309" ht="12.75"/>
    <row r="8310" ht="12.75"/>
    <row r="8311" ht="12.75"/>
    <row r="8312" ht="12.75"/>
    <row r="8313" ht="12.75"/>
    <row r="8314" ht="12.75"/>
    <row r="8315" ht="12.75"/>
    <row r="8316" ht="12.75"/>
    <row r="8317" ht="12.75"/>
    <row r="8318" ht="12.75"/>
    <row r="8319" ht="12.75"/>
    <row r="8320" ht="12.75"/>
    <row r="8321" ht="12.75"/>
    <row r="8322" ht="12.75"/>
    <row r="8323" ht="12.75"/>
    <row r="8324" ht="12.75"/>
    <row r="8325" ht="12.75"/>
    <row r="8326" ht="12.75"/>
    <row r="8327" ht="12.75"/>
    <row r="8328" ht="12.75"/>
    <row r="8329" ht="12.75"/>
    <row r="8330" ht="12.75"/>
    <row r="8331" ht="12.75"/>
    <row r="8332" ht="12.75"/>
    <row r="8333" ht="12.75"/>
    <row r="8334" ht="12.75"/>
    <row r="8335" ht="12.75"/>
    <row r="8336" ht="12.75"/>
    <row r="8337" ht="12.75"/>
    <row r="8338" ht="12.75"/>
    <row r="8339" ht="12.75"/>
    <row r="8340" ht="12.75"/>
    <row r="8341" ht="12.75"/>
    <row r="8342" ht="12.75"/>
    <row r="8343" ht="12.75"/>
    <row r="8344" ht="12.75"/>
    <row r="8345" ht="12.75"/>
    <row r="8346" ht="12.75"/>
    <row r="8347" ht="12.75"/>
    <row r="8348" ht="12.75"/>
    <row r="8349" ht="12.75"/>
    <row r="8350" ht="12.75"/>
    <row r="8351" ht="12.75"/>
    <row r="8352" ht="12.75"/>
    <row r="8353" ht="12.75"/>
    <row r="8354" ht="12.75"/>
    <row r="8355" ht="12.75"/>
    <row r="8356" ht="12.75"/>
    <row r="8357" ht="12.75"/>
    <row r="8358" ht="12.75"/>
    <row r="8359" ht="12.75"/>
    <row r="8360" ht="12.75"/>
    <row r="8361" ht="12.75"/>
    <row r="8362" ht="12.75"/>
    <row r="8363" ht="12.75"/>
    <row r="8364" ht="12.75"/>
    <row r="8365" ht="12.75"/>
    <row r="8366" ht="12.75"/>
    <row r="8367" ht="12.75"/>
    <row r="8368" ht="12.75"/>
    <row r="8369" ht="12.75"/>
    <row r="8370" ht="12.75"/>
    <row r="8371" ht="12.75"/>
    <row r="8372" ht="12.75"/>
    <row r="8373" ht="12.75"/>
    <row r="8374" ht="12.75"/>
    <row r="8375" ht="12.75"/>
    <row r="8376" ht="12.75"/>
    <row r="8377" ht="12.75"/>
    <row r="8378" ht="12.75"/>
    <row r="8379" ht="12.75"/>
    <row r="8380" ht="12.75"/>
    <row r="8381" ht="12.75"/>
    <row r="8382" ht="12.75"/>
    <row r="8383" ht="12.75"/>
    <row r="8384" ht="12.75"/>
    <row r="8385" ht="12.75"/>
    <row r="8386" ht="12.75"/>
    <row r="8387" ht="12.75"/>
    <row r="8388" ht="12.75"/>
    <row r="8389" ht="12.75"/>
    <row r="8390" ht="12.75"/>
    <row r="8391" ht="12.75"/>
    <row r="8392" ht="12.75"/>
    <row r="8393" ht="12.75"/>
    <row r="8394" ht="12.75"/>
    <row r="8395" ht="12.75"/>
    <row r="8396" ht="12.75"/>
    <row r="8397" ht="12.75"/>
    <row r="8398" ht="12.75"/>
    <row r="8399" ht="12.75"/>
    <row r="8400" ht="12.75"/>
    <row r="8401" ht="12.75"/>
    <row r="8402" ht="12.75"/>
    <row r="8403" ht="12.75"/>
    <row r="8404" ht="12.75"/>
    <row r="8405" ht="12.75"/>
    <row r="8406" ht="12.75"/>
    <row r="8407" ht="12.75"/>
    <row r="8408" ht="12.75"/>
    <row r="8409" ht="12.75"/>
    <row r="8410" ht="12.75"/>
    <row r="8411" ht="12.75"/>
    <row r="8412" ht="12.75"/>
    <row r="8413" ht="12.75"/>
    <row r="8414" ht="12.75"/>
    <row r="8415" ht="12.75"/>
    <row r="8416" ht="12.75"/>
    <row r="8417" ht="12.75"/>
    <row r="8418" ht="12.75"/>
    <row r="8419" ht="12.75"/>
    <row r="8420" ht="12.75"/>
    <row r="8421" ht="12.75"/>
    <row r="8422" ht="12.75"/>
    <row r="8423" ht="12.75"/>
    <row r="8424" ht="12.75"/>
    <row r="8425" ht="12.75"/>
    <row r="8426" ht="12.75"/>
    <row r="8427" ht="12.75"/>
    <row r="8428" ht="12.75"/>
    <row r="8429" ht="12.75"/>
    <row r="8430" ht="12.75"/>
    <row r="8431" ht="12.75"/>
    <row r="8432" ht="12.75"/>
    <row r="8433" ht="12.75"/>
    <row r="8434" ht="12.75"/>
    <row r="8435" ht="12.75"/>
    <row r="8436" ht="12.75"/>
    <row r="8437" ht="12.75"/>
    <row r="8438" ht="12.75"/>
    <row r="8439" ht="12.75"/>
    <row r="8440" ht="12.75"/>
    <row r="8441" ht="12.75"/>
    <row r="8442" ht="12.75"/>
    <row r="8443" ht="12.75"/>
    <row r="8444" ht="12.75"/>
    <row r="8445" ht="12.75"/>
    <row r="8446" ht="12.75"/>
    <row r="8447" ht="12.75"/>
    <row r="8448" ht="12.75"/>
    <row r="8449" ht="12.75"/>
    <row r="8450" ht="12.75"/>
    <row r="8451" ht="12.75"/>
    <row r="8452" ht="12.75"/>
    <row r="8453" ht="12.75"/>
    <row r="8454" ht="12.75"/>
    <row r="8455" ht="12.75"/>
    <row r="8456" ht="12.75"/>
    <row r="8457" ht="12.75"/>
    <row r="8458" ht="12.75"/>
    <row r="8459" ht="12.75"/>
    <row r="8460" ht="12.75"/>
    <row r="8461" ht="12.75"/>
    <row r="8462" ht="12.75"/>
    <row r="8463" ht="12.75"/>
    <row r="8464" ht="12.75"/>
    <row r="8465" ht="12.75"/>
    <row r="8466" ht="12.75"/>
    <row r="8467" ht="12.75"/>
    <row r="8468" ht="12.75"/>
    <row r="8469" ht="12.75"/>
    <row r="8470" ht="12.75"/>
    <row r="8471" ht="12.75"/>
    <row r="8472" ht="12.75"/>
    <row r="8473" ht="12.75"/>
    <row r="8474" ht="12.75"/>
    <row r="8475" ht="12.75"/>
    <row r="8476" ht="12.75"/>
    <row r="8477" ht="12.75"/>
    <row r="8478" ht="12.75"/>
    <row r="8479" ht="12.75"/>
    <row r="8480" ht="12.75"/>
    <row r="8481" ht="12.75"/>
    <row r="8482" ht="12.75"/>
    <row r="8483" ht="12.75"/>
    <row r="8484" ht="12.75"/>
    <row r="8485" ht="12.75"/>
    <row r="8486" ht="12.75"/>
    <row r="8487" ht="12.75"/>
    <row r="8488" ht="12.75"/>
    <row r="8489" ht="12.75"/>
    <row r="8490" ht="12.75"/>
    <row r="8491" ht="12.75"/>
    <row r="8492" ht="12.75"/>
    <row r="8493" ht="12.75"/>
    <row r="8494" ht="12.75"/>
    <row r="8495" ht="12.75"/>
    <row r="8496" ht="12.75"/>
    <row r="8497" ht="12.75"/>
    <row r="8498" ht="12.75"/>
    <row r="8499" ht="12.75"/>
    <row r="8500" ht="12.75"/>
    <row r="8501" ht="12.75"/>
    <row r="8502" ht="12.75"/>
    <row r="8503" ht="12.75"/>
    <row r="8504" ht="12.75"/>
    <row r="8505" ht="12.75"/>
    <row r="8506" ht="12.75"/>
    <row r="8507" ht="12.75"/>
    <row r="8508" ht="12.75"/>
    <row r="8509" ht="12.75"/>
    <row r="8510" ht="12.75"/>
    <row r="8511" ht="12.75"/>
    <row r="8512" ht="12.75"/>
    <row r="8513" ht="12.75"/>
    <row r="8514" ht="12.75"/>
    <row r="8515" ht="12.75"/>
    <row r="8516" ht="12.75"/>
    <row r="8517" ht="12.75"/>
    <row r="8518" ht="12.75"/>
    <row r="8519" ht="12.75"/>
    <row r="8520" ht="12.75"/>
    <row r="8521" ht="12.75"/>
    <row r="8522" ht="12.75"/>
    <row r="8523" ht="12.75"/>
    <row r="8524" ht="12.75"/>
    <row r="8525" ht="12.75"/>
    <row r="8526" ht="12.75"/>
    <row r="8527" ht="12.75"/>
    <row r="8528" ht="12.75"/>
    <row r="8529" ht="12.75"/>
    <row r="8530" ht="12.75"/>
    <row r="8531" ht="12.75"/>
    <row r="8532" ht="12.75"/>
    <row r="8533" ht="12.75"/>
    <row r="8534" ht="12.75"/>
    <row r="8535" ht="12.75"/>
    <row r="8536" ht="12.75"/>
    <row r="8537" ht="12.75"/>
    <row r="8538" ht="12.75"/>
    <row r="8539" ht="12.75"/>
    <row r="8540" ht="12.75"/>
    <row r="8541" ht="12.75"/>
    <row r="8542" ht="12.75"/>
    <row r="8543" ht="12.75"/>
    <row r="8544" ht="12.75"/>
    <row r="8545" ht="12.75"/>
    <row r="8546" ht="12.75"/>
    <row r="8547" ht="12.75"/>
    <row r="8548" ht="12.75"/>
    <row r="8549" ht="12.75"/>
    <row r="8550" ht="12.75"/>
    <row r="8551" ht="12.75"/>
    <row r="8552" ht="12.75"/>
    <row r="8553" ht="12.75"/>
    <row r="8554" ht="12.75"/>
    <row r="8555" ht="12.75"/>
    <row r="8556" ht="12.75"/>
    <row r="8557" ht="12.75"/>
    <row r="8558" ht="12.75"/>
    <row r="8559" ht="12.75"/>
    <row r="8560" ht="12.75"/>
    <row r="8561" ht="12.75"/>
    <row r="8562" ht="12.75"/>
    <row r="8563" ht="12.75"/>
    <row r="8564" ht="12.75"/>
    <row r="8565" ht="12.75"/>
    <row r="8566" ht="12.75"/>
    <row r="8567" ht="12.75"/>
    <row r="8568" ht="12.75"/>
    <row r="8569" ht="12.75"/>
    <row r="8570" ht="12.75"/>
    <row r="8571" ht="12.75"/>
    <row r="8572" ht="12.75"/>
    <row r="8573" ht="12.75"/>
    <row r="8574" ht="12.75"/>
    <row r="8575" ht="12.75"/>
    <row r="8576" ht="12.75"/>
    <row r="8577" ht="12.75"/>
    <row r="8578" ht="12.75"/>
    <row r="8579" ht="12.75"/>
    <row r="8580" ht="12.75"/>
    <row r="8581" ht="12.75"/>
    <row r="8582" ht="12.75"/>
    <row r="8583" ht="12.75"/>
    <row r="8584" ht="12.75"/>
    <row r="8585" ht="12.75"/>
    <row r="8586" ht="12.75"/>
    <row r="8587" ht="12.75"/>
    <row r="8588" ht="12.75"/>
    <row r="8589" ht="12.75"/>
    <row r="8590" ht="12.75"/>
    <row r="8591" ht="12.75"/>
    <row r="8592" ht="12.75"/>
    <row r="8593" ht="12.75"/>
    <row r="8594" ht="12.75"/>
    <row r="8595" ht="12.75"/>
    <row r="8596" ht="12.75"/>
    <row r="8597" ht="12.75"/>
    <row r="8598" ht="12.75"/>
    <row r="8599" ht="12.75"/>
    <row r="8600" ht="12.75"/>
    <row r="8601" ht="12.75"/>
    <row r="8602" ht="12.75"/>
    <row r="8603" ht="12.75"/>
    <row r="8604" ht="12.75"/>
    <row r="8605" ht="12.75"/>
    <row r="8606" ht="12.75"/>
    <row r="8607" ht="12.75"/>
    <row r="8608" ht="12.75"/>
    <row r="8609" ht="12.75"/>
    <row r="8610" ht="12.75"/>
    <row r="8611" ht="12.75"/>
    <row r="8612" ht="12.75"/>
    <row r="8613" ht="12.75"/>
    <row r="8614" ht="12.75"/>
    <row r="8615" ht="12.75"/>
    <row r="8616" ht="12.75"/>
    <row r="8617" ht="12.75"/>
    <row r="8618" ht="12.75"/>
    <row r="8619" ht="12.75"/>
    <row r="8620" ht="12.75"/>
    <row r="8621" ht="12.75"/>
    <row r="8622" ht="12.75"/>
    <row r="8623" ht="12.75"/>
    <row r="8624" ht="12.75"/>
    <row r="8625" ht="12.75"/>
    <row r="8626" ht="12.75"/>
    <row r="8627" ht="12.75"/>
    <row r="8628" ht="12.75"/>
    <row r="8629" ht="12.75"/>
    <row r="8630" ht="12.75"/>
    <row r="8631" ht="12.75"/>
    <row r="8632" ht="12.75"/>
    <row r="8633" ht="12.75"/>
    <row r="8634" ht="12.75"/>
    <row r="8635" ht="12.75"/>
    <row r="8636" ht="12.75"/>
    <row r="8637" ht="12.75"/>
    <row r="8638" ht="12.75"/>
    <row r="8639" ht="12.75"/>
    <row r="8640" ht="12.75"/>
    <row r="8641" ht="12.75"/>
    <row r="8642" ht="12.75"/>
    <row r="8643" ht="12.75"/>
    <row r="8644" ht="12.75"/>
    <row r="8645" ht="12.75"/>
    <row r="8646" ht="12.75"/>
    <row r="8647" ht="12.75"/>
    <row r="8648" ht="12.75"/>
    <row r="8649" ht="12.75"/>
    <row r="8650" ht="12.75"/>
    <row r="8651" ht="12.75"/>
    <row r="8652" ht="12.75"/>
    <row r="8653" ht="12.75"/>
    <row r="8654" ht="12.75"/>
    <row r="8655" ht="12.75"/>
    <row r="8656" ht="12.75"/>
    <row r="8657" ht="12.75"/>
    <row r="8658" ht="12.75"/>
    <row r="8659" ht="12.75"/>
    <row r="8660" ht="12.75"/>
    <row r="8661" ht="12.75"/>
    <row r="8662" ht="12.75"/>
    <row r="8663" ht="12.75"/>
    <row r="8664" ht="12.75"/>
    <row r="8665" ht="12.75"/>
    <row r="8666" ht="12.75"/>
    <row r="8667" ht="12.75"/>
    <row r="8668" ht="12.75"/>
    <row r="8669" ht="12.75"/>
    <row r="8670" ht="12.75"/>
    <row r="8671" ht="12.75"/>
    <row r="8672" ht="12.75"/>
    <row r="8673" ht="12.75"/>
    <row r="8674" ht="12.75"/>
    <row r="8675" ht="12.75"/>
    <row r="8676" ht="12.75"/>
    <row r="8677" ht="12.75"/>
    <row r="8678" ht="12.75"/>
    <row r="8679" ht="12.75"/>
    <row r="8680" ht="12.75"/>
    <row r="8681" ht="12.75"/>
    <row r="8682" ht="12.75"/>
    <row r="8683" ht="12.75"/>
    <row r="8684" ht="12.75"/>
    <row r="8685" ht="12.75"/>
    <row r="8686" ht="12.75"/>
    <row r="8687" ht="12.75"/>
    <row r="8688" ht="12.75"/>
    <row r="8689" ht="12.75"/>
    <row r="8690" ht="12.75"/>
    <row r="8691" ht="12.75"/>
    <row r="8692" ht="12.75"/>
    <row r="8693" ht="12.75"/>
    <row r="8694" ht="12.75"/>
    <row r="8695" ht="12.75"/>
    <row r="8696" ht="12.75"/>
    <row r="8697" ht="12.75"/>
    <row r="8698" ht="12.75"/>
    <row r="8699" ht="12.75"/>
    <row r="8700" ht="12.75"/>
    <row r="8701" ht="12.75"/>
    <row r="8702" ht="12.75"/>
    <row r="8703" ht="12.75"/>
    <row r="8704" ht="12.75"/>
    <row r="8705" ht="12.75"/>
    <row r="8706" ht="12.75"/>
    <row r="8707" ht="12.75"/>
    <row r="8708" ht="12.75"/>
    <row r="8709" ht="12.75"/>
    <row r="8710" ht="12.75"/>
    <row r="8711" ht="12.75"/>
    <row r="8712" ht="12.75"/>
    <row r="8713" ht="12.75"/>
    <row r="8714" ht="12.75"/>
    <row r="8715" ht="12.75"/>
    <row r="8716" ht="12.75"/>
    <row r="8717" ht="12.75"/>
    <row r="8718" ht="12.75"/>
    <row r="8719" ht="12.75"/>
    <row r="8720" ht="12.75"/>
    <row r="8721" ht="12.75"/>
    <row r="8722" ht="12.75"/>
    <row r="8723" ht="12.75"/>
    <row r="8724" ht="12.75"/>
    <row r="8725" ht="12.75"/>
    <row r="8726" ht="12.75"/>
    <row r="8727" ht="12.75"/>
    <row r="8728" ht="12.75"/>
    <row r="8729" ht="12.75"/>
    <row r="8730" ht="12.75"/>
    <row r="8731" ht="12.75"/>
    <row r="8732" ht="12.75"/>
    <row r="8733" ht="12.75"/>
    <row r="8734" ht="12.75"/>
    <row r="8735" ht="12.75"/>
    <row r="8736" ht="12.75"/>
    <row r="8737" ht="12.75"/>
    <row r="8738" ht="12.75"/>
    <row r="8739" ht="12.75"/>
    <row r="8740" ht="12.75"/>
    <row r="8741" ht="12.75"/>
    <row r="8742" ht="12.75"/>
    <row r="8743" ht="12.75"/>
    <row r="8744" ht="12.75"/>
    <row r="8745" ht="12.75"/>
    <row r="8746" ht="12.75"/>
    <row r="8747" ht="12.75"/>
    <row r="8748" ht="12.75"/>
    <row r="8749" ht="12.75"/>
    <row r="8750" ht="12.75"/>
    <row r="8751" ht="12.75"/>
    <row r="8752" ht="12.75"/>
    <row r="8753" ht="12.75"/>
    <row r="8754" ht="12.75"/>
    <row r="8755" ht="12.75"/>
    <row r="8756" ht="12.75"/>
    <row r="8757" ht="12.75"/>
    <row r="8758" ht="12.75"/>
    <row r="8759" ht="12.75"/>
    <row r="8760" ht="12.75"/>
    <row r="8761" ht="12.75"/>
    <row r="8762" ht="12.75"/>
    <row r="8763" ht="12.75"/>
    <row r="8764" ht="12.75"/>
    <row r="8765" ht="12.75"/>
    <row r="8766" ht="12.75"/>
    <row r="8767" ht="12.75"/>
    <row r="8768" ht="12.75"/>
    <row r="8769" ht="12.75"/>
    <row r="8770" ht="12.75"/>
    <row r="8771" ht="12.75"/>
    <row r="8772" ht="12.75"/>
    <row r="8773" ht="12.75"/>
    <row r="8774" ht="12.75"/>
    <row r="8775" ht="12.75"/>
    <row r="8776" ht="12.75"/>
    <row r="8777" ht="12.75"/>
    <row r="8778" ht="12.75"/>
    <row r="8779" ht="12.75"/>
    <row r="8780" ht="12.75"/>
    <row r="8781" ht="12.75"/>
    <row r="8782" ht="12.75"/>
    <row r="8783" ht="12.75"/>
    <row r="8784" ht="12.75"/>
    <row r="8785" ht="12.75"/>
    <row r="8786" ht="12.75"/>
    <row r="8787" ht="12.75"/>
    <row r="8788" ht="12.75"/>
    <row r="8789" ht="12.75"/>
    <row r="8790" ht="12.75"/>
    <row r="8791" ht="12.75"/>
    <row r="8792" ht="12.75"/>
    <row r="8793" ht="12.75"/>
    <row r="8794" ht="12.75"/>
    <row r="8795" ht="12.75"/>
    <row r="8796" ht="12.75"/>
    <row r="8797" ht="12.75"/>
    <row r="8798" ht="12.75"/>
    <row r="8799" ht="12.75"/>
    <row r="8800" ht="12.75"/>
    <row r="8801" ht="12.75"/>
    <row r="8802" ht="12.75"/>
    <row r="8803" ht="12.75"/>
    <row r="8804" ht="12.75"/>
    <row r="8805" ht="12.75"/>
    <row r="8806" ht="12.75"/>
    <row r="8807" ht="12.75"/>
    <row r="8808" ht="12.75"/>
    <row r="8809" ht="12.75"/>
    <row r="8810" ht="12.75"/>
    <row r="8811" ht="12.75"/>
    <row r="8812" ht="12.75"/>
    <row r="8813" ht="12.75"/>
    <row r="8814" ht="12.75"/>
    <row r="8815" ht="12.75"/>
    <row r="8816" ht="12.75"/>
    <row r="8817" ht="12.75"/>
    <row r="8818" ht="12.75"/>
    <row r="8819" ht="12.75"/>
    <row r="8820" ht="12.75"/>
    <row r="8821" ht="12.75"/>
    <row r="8822" ht="12.75"/>
    <row r="8823" ht="12.75"/>
    <row r="8824" ht="12.75"/>
    <row r="8825" ht="12.75"/>
    <row r="8826" ht="12.75"/>
    <row r="8827" ht="12.75"/>
    <row r="8828" ht="12.75"/>
    <row r="8829" ht="12.75"/>
    <row r="8830" ht="12.75"/>
    <row r="8831" ht="12.75"/>
    <row r="8832" ht="12.75"/>
    <row r="8833" ht="12.75"/>
    <row r="8834" ht="12.75"/>
    <row r="8835" ht="12.75"/>
    <row r="8836" ht="12.75"/>
    <row r="8837" ht="12.75"/>
    <row r="8838" ht="12.75"/>
    <row r="8839" ht="12.75"/>
    <row r="8840" ht="12.75"/>
    <row r="8841" ht="12.75"/>
    <row r="8842" ht="12.75"/>
    <row r="8843" ht="12.75"/>
    <row r="8844" ht="12.75"/>
    <row r="8845" ht="12.75"/>
    <row r="8846" ht="12.75"/>
    <row r="8847" ht="12.75"/>
    <row r="8848" ht="12.75"/>
    <row r="8849" ht="12.75"/>
    <row r="8850" ht="12.75"/>
    <row r="8851" ht="12.75"/>
    <row r="8852" ht="12.75"/>
    <row r="8853" ht="12.75"/>
    <row r="8854" ht="12.75"/>
    <row r="8855" ht="12.75"/>
    <row r="8856" ht="12.75"/>
    <row r="8857" ht="12.75"/>
    <row r="8858" ht="12.75"/>
    <row r="8859" ht="12.75"/>
    <row r="8860" ht="12.75"/>
    <row r="8861" ht="12.75"/>
    <row r="8862" ht="12.75"/>
    <row r="8863" ht="12.75"/>
    <row r="8864" ht="12.75"/>
    <row r="8865" ht="12.75"/>
    <row r="8866" ht="12.75"/>
    <row r="8867" ht="12.75"/>
    <row r="8868" ht="12.75"/>
    <row r="8869" ht="12.75"/>
    <row r="8870" ht="12.75"/>
    <row r="8871" ht="12.75"/>
    <row r="8872" ht="12.75"/>
    <row r="8873" ht="12.75"/>
    <row r="8874" ht="12.75"/>
    <row r="8875" ht="12.75"/>
    <row r="8876" ht="12.75"/>
    <row r="8877" ht="12.75"/>
    <row r="8878" ht="12.75"/>
    <row r="8879" ht="12.75"/>
    <row r="8880" ht="12.75"/>
    <row r="8881" ht="12.75"/>
    <row r="8882" ht="12.75"/>
    <row r="8883" ht="12.75"/>
    <row r="8884" ht="12.75"/>
    <row r="8885" ht="12.75"/>
    <row r="8886" ht="12.75"/>
    <row r="8887" ht="12.75"/>
    <row r="8888" ht="12.75"/>
    <row r="8889" ht="12.75"/>
    <row r="8890" ht="12.75"/>
    <row r="8891" ht="12.75"/>
    <row r="8892" ht="12.75"/>
    <row r="8893" ht="12.75"/>
    <row r="8894" ht="12.75"/>
    <row r="8895" ht="12.75"/>
    <row r="8896" ht="12.75"/>
    <row r="8897" ht="12.75"/>
    <row r="8898" ht="12.75"/>
    <row r="8899" ht="12.75"/>
    <row r="8900" ht="12.75"/>
    <row r="8901" ht="12.75"/>
    <row r="8902" ht="12.75"/>
    <row r="8903" ht="12.75"/>
    <row r="8904" ht="12.75"/>
    <row r="8905" ht="12.75"/>
    <row r="8906" ht="12.75"/>
    <row r="8907" ht="12.75"/>
    <row r="8908" ht="12.75"/>
    <row r="8909" ht="12.75"/>
    <row r="8910" ht="12.75"/>
    <row r="8911" ht="12.75"/>
    <row r="8912" ht="12.75"/>
    <row r="8913" ht="12.75"/>
    <row r="8914" ht="12.75"/>
    <row r="8915" ht="12.75"/>
    <row r="8916" ht="12.75"/>
    <row r="8917" ht="12.75"/>
    <row r="8918" ht="12.75"/>
    <row r="8919" ht="12.75"/>
    <row r="8920" ht="12.75"/>
    <row r="8921" ht="12.75"/>
    <row r="8922" ht="12.75"/>
    <row r="8923" ht="12.75"/>
    <row r="8924" ht="12.75"/>
    <row r="8925" ht="12.75"/>
    <row r="8926" ht="12.75"/>
    <row r="8927" ht="12.75"/>
    <row r="8928" ht="12.75"/>
    <row r="8929" ht="12.75"/>
    <row r="8930" ht="12.75"/>
    <row r="8931" ht="12.75"/>
    <row r="8932" ht="12.75"/>
    <row r="8933" ht="12.75"/>
    <row r="8934" ht="12.75"/>
    <row r="8935" ht="12.75"/>
    <row r="8936" ht="12.75"/>
    <row r="8937" ht="12.75"/>
    <row r="8938" ht="12.75"/>
    <row r="8939" ht="12.75"/>
    <row r="8940" ht="12.75"/>
    <row r="8941" ht="12.75"/>
    <row r="8942" ht="12.75"/>
    <row r="8943" ht="12.75"/>
    <row r="8944" ht="12.75"/>
    <row r="8945" ht="12.75"/>
    <row r="8946" ht="12.75"/>
    <row r="8947" ht="12.75"/>
    <row r="8948" ht="12.75"/>
    <row r="8949" ht="12.75"/>
    <row r="8950" ht="12.75"/>
    <row r="8951" ht="12.75"/>
    <row r="8952" ht="12.75"/>
    <row r="8953" ht="12.75"/>
    <row r="8954" ht="12.75"/>
    <row r="8955" ht="12.75"/>
    <row r="8956" ht="12.75"/>
    <row r="8957" ht="12.75"/>
    <row r="8958" ht="12.75"/>
    <row r="8959" ht="12.75"/>
    <row r="8960" ht="12.75"/>
    <row r="8961" ht="12.75"/>
    <row r="8962" ht="12.75"/>
    <row r="8963" ht="12.75"/>
    <row r="8964" ht="12.75"/>
    <row r="8965" ht="12.75"/>
    <row r="8966" ht="12.75"/>
    <row r="8967" ht="12.75"/>
    <row r="8968" ht="12.75"/>
    <row r="8969" ht="12.75"/>
    <row r="8970" ht="12.75"/>
    <row r="8971" ht="12.75"/>
    <row r="8972" ht="12.75"/>
    <row r="8973" ht="12.75"/>
    <row r="8974" ht="12.75"/>
    <row r="8975" ht="12.75"/>
    <row r="8976" ht="12.75"/>
    <row r="8977" ht="12.75"/>
    <row r="8978" ht="12.75"/>
    <row r="8979" ht="12.75"/>
    <row r="8980" ht="12.75"/>
    <row r="8981" ht="12.75"/>
    <row r="8982" ht="12.75"/>
    <row r="8983" ht="12.75"/>
    <row r="8984" ht="12.75"/>
    <row r="8985" ht="12.75"/>
    <row r="8986" ht="12.75"/>
    <row r="8987" ht="12.75"/>
    <row r="8988" ht="12.75"/>
    <row r="8989" ht="12.75"/>
    <row r="8990" ht="12.75"/>
    <row r="8991" ht="12.75"/>
    <row r="8992" ht="12.75"/>
    <row r="8993" ht="12.75"/>
    <row r="8994" ht="12.75"/>
    <row r="8995" ht="12.75"/>
    <row r="8996" ht="12.75"/>
    <row r="8997" ht="12.75"/>
    <row r="8998" ht="12.75"/>
    <row r="8999" ht="12.75"/>
    <row r="9000" ht="12.75"/>
    <row r="9001" ht="12.75"/>
    <row r="9002" ht="12.75"/>
    <row r="9003" ht="12.75"/>
    <row r="9004" ht="12.75"/>
    <row r="9005" ht="12.75"/>
    <row r="9006" ht="12.75"/>
    <row r="9007" ht="12.75"/>
    <row r="9008" ht="12.75"/>
    <row r="9009" ht="12.75"/>
    <row r="9010" ht="12.75"/>
    <row r="9011" ht="12.75"/>
    <row r="9012" ht="12.75"/>
    <row r="9013" ht="12.75"/>
    <row r="9014" ht="12.75"/>
    <row r="9015" ht="12.75"/>
    <row r="9016" ht="12.75"/>
    <row r="9017" ht="12.75"/>
    <row r="9018" ht="12.75"/>
    <row r="9019" ht="12.75"/>
    <row r="9020" ht="12.75"/>
    <row r="9021" ht="12.75"/>
    <row r="9022" ht="12.75"/>
    <row r="9023" ht="12.75"/>
    <row r="9024" ht="12.75"/>
    <row r="9025" ht="12.75"/>
    <row r="9026" ht="12.75"/>
    <row r="9027" ht="12.75"/>
    <row r="9028" ht="12.75"/>
    <row r="9029" ht="12.75"/>
    <row r="9030" ht="12.75"/>
    <row r="9031" ht="12.75"/>
    <row r="9032" ht="12.75"/>
    <row r="9033" ht="12.75"/>
    <row r="9034" ht="12.75"/>
    <row r="9035" ht="12.75"/>
    <row r="9036" ht="12.75"/>
    <row r="9037" ht="12.75"/>
    <row r="9038" ht="12.75"/>
    <row r="9039" ht="12.75"/>
    <row r="9040" ht="12.75"/>
    <row r="9041" ht="12.75"/>
    <row r="9042" ht="12.75"/>
    <row r="9043" ht="12.75"/>
    <row r="9044" ht="12.75"/>
    <row r="9045" ht="12.75"/>
    <row r="9046" ht="12.75"/>
    <row r="9047" ht="12.75"/>
    <row r="9048" ht="12.75"/>
    <row r="9049" ht="12.75"/>
    <row r="9050" ht="12.75"/>
    <row r="9051" ht="12.75"/>
    <row r="9052" ht="12.75"/>
    <row r="9053" ht="12.75"/>
    <row r="9054" ht="12.75"/>
    <row r="9055" ht="12.75"/>
    <row r="9056" ht="12.75"/>
    <row r="9057" ht="12.75"/>
    <row r="9058" ht="12.75"/>
    <row r="9059" ht="12.75"/>
    <row r="9060" ht="12.75"/>
    <row r="9061" ht="12.75"/>
    <row r="9062" ht="12.75"/>
    <row r="9063" ht="12.75"/>
    <row r="9064" ht="12.75"/>
    <row r="9065" ht="12.75"/>
    <row r="9066" ht="12.75"/>
    <row r="9067" ht="12.75"/>
    <row r="9068" ht="12.75"/>
    <row r="9069" ht="12.75"/>
    <row r="9070" ht="12.75"/>
    <row r="9071" ht="12.75"/>
    <row r="9072" ht="12.75"/>
    <row r="9073" ht="12.75"/>
    <row r="9074" ht="12.75"/>
    <row r="9075" ht="12.75"/>
    <row r="9076" ht="12.75"/>
    <row r="9077" ht="12.75"/>
    <row r="9078" ht="12.75"/>
    <row r="9079" ht="12.75"/>
    <row r="9080" ht="12.75"/>
    <row r="9081" ht="12.75"/>
    <row r="9082" ht="12.75"/>
    <row r="9083" ht="12.75"/>
    <row r="9084" ht="12.75"/>
    <row r="9085" ht="12.75"/>
    <row r="9086" ht="12.75"/>
    <row r="9087" ht="12.75"/>
    <row r="9088" ht="12.75"/>
    <row r="9089" ht="12.75"/>
    <row r="9090" ht="12.75"/>
    <row r="9091" ht="12.75"/>
    <row r="9092" ht="12.75"/>
    <row r="9093" ht="12.75"/>
    <row r="9094" ht="12.75"/>
    <row r="9095" ht="12.75"/>
    <row r="9096" ht="12.75"/>
    <row r="9097" ht="12.75"/>
    <row r="9098" ht="12.75"/>
    <row r="9099" ht="12.75"/>
    <row r="9100" ht="12.75"/>
    <row r="9101" ht="12.75"/>
    <row r="9102" ht="12.75"/>
    <row r="9103" ht="12.75"/>
    <row r="9104" ht="12.75"/>
    <row r="9105" ht="12.75"/>
    <row r="9106" ht="12.75"/>
    <row r="9107" ht="12.75"/>
    <row r="9108" ht="12.75"/>
    <row r="9109" ht="12.75"/>
    <row r="9110" ht="12.75"/>
    <row r="9111" ht="12.75"/>
    <row r="9112" ht="12.75"/>
    <row r="9113" ht="12.75"/>
    <row r="9114" ht="12.75"/>
    <row r="9115" ht="12.75"/>
    <row r="9116" ht="12.75"/>
    <row r="9117" ht="12.75"/>
    <row r="9118" ht="12.75"/>
    <row r="9119" ht="12.75"/>
    <row r="9120" ht="12.75"/>
    <row r="9121" ht="12.75"/>
    <row r="9122" ht="12.75"/>
    <row r="9123" ht="12.75"/>
    <row r="9124" ht="12.75"/>
    <row r="9125" ht="12.75"/>
    <row r="9126" ht="12.75"/>
    <row r="9127" ht="12.75"/>
    <row r="9128" ht="12.75"/>
    <row r="9129" ht="12.75"/>
    <row r="9130" ht="12.75"/>
    <row r="9131" ht="12.75"/>
    <row r="9132" ht="12.75"/>
    <row r="9133" ht="12.75"/>
    <row r="9134" ht="12.75"/>
    <row r="9135" ht="12.75"/>
    <row r="9136" ht="12.75"/>
    <row r="9137" ht="12.75"/>
    <row r="9138" ht="12.75"/>
    <row r="9139" ht="12.75"/>
    <row r="9140" ht="12.75"/>
    <row r="9141" ht="12.75"/>
    <row r="9142" ht="12.75"/>
    <row r="9143" ht="12.75"/>
    <row r="9144" ht="12.75"/>
    <row r="9145" ht="12.75"/>
    <row r="9146" ht="12.75"/>
    <row r="9147" ht="12.75"/>
    <row r="9148" ht="12.75"/>
    <row r="9149" ht="12.75"/>
    <row r="9150" ht="12.75"/>
    <row r="9151" ht="12.75"/>
    <row r="9152" ht="12.75"/>
    <row r="9153" ht="12.75"/>
    <row r="9154" ht="12.75"/>
    <row r="9155" ht="12.75"/>
    <row r="9156" ht="12.75"/>
    <row r="9157" ht="12.75"/>
    <row r="9158" ht="12.75"/>
    <row r="9159" ht="12.75"/>
    <row r="9160" ht="12.75"/>
    <row r="9161" ht="12.75"/>
    <row r="9162" ht="12.75"/>
    <row r="9163" ht="12.75"/>
    <row r="9164" ht="12.75"/>
    <row r="9165" ht="12.75"/>
    <row r="9166" ht="12.75"/>
    <row r="9167" ht="12.75"/>
    <row r="9168" ht="12.75"/>
    <row r="9169" ht="12.75"/>
    <row r="9170" ht="12.75"/>
    <row r="9171" ht="12.75"/>
    <row r="9172" ht="12.75"/>
    <row r="9173" ht="12.75"/>
    <row r="9174" ht="12.75"/>
    <row r="9175" ht="12.75"/>
    <row r="9176" ht="12.75"/>
    <row r="9177" ht="12.75"/>
    <row r="9178" ht="12.75"/>
    <row r="9179" ht="12.75"/>
    <row r="9180" ht="12.75"/>
    <row r="9181" ht="12.75"/>
    <row r="9182" ht="12.75"/>
    <row r="9183" ht="12.75"/>
    <row r="9184" ht="12.75"/>
    <row r="9185" ht="12.75"/>
    <row r="9186" ht="12.75"/>
    <row r="9187" ht="12.75"/>
    <row r="9188" ht="12.75"/>
    <row r="9189" ht="12.75"/>
    <row r="9190" ht="12.75"/>
    <row r="9191" ht="12.75"/>
    <row r="9192" ht="12.75"/>
    <row r="9193" ht="12.75"/>
    <row r="9194" ht="12.75"/>
    <row r="9195" ht="12.75"/>
    <row r="9196" ht="12.75"/>
    <row r="9197" ht="12.75"/>
    <row r="9198" ht="12.75"/>
    <row r="9199" ht="12.75"/>
    <row r="9200" ht="12.75"/>
    <row r="9201" ht="12.75"/>
    <row r="9202" ht="12.75"/>
    <row r="9203" ht="12.75"/>
    <row r="9204" ht="12.75"/>
    <row r="9205" ht="12.75"/>
    <row r="9206" ht="12.75"/>
    <row r="9207" ht="12.75"/>
    <row r="9208" ht="12.75"/>
    <row r="9209" ht="12.75"/>
    <row r="9210" ht="12.75"/>
    <row r="9211" ht="12.75"/>
    <row r="9212" ht="12.75"/>
    <row r="9213" ht="12.75"/>
    <row r="9214" ht="12.75"/>
    <row r="9215" ht="12.75"/>
    <row r="9216" ht="12.75"/>
    <row r="9217" ht="12.75"/>
    <row r="9218" ht="12.75"/>
    <row r="9219" ht="12.75"/>
    <row r="9220" ht="12.75"/>
    <row r="9221" ht="12.75"/>
    <row r="9222" ht="12.75"/>
    <row r="9223" ht="12.75"/>
    <row r="9224" ht="12.75"/>
    <row r="9225" ht="12.75"/>
    <row r="9226" ht="12.75"/>
    <row r="9227" ht="12.75"/>
    <row r="9228" ht="12.75"/>
    <row r="9229" ht="12.75"/>
    <row r="9230" ht="12.75"/>
    <row r="9231" ht="12.75"/>
    <row r="9232" ht="12.75"/>
    <row r="9233" ht="12.75"/>
    <row r="9234" ht="12.75"/>
    <row r="9235" ht="12.75"/>
    <row r="9236" ht="12.75"/>
    <row r="9237" ht="12.75"/>
    <row r="9238" ht="12.75"/>
    <row r="9239" ht="12.75"/>
    <row r="9240" ht="12.75"/>
    <row r="9241" ht="12.75"/>
    <row r="9242" ht="12.75"/>
    <row r="9243" ht="12.75"/>
    <row r="9244" ht="12.75"/>
    <row r="9245" ht="12.75"/>
    <row r="9246" ht="12.75"/>
    <row r="9247" ht="12.75"/>
    <row r="9248" ht="12.75"/>
    <row r="9249" ht="12.75"/>
    <row r="9250" ht="12.75"/>
    <row r="9251" ht="12.75"/>
    <row r="9252" ht="12.75"/>
    <row r="9253" ht="12.75"/>
    <row r="9254" ht="12.75"/>
    <row r="9255" ht="12.75"/>
    <row r="9256" ht="12.75"/>
    <row r="9257" ht="12.75"/>
    <row r="9258" ht="12.75"/>
    <row r="9259" ht="12.75"/>
    <row r="9260" ht="12.75"/>
    <row r="9261" ht="12.75"/>
    <row r="9262" ht="12.75"/>
    <row r="9263" ht="12.75"/>
    <row r="9264" ht="12.75"/>
    <row r="9265" ht="12.75"/>
    <row r="9266" ht="12.75"/>
    <row r="9267" ht="12.75"/>
    <row r="9268" ht="12.75"/>
    <row r="9269" ht="12.75"/>
    <row r="9270" ht="12.75"/>
    <row r="9271" ht="12.75"/>
    <row r="9272" ht="12.75"/>
    <row r="9273" ht="12.75"/>
    <row r="9274" ht="12.75"/>
    <row r="9275" ht="12.75"/>
    <row r="9276" ht="12.75"/>
    <row r="9277" ht="12.75"/>
    <row r="9278" ht="12.75"/>
    <row r="9279" ht="12.75"/>
    <row r="9280" ht="12.75"/>
    <row r="9281" ht="12.75"/>
    <row r="9282" ht="12.75"/>
    <row r="9283" ht="12.75"/>
    <row r="9284" ht="12.75"/>
    <row r="9285" ht="12.75"/>
    <row r="9286" ht="12.75"/>
    <row r="9287" ht="12.75"/>
    <row r="9288" ht="12.75"/>
    <row r="9289" ht="12.75"/>
    <row r="9290" ht="12.75"/>
    <row r="9291" ht="12.75"/>
    <row r="9292" ht="12.75"/>
    <row r="9293" ht="12.75"/>
    <row r="9294" ht="12.75"/>
    <row r="9295" ht="12.75"/>
    <row r="9296" ht="12.75"/>
    <row r="9297" ht="12.75"/>
    <row r="9298" ht="12.75"/>
    <row r="9299" ht="12.75"/>
    <row r="9300" ht="12.75"/>
    <row r="9301" ht="12.75"/>
    <row r="9302" ht="12.75"/>
    <row r="9303" ht="12.75"/>
    <row r="9304" ht="12.75"/>
    <row r="9305" ht="12.75"/>
    <row r="9306" ht="12.75"/>
    <row r="9307" ht="12.75"/>
    <row r="9308" ht="12.75"/>
    <row r="9309" ht="12.75"/>
    <row r="9310" ht="12.75"/>
    <row r="9311" ht="12.75"/>
    <row r="9312" ht="12.75"/>
    <row r="9313" ht="12.75"/>
    <row r="9314" ht="12.75"/>
    <row r="9315" ht="12.75"/>
    <row r="9316" ht="12.75"/>
    <row r="9317" ht="12.75"/>
    <row r="9318" ht="12.75"/>
    <row r="9319" ht="12.75"/>
    <row r="9320" ht="12.75"/>
    <row r="9321" ht="12.75"/>
    <row r="9322" ht="12.75"/>
    <row r="9323" ht="12.75"/>
    <row r="9324" ht="12.75"/>
    <row r="9325" ht="12.75"/>
    <row r="9326" ht="12.75"/>
    <row r="9327" ht="12.75"/>
    <row r="9328" ht="12.75"/>
    <row r="9329" ht="12.75"/>
    <row r="9330" ht="12.75"/>
    <row r="9331" ht="12.75"/>
    <row r="9332" ht="12.75"/>
    <row r="9333" ht="12.75"/>
    <row r="9334" ht="12.75"/>
    <row r="9335" ht="12.75"/>
    <row r="9336" ht="12.75"/>
    <row r="9337" ht="12.75"/>
    <row r="9338" ht="12.75"/>
    <row r="9339" ht="12.75"/>
    <row r="9340" ht="12.75"/>
    <row r="9341" ht="12.75"/>
    <row r="9342" ht="12.75"/>
    <row r="9343" ht="12.75"/>
    <row r="9344" ht="12.75"/>
    <row r="9345" ht="12.75"/>
    <row r="9346" ht="12.75"/>
    <row r="9347" ht="12.75"/>
    <row r="9348" ht="12.75"/>
    <row r="9349" ht="12.75"/>
    <row r="9350" ht="12.75"/>
    <row r="9351" ht="12.75"/>
    <row r="9352" ht="12.75"/>
    <row r="9353" ht="12.75"/>
    <row r="9354" ht="12.75"/>
    <row r="9355" ht="12.75"/>
    <row r="9356" ht="12.75"/>
    <row r="9357" ht="12.75"/>
    <row r="9358" ht="12.75"/>
    <row r="9359" ht="12.75"/>
    <row r="9360" ht="12.75"/>
    <row r="9361" ht="12.75"/>
    <row r="9362" ht="12.75"/>
    <row r="9363" ht="12.75"/>
    <row r="9364" ht="12.75"/>
    <row r="9365" ht="12.75"/>
    <row r="9366" ht="12.75"/>
    <row r="9367" ht="12.75"/>
    <row r="9368" ht="12.75"/>
    <row r="9369" ht="12.75"/>
    <row r="9370" ht="12.75"/>
    <row r="9371" ht="12.75"/>
    <row r="9372" ht="12.75"/>
    <row r="9373" ht="12.75"/>
    <row r="9374" ht="12.75"/>
    <row r="9375" ht="12.75"/>
    <row r="9376" ht="12.75"/>
    <row r="9377" ht="12.75"/>
    <row r="9378" ht="12.75"/>
    <row r="9379" ht="12.75"/>
    <row r="9380" ht="12.75"/>
    <row r="9381" ht="12.75"/>
    <row r="9382" ht="12.75"/>
    <row r="9383" ht="12.75"/>
    <row r="9384" ht="12.75"/>
    <row r="9385" ht="12.75"/>
    <row r="9386" ht="12.75"/>
    <row r="9387" ht="12.75"/>
    <row r="9388" ht="12.75"/>
    <row r="9389" ht="12.75"/>
    <row r="9390" ht="12.75"/>
    <row r="9391" ht="12.75"/>
    <row r="9392" ht="12.75"/>
    <row r="9393" ht="12.75"/>
    <row r="9394" ht="12.75"/>
    <row r="9395" ht="12.75"/>
    <row r="9396" ht="12.75"/>
    <row r="9397" ht="12.75"/>
    <row r="9398" ht="12.75"/>
    <row r="9399" ht="12.75"/>
    <row r="9400" ht="12.75"/>
    <row r="9401" ht="12.75"/>
    <row r="9402" ht="12.75"/>
    <row r="9403" ht="12.75"/>
    <row r="9404" ht="12.75"/>
    <row r="9405" ht="12.75"/>
    <row r="9406" ht="12.75"/>
    <row r="9407" ht="12.75"/>
    <row r="9408" ht="12.75"/>
    <row r="9409" ht="12.75"/>
    <row r="9410" ht="12.75"/>
    <row r="9411" ht="12.75"/>
    <row r="9412" ht="12.75"/>
    <row r="9413" ht="12.75"/>
    <row r="9414" ht="12.75"/>
    <row r="9415" ht="12.75"/>
    <row r="9416" ht="12.75"/>
    <row r="9417" ht="12.75"/>
    <row r="9418" ht="12.75"/>
    <row r="9419" ht="12.75"/>
    <row r="9420" ht="12.75"/>
    <row r="9421" ht="12.75"/>
    <row r="9422" ht="12.75"/>
    <row r="9423" ht="12.75"/>
    <row r="9424" ht="12.75"/>
    <row r="9425" ht="12.75"/>
    <row r="9426" ht="12.75"/>
    <row r="9427" ht="12.75"/>
    <row r="9428" ht="12.75"/>
    <row r="9429" ht="12.75"/>
    <row r="9430" ht="12.75"/>
    <row r="9431" ht="12.75"/>
    <row r="9432" ht="12.75"/>
    <row r="9433" ht="12.75"/>
    <row r="9434" ht="12.75"/>
    <row r="9435" ht="12.75"/>
    <row r="9436" ht="12.75"/>
    <row r="9437" ht="12.75"/>
    <row r="9438" ht="12.75"/>
    <row r="9439" ht="12.75"/>
    <row r="9440" ht="12.75"/>
    <row r="9441" ht="12.75"/>
    <row r="9442" ht="12.75"/>
    <row r="9443" ht="12.75"/>
    <row r="9444" ht="12.75"/>
    <row r="9445" ht="12.75"/>
    <row r="9446" ht="12.75"/>
    <row r="9447" ht="12.75"/>
    <row r="9448" ht="12.75"/>
    <row r="9449" ht="12.75"/>
    <row r="9450" ht="12.75"/>
    <row r="9451" ht="12.75"/>
    <row r="9452" ht="12.75"/>
    <row r="9453" ht="12.75"/>
    <row r="9454" ht="12.75"/>
    <row r="9455" ht="12.75"/>
    <row r="9456" ht="12.75"/>
    <row r="9457" ht="12.75"/>
    <row r="9458" ht="12.75"/>
    <row r="9459" ht="12.75"/>
    <row r="9460" ht="12.75"/>
    <row r="9461" ht="12.75"/>
    <row r="9462" ht="12.75"/>
    <row r="9463" ht="12.75"/>
    <row r="9464" ht="12.75"/>
    <row r="9465" ht="12.75"/>
    <row r="9466" ht="12.75"/>
    <row r="9467" ht="12.75"/>
    <row r="9468" ht="12.75"/>
    <row r="9469" ht="12.75"/>
    <row r="9470" ht="12.75"/>
    <row r="9471" ht="12.75"/>
    <row r="9472" ht="12.75"/>
    <row r="9473" ht="12.75"/>
    <row r="9474" ht="12.75"/>
    <row r="9475" ht="12.75"/>
    <row r="9476" ht="12.75"/>
    <row r="9477" ht="12.75"/>
    <row r="9478" ht="12.75"/>
    <row r="9479" ht="12.75"/>
    <row r="9480" ht="12.75"/>
    <row r="9481" ht="12.75"/>
    <row r="9482" ht="12.75"/>
    <row r="9483" ht="12.75"/>
    <row r="9484" ht="12.75"/>
    <row r="9485" ht="12.75"/>
    <row r="9486" ht="12.75"/>
    <row r="9487" ht="12.75"/>
    <row r="9488" ht="12.75"/>
    <row r="9489" ht="12.75"/>
    <row r="9490" ht="12.75"/>
    <row r="9491" ht="12.75"/>
    <row r="9492" ht="12.75"/>
    <row r="9493" ht="12.75"/>
    <row r="9494" ht="12.75"/>
    <row r="9495" ht="12.75"/>
    <row r="9496" ht="12.75"/>
    <row r="9497" ht="12.75"/>
    <row r="9498" ht="12.75"/>
    <row r="9499" ht="12.75"/>
    <row r="9500" ht="12.75"/>
    <row r="9501" ht="12.75"/>
    <row r="9502" ht="12.75"/>
    <row r="9503" ht="12.75"/>
    <row r="9504" ht="12.75"/>
    <row r="9505" ht="12.75"/>
    <row r="9506" ht="12.75"/>
    <row r="9507" ht="12.75"/>
    <row r="9508" ht="12.75"/>
    <row r="9509" ht="12.75"/>
    <row r="9510" ht="12.75"/>
    <row r="9511" ht="12.75"/>
    <row r="9512" ht="12.75"/>
    <row r="9513" ht="12.75"/>
    <row r="9514" ht="12.75"/>
    <row r="9515" ht="12.75"/>
    <row r="9516" ht="12.75"/>
    <row r="9517" ht="12.75"/>
    <row r="9518" ht="12.75"/>
    <row r="9519" ht="12.75"/>
    <row r="9520" ht="12.75"/>
    <row r="9521" ht="12.75"/>
    <row r="9522" ht="12.75"/>
    <row r="9523" ht="12.75"/>
    <row r="9524" ht="12.75"/>
    <row r="9525" ht="12.75"/>
    <row r="9526" ht="12.75"/>
    <row r="9527" ht="12.75"/>
    <row r="9528" ht="12.75"/>
    <row r="9529" ht="12.75"/>
    <row r="9530" ht="12.75"/>
    <row r="9531" ht="12.75"/>
    <row r="9532" ht="12.75"/>
    <row r="9533" ht="12.75"/>
    <row r="9534" ht="12.75"/>
    <row r="9535" ht="12.75"/>
    <row r="9536" ht="12.75"/>
    <row r="9537" ht="12.75"/>
    <row r="9538" ht="12.75"/>
    <row r="9539" ht="12.75"/>
    <row r="9540" ht="12.75"/>
    <row r="9541" ht="12.75"/>
    <row r="9542" ht="12.75"/>
    <row r="9543" ht="12.75"/>
    <row r="9544" ht="12.75"/>
    <row r="9545" ht="12.75"/>
    <row r="9546" ht="12.75"/>
    <row r="9547" ht="12.75"/>
    <row r="9548" ht="12.75"/>
    <row r="9549" ht="12.75"/>
    <row r="9550" ht="12.75"/>
    <row r="9551" ht="12.75"/>
    <row r="9552" ht="12.75"/>
    <row r="9553" ht="12.75"/>
    <row r="9554" ht="12.75"/>
    <row r="9555" ht="12.75"/>
    <row r="9556" ht="12.75"/>
    <row r="9557" ht="12.75"/>
    <row r="9558" ht="12.75"/>
    <row r="9559" ht="12.75"/>
    <row r="9560" ht="12.75"/>
    <row r="9561" ht="12.75"/>
    <row r="9562" ht="12.75"/>
    <row r="9563" ht="12.75"/>
    <row r="9564" ht="12.75"/>
    <row r="9565" ht="12.75"/>
    <row r="9566" ht="12.75"/>
    <row r="9567" ht="12.75"/>
    <row r="9568" ht="12.75"/>
    <row r="9569" ht="12.75"/>
    <row r="9570" ht="12.75"/>
    <row r="9571" ht="12.75"/>
    <row r="9572" ht="12.75"/>
    <row r="9573" ht="12.75"/>
    <row r="9574" ht="12.75"/>
    <row r="9575" ht="12.75"/>
    <row r="9576" ht="12.75"/>
    <row r="9577" ht="12.75"/>
    <row r="9578" ht="12.75"/>
    <row r="9579" ht="12.75"/>
    <row r="9580" ht="12.75"/>
    <row r="9581" ht="12.75"/>
    <row r="9582" ht="12.75"/>
    <row r="9583" ht="12.75"/>
    <row r="9584" ht="12.75"/>
    <row r="9585" ht="12.75"/>
    <row r="9586" ht="12.75"/>
    <row r="9587" ht="12.75"/>
    <row r="9588" ht="12.75"/>
    <row r="9589" ht="12.75"/>
    <row r="9590" ht="12.75"/>
    <row r="9591" ht="12.75"/>
    <row r="9592" ht="12.75"/>
    <row r="9593" ht="12.75"/>
    <row r="9594" ht="12.75"/>
    <row r="9595" ht="12.75"/>
    <row r="9596" ht="12.75"/>
    <row r="9597" ht="12.75"/>
    <row r="9598" ht="12.75"/>
    <row r="9599" ht="12.75"/>
    <row r="9600" ht="12.75"/>
    <row r="9601" ht="12.75"/>
    <row r="9602" ht="12.75"/>
    <row r="9603" ht="12.75"/>
    <row r="9604" ht="12.75"/>
    <row r="9605" ht="12.75"/>
    <row r="9606" ht="12.75"/>
    <row r="9607" ht="12.75"/>
    <row r="9608" ht="12.75"/>
    <row r="9609" ht="12.75"/>
    <row r="9610" ht="12.75"/>
    <row r="9611" ht="12.75"/>
    <row r="9612" ht="12.75"/>
    <row r="9613" ht="12.75"/>
    <row r="9614" ht="12.75"/>
    <row r="9615" ht="12.75"/>
    <row r="9616" ht="12.75"/>
    <row r="9617" ht="12.75"/>
    <row r="9618" ht="12.75"/>
    <row r="9619" ht="12.75"/>
    <row r="9620" ht="12.75"/>
    <row r="9621" ht="12.75"/>
    <row r="9622" ht="12.75"/>
    <row r="9623" ht="12.75"/>
    <row r="9624" ht="12.75"/>
    <row r="9625" ht="12.75"/>
    <row r="9626" ht="12.75"/>
    <row r="9627" ht="12.75"/>
    <row r="9628" ht="12.75"/>
    <row r="9629" ht="12.75"/>
    <row r="9630" ht="12.75"/>
    <row r="9631" ht="12.75"/>
    <row r="9632" ht="12.75"/>
    <row r="9633" ht="12.75"/>
    <row r="9634" ht="12.75"/>
    <row r="9635" ht="12.75"/>
    <row r="9636" ht="12.75"/>
    <row r="9637" ht="12.75"/>
    <row r="9638" ht="12.75"/>
    <row r="9639" ht="12.75"/>
    <row r="9640" ht="12.75"/>
    <row r="9641" ht="12.75"/>
    <row r="9642" ht="12.75"/>
    <row r="9643" ht="12.75"/>
    <row r="9644" ht="12.75"/>
    <row r="9645" ht="12.75"/>
    <row r="9646" ht="12.75"/>
    <row r="9647" ht="12.75"/>
    <row r="9648" ht="12.75"/>
    <row r="9649" ht="12.75"/>
    <row r="9650" ht="12.75"/>
    <row r="9651" ht="12.75"/>
    <row r="9652" ht="12.75"/>
    <row r="9653" ht="12.75"/>
    <row r="9654" ht="12.75"/>
    <row r="9655" ht="12.75"/>
    <row r="9656" ht="12.75"/>
    <row r="9657" ht="12.75"/>
    <row r="9658" ht="12.75"/>
    <row r="9659" ht="12.75"/>
    <row r="9660" ht="12.75"/>
    <row r="9661" ht="12.75"/>
    <row r="9662" ht="12.75"/>
    <row r="9663" ht="12.75"/>
    <row r="9664" ht="12.75"/>
    <row r="9665" ht="12.75"/>
    <row r="9666" ht="12.75"/>
    <row r="9667" ht="12.75"/>
    <row r="9668" ht="12.75"/>
    <row r="9669" ht="12.75"/>
    <row r="9670" ht="12.75"/>
    <row r="9671" ht="12.75"/>
    <row r="9672" ht="12.75"/>
    <row r="9673" ht="12.75"/>
    <row r="9674" ht="12.75"/>
    <row r="9675" ht="12.75"/>
    <row r="9676" ht="12.75"/>
    <row r="9677" ht="12.75"/>
    <row r="9678" ht="12.75"/>
    <row r="9679" ht="12.75"/>
    <row r="9680" ht="12.75"/>
    <row r="9681" ht="12.75"/>
    <row r="9682" ht="12.75"/>
    <row r="9683" ht="12.75"/>
    <row r="9684" ht="12.75"/>
    <row r="9685" ht="12.75"/>
    <row r="9686" ht="12.75"/>
    <row r="9687" ht="12.75"/>
    <row r="9688" ht="12.75"/>
    <row r="9689" ht="12.75"/>
    <row r="9690" ht="12.75"/>
    <row r="9691" ht="12.75"/>
    <row r="9692" ht="12.75"/>
    <row r="9693" ht="12.75"/>
    <row r="9694" ht="12.75"/>
    <row r="9695" ht="12.75"/>
    <row r="9696" ht="12.75"/>
    <row r="9697" ht="12.75"/>
    <row r="9698" ht="12.75"/>
    <row r="9699" ht="12.75"/>
    <row r="9700" ht="12.75"/>
    <row r="9701" ht="12.75"/>
    <row r="9702" ht="12.75"/>
    <row r="9703" ht="12.75"/>
    <row r="9704" ht="12.75"/>
    <row r="9705" ht="12.75"/>
    <row r="9706" ht="12.75"/>
    <row r="9707" ht="12.75"/>
    <row r="9708" ht="12.75"/>
    <row r="9709" ht="12.75"/>
    <row r="9710" ht="12.75"/>
    <row r="9711" ht="12.75"/>
    <row r="9712" ht="12.75"/>
    <row r="9713" ht="12.75"/>
    <row r="9714" ht="12.75"/>
    <row r="9715" ht="12.75"/>
    <row r="9716" ht="12.75"/>
    <row r="9717" ht="12.75"/>
    <row r="9718" ht="12.75"/>
    <row r="9719" ht="12.75"/>
    <row r="9720" ht="12.75"/>
    <row r="9721" ht="12.75"/>
    <row r="9722" ht="12.75"/>
    <row r="9723" ht="12.75"/>
    <row r="9724" ht="12.75"/>
    <row r="9725" ht="12.75"/>
    <row r="9726" ht="12.75"/>
    <row r="9727" ht="12.75"/>
    <row r="9728" ht="12.75"/>
    <row r="9729" ht="12.75"/>
    <row r="9730" ht="12.75"/>
    <row r="9731" ht="12.75"/>
    <row r="9732" ht="12.75"/>
    <row r="9733" ht="12.75"/>
    <row r="9734" ht="12.75"/>
    <row r="9735" ht="12.75"/>
    <row r="9736" ht="12.75"/>
    <row r="9737" ht="12.75"/>
    <row r="9738" ht="12.75"/>
    <row r="9739" ht="12.75"/>
    <row r="9740" ht="12.75"/>
    <row r="9741" ht="12.75"/>
    <row r="9742" ht="12.75"/>
    <row r="9743" ht="12.75"/>
    <row r="9744" ht="12.75"/>
    <row r="9745" ht="12.75"/>
    <row r="9746" ht="12.75"/>
    <row r="9747" ht="12.75"/>
    <row r="9748" ht="12.75"/>
    <row r="9749" ht="12.75"/>
    <row r="9750" ht="12.75"/>
    <row r="9751" ht="12.75"/>
    <row r="9752" ht="12.75"/>
    <row r="9753" ht="12.75"/>
    <row r="9754" ht="12.75"/>
    <row r="9755" ht="12.75"/>
    <row r="9756" ht="12.75"/>
    <row r="9757" ht="12.75"/>
    <row r="9758" ht="12.75"/>
    <row r="9759" ht="12.75"/>
    <row r="9760" ht="12.75"/>
    <row r="9761" ht="12.75"/>
    <row r="9762" ht="12.75"/>
    <row r="9763" ht="12.75"/>
    <row r="9764" ht="12.75"/>
    <row r="9765" ht="12.75"/>
    <row r="9766" ht="12.75"/>
    <row r="9767" ht="12.75"/>
    <row r="9768" ht="12.75"/>
    <row r="9769" ht="12.75"/>
    <row r="9770" ht="12.75"/>
    <row r="9771" ht="12.75"/>
    <row r="9772" ht="12.75"/>
    <row r="9773" ht="12.75"/>
    <row r="9774" ht="12.75"/>
    <row r="9775" ht="12.75"/>
    <row r="9776" ht="12.75"/>
    <row r="9777" ht="12.75"/>
    <row r="9778" ht="12.75"/>
    <row r="9779" ht="12.75"/>
    <row r="9780" ht="12.75"/>
    <row r="9781" ht="12.75"/>
    <row r="9782" ht="12.75"/>
    <row r="9783" ht="12.75"/>
    <row r="9784" ht="12.75"/>
    <row r="9785" ht="12.75"/>
    <row r="9786" ht="12.75"/>
    <row r="9787" ht="12.75"/>
    <row r="9788" ht="12.75"/>
    <row r="9789" ht="12.75"/>
    <row r="9790" ht="12.75"/>
    <row r="9791" ht="12.75"/>
    <row r="9792" ht="12.75"/>
    <row r="9793" ht="12.75"/>
    <row r="9794" ht="12.75"/>
    <row r="9795" ht="12.75"/>
    <row r="9796" ht="12.75"/>
    <row r="9797" ht="12.75"/>
    <row r="9798" ht="12.75"/>
    <row r="9799" ht="12.75"/>
    <row r="9800" ht="12.75"/>
    <row r="9801" ht="12.75"/>
    <row r="9802" ht="12.75"/>
    <row r="9803" ht="12.75"/>
    <row r="9804" ht="12.75"/>
    <row r="9805" ht="12.75"/>
    <row r="9806" ht="12.75"/>
    <row r="9807" ht="12.75"/>
    <row r="9808" ht="12.75"/>
    <row r="9809" ht="12.75"/>
    <row r="9810" ht="12.75"/>
    <row r="9811" ht="12.75"/>
    <row r="9812" ht="12.75"/>
    <row r="9813" ht="12.75"/>
    <row r="9814" ht="12.75"/>
    <row r="9815" ht="12.75"/>
    <row r="9816" ht="12.75"/>
    <row r="9817" ht="12.75"/>
    <row r="9818" ht="12.75"/>
    <row r="9819" ht="12.75"/>
    <row r="9820" ht="12.75"/>
    <row r="9821" ht="12.75"/>
    <row r="9822" ht="12.75"/>
    <row r="9823" ht="12.75"/>
    <row r="9824" ht="12.75"/>
    <row r="9825" ht="12.75"/>
    <row r="9826" ht="12.75"/>
    <row r="9827" ht="12.75"/>
    <row r="9828" ht="12.75"/>
    <row r="9829" ht="12.75"/>
    <row r="9830" ht="12.75"/>
    <row r="9831" ht="12.75"/>
    <row r="9832" ht="12.75"/>
    <row r="9833" ht="12.75"/>
    <row r="9834" ht="12.75"/>
    <row r="9835" ht="12.75"/>
    <row r="9836" ht="12.75"/>
    <row r="9837" ht="12.75"/>
    <row r="9838" ht="12.75"/>
    <row r="9839" ht="12.75"/>
    <row r="9840" ht="12.75"/>
    <row r="9841" ht="12.75"/>
    <row r="9842" ht="12.75"/>
    <row r="9843" ht="12.75"/>
    <row r="9844" ht="12.75"/>
    <row r="9845" ht="12.75"/>
    <row r="9846" ht="12.75"/>
    <row r="9847" ht="12.75"/>
    <row r="9848" ht="12.75"/>
    <row r="9849" ht="12.75"/>
    <row r="9850" ht="12.75"/>
    <row r="9851" ht="12.75"/>
    <row r="9852" ht="12.75"/>
    <row r="9853" ht="12.75"/>
    <row r="9854" ht="12.75"/>
    <row r="9855" ht="12.75"/>
    <row r="9856" ht="12.75"/>
    <row r="9857" ht="12.75"/>
    <row r="9858" ht="12.75"/>
    <row r="9859" ht="12.75"/>
    <row r="9860" ht="12.75"/>
    <row r="9861" ht="12.75"/>
    <row r="9862" ht="12.75"/>
    <row r="9863" ht="12.75"/>
    <row r="9864" ht="12.75"/>
    <row r="9865" ht="12.75"/>
    <row r="9866" ht="12.75"/>
    <row r="9867" ht="12.75"/>
    <row r="9868" ht="12.75"/>
    <row r="9869" ht="12.75"/>
    <row r="9870" ht="12.75"/>
    <row r="9871" ht="12.75"/>
    <row r="9872" ht="12.75"/>
    <row r="9873" ht="12.75"/>
    <row r="9874" ht="12.75"/>
    <row r="9875" ht="12.75"/>
    <row r="9876" ht="12.75"/>
    <row r="9877" ht="12.75"/>
    <row r="9878" ht="12.75"/>
    <row r="9879" ht="12.75"/>
    <row r="9880" ht="12.75"/>
    <row r="9881" ht="12.75"/>
    <row r="9882" ht="12.75"/>
    <row r="9883" ht="12.75"/>
    <row r="9884" ht="12.75"/>
    <row r="9885" ht="12.75"/>
    <row r="9886" ht="12.75"/>
    <row r="9887" ht="12.75"/>
    <row r="9888" ht="12.75"/>
    <row r="9889" ht="12.75"/>
    <row r="9890" ht="12.75"/>
    <row r="9891" ht="12.75"/>
    <row r="9892" ht="12.75"/>
    <row r="9893" ht="12.75"/>
    <row r="9894" ht="12.75"/>
    <row r="9895" ht="12.75"/>
    <row r="9896" ht="12.75"/>
    <row r="9897" ht="12.75"/>
    <row r="9898" ht="12.75"/>
    <row r="9899" ht="12.75"/>
    <row r="9900" ht="12.75"/>
    <row r="9901" ht="12.75"/>
    <row r="9902" ht="12.75"/>
    <row r="9903" ht="12.75"/>
    <row r="9904" ht="12.75"/>
    <row r="9905" ht="12.75"/>
    <row r="9906" ht="12.75"/>
    <row r="9907" ht="12.75"/>
    <row r="9908" ht="12.75"/>
    <row r="9909" ht="12.75"/>
    <row r="9910" ht="12.75"/>
    <row r="9911" ht="12.75"/>
    <row r="9912" ht="12.75"/>
    <row r="9913" ht="12.75"/>
    <row r="9914" ht="12.75"/>
    <row r="9915" ht="12.75"/>
    <row r="9916" ht="12.75"/>
    <row r="9917" ht="12.75"/>
    <row r="9918" ht="12.75"/>
    <row r="9919" ht="12.75"/>
    <row r="9920" ht="12.75"/>
    <row r="9921" ht="12.75"/>
    <row r="9922" ht="12.75"/>
    <row r="9923" ht="12.75"/>
    <row r="9924" ht="12.75"/>
    <row r="9925" ht="12.75"/>
    <row r="9926" ht="12.75"/>
    <row r="9927" ht="12.75"/>
    <row r="9928" ht="12.75"/>
    <row r="9929" ht="12.75"/>
    <row r="9930" ht="12.75"/>
    <row r="9931" ht="12.75"/>
    <row r="9932" ht="12.75"/>
    <row r="9933" ht="12.75"/>
    <row r="9934" ht="12.75"/>
    <row r="9935" ht="12.75"/>
    <row r="9936" ht="12.75"/>
    <row r="9937" ht="12.75"/>
    <row r="9938" ht="12.75"/>
    <row r="9939" ht="12.75"/>
    <row r="9940" ht="12.75"/>
    <row r="9941" ht="12.75"/>
    <row r="9942" ht="12.75"/>
    <row r="9943" ht="12.75"/>
    <row r="9944" ht="12.75"/>
    <row r="9945" ht="12.75"/>
    <row r="9946" ht="12.75"/>
    <row r="9947" ht="12.75"/>
    <row r="9948" ht="12.75"/>
    <row r="9949" ht="12.75"/>
    <row r="9950" ht="12.75"/>
    <row r="9951" ht="12.75"/>
    <row r="9952" ht="12.75"/>
    <row r="9953" ht="12.75"/>
    <row r="9954" ht="12.75"/>
    <row r="9955" ht="12.75"/>
    <row r="9956" ht="12.75"/>
    <row r="9957" ht="12.75"/>
    <row r="9958" ht="12.75"/>
    <row r="9959" ht="12.75"/>
    <row r="9960" ht="12.75"/>
    <row r="9961" ht="12.75"/>
    <row r="9962" ht="12.75"/>
    <row r="9963" ht="12.75"/>
    <row r="9964" ht="12.75"/>
    <row r="9965" ht="12.75"/>
    <row r="9966" ht="12.75"/>
    <row r="9967" ht="12.75"/>
    <row r="9968" ht="12.75"/>
    <row r="9969" ht="12.75"/>
    <row r="9970" ht="12.75"/>
    <row r="9971" ht="12.75"/>
    <row r="9972" ht="12.75"/>
    <row r="9973" ht="12.75"/>
    <row r="9974" ht="12.75"/>
    <row r="9975" ht="12.75"/>
    <row r="9976" ht="12.75"/>
    <row r="9977" ht="12.75"/>
    <row r="9978" ht="12.75"/>
    <row r="9979" ht="12.75"/>
    <row r="9980" ht="12.75"/>
    <row r="9981" ht="12.75"/>
    <row r="9982" ht="12.75"/>
    <row r="9983" ht="12.75"/>
    <row r="9984" ht="12.75"/>
    <row r="9985" ht="12.75"/>
    <row r="9986" ht="12.75"/>
    <row r="9987" ht="12.75"/>
    <row r="9988" ht="12.75"/>
    <row r="9989" ht="12.75"/>
    <row r="9990" ht="12.75"/>
    <row r="9991" ht="12.75"/>
    <row r="9992" ht="12.75"/>
    <row r="9993" ht="12.75"/>
    <row r="9994" ht="12.75"/>
    <row r="9995" ht="12.75"/>
    <row r="9996" ht="12.75"/>
    <row r="9997" ht="12.75"/>
    <row r="9998" ht="12.75"/>
    <row r="9999" ht="12.75"/>
    <row r="10000" ht="12.75"/>
    <row r="10001" ht="12.75"/>
    <row r="10002" ht="12.75"/>
    <row r="10003" ht="12.75"/>
    <row r="10004" ht="12.75"/>
    <row r="10005" ht="12.75"/>
    <row r="10006" ht="12.75"/>
    <row r="10007" ht="12.75"/>
    <row r="10008" ht="12.75"/>
    <row r="10009" ht="12.75"/>
    <row r="10010" ht="12.75"/>
    <row r="10011" ht="12.75"/>
    <row r="10012" ht="12.75"/>
    <row r="10013" ht="12.75"/>
    <row r="10014" ht="12.75"/>
    <row r="10015" ht="12.75"/>
    <row r="10016" ht="12.75"/>
    <row r="10017" ht="12.75"/>
    <row r="10018" ht="12.75"/>
    <row r="10019" ht="12.75"/>
    <row r="10020" ht="12.75"/>
    <row r="10021" ht="12.75"/>
    <row r="10022" ht="12.75"/>
    <row r="10023" ht="12.75"/>
    <row r="10024" ht="12.75"/>
    <row r="10025" ht="12.75"/>
    <row r="10026" ht="12.75"/>
    <row r="10027" ht="12.75"/>
    <row r="10028" ht="12.75"/>
    <row r="10029" ht="12.75"/>
    <row r="10030" ht="12.75"/>
    <row r="10031" ht="12.75"/>
    <row r="10032" ht="12.75"/>
    <row r="10033" ht="12.75"/>
    <row r="10034" ht="12.75"/>
    <row r="10035" ht="12.75"/>
    <row r="10036" ht="12.75"/>
    <row r="10037" ht="12.75"/>
    <row r="10038" ht="12.75"/>
    <row r="10039" ht="12.75"/>
    <row r="10040" ht="12.75"/>
    <row r="10041" ht="12.75"/>
    <row r="10042" ht="12.75"/>
    <row r="10043" ht="12.75"/>
    <row r="10044" ht="12.75"/>
    <row r="10045" ht="12.75"/>
    <row r="10046" ht="12.75"/>
    <row r="10047" ht="12.75"/>
    <row r="10048" ht="12.75"/>
    <row r="10049" ht="12.75"/>
    <row r="10050" ht="12.75"/>
    <row r="10051" ht="12.75"/>
    <row r="10052" ht="12.75"/>
    <row r="10053" ht="12.75"/>
    <row r="10054" ht="12.75"/>
    <row r="10055" ht="12.75"/>
    <row r="10056" ht="12.75"/>
    <row r="10057" ht="12.75"/>
    <row r="10058" ht="12.75"/>
    <row r="10059" ht="12.75"/>
    <row r="10060" ht="12.75"/>
    <row r="10061" ht="12.75"/>
    <row r="10062" ht="12.75"/>
    <row r="10063" ht="12.75"/>
    <row r="10064" ht="12.75"/>
    <row r="10065" ht="12.75"/>
    <row r="10066" ht="12.75"/>
    <row r="10067" ht="12.75"/>
    <row r="10068" ht="12.75"/>
    <row r="10069" ht="12.75"/>
    <row r="10070" ht="12.75"/>
    <row r="10071" ht="12.75"/>
    <row r="10072" ht="12.75"/>
    <row r="10073" ht="12.75"/>
    <row r="10074" ht="12.75"/>
    <row r="10075" ht="12.75"/>
    <row r="10076" ht="12.75"/>
    <row r="10077" ht="12.75"/>
    <row r="10078" ht="12.75"/>
    <row r="10079" ht="12.75"/>
    <row r="10080" ht="12.75"/>
    <row r="10081" ht="12.75"/>
    <row r="10082" ht="12.75"/>
    <row r="10083" ht="12.75"/>
    <row r="10084" ht="12.75"/>
    <row r="10085" ht="12.75"/>
    <row r="10086" ht="12.75"/>
    <row r="10087" ht="12.75"/>
    <row r="10088" ht="12.75"/>
    <row r="10089" ht="12.75"/>
    <row r="10090" ht="12.75"/>
    <row r="10091" ht="12.75"/>
    <row r="10092" ht="12.75"/>
    <row r="10093" ht="12.75"/>
    <row r="10094" ht="12.75"/>
    <row r="10095" ht="12.75"/>
    <row r="10096" ht="12.75"/>
    <row r="10097" ht="12.75"/>
    <row r="10098" ht="12.75"/>
    <row r="10099" ht="12.75"/>
    <row r="10100" ht="12.75"/>
    <row r="10101" ht="12.75"/>
    <row r="10102" ht="12.75"/>
    <row r="10103" ht="12.75"/>
    <row r="10104" ht="12.75"/>
    <row r="10105" ht="12.75"/>
    <row r="10106" ht="12.75"/>
    <row r="10107" ht="12.75"/>
    <row r="10108" ht="12.75"/>
    <row r="10109" ht="12.75"/>
    <row r="10110" ht="12.75"/>
    <row r="10111" ht="12.75"/>
    <row r="10112" ht="12.75"/>
    <row r="10113" ht="12.75"/>
    <row r="10114" ht="12.75"/>
    <row r="10115" ht="12.75"/>
    <row r="10116" ht="12.75"/>
    <row r="10117" ht="12.75"/>
    <row r="10118" ht="12.75"/>
    <row r="10119" ht="12.75"/>
    <row r="10120" ht="12.75"/>
    <row r="10121" ht="12.75"/>
    <row r="10122" ht="12.75"/>
    <row r="10123" ht="12.75"/>
    <row r="10124" ht="12.75"/>
    <row r="10125" ht="12.75"/>
    <row r="10126" ht="12.75"/>
    <row r="10127" ht="12.75"/>
    <row r="10128" ht="12.75"/>
    <row r="10129" ht="12.75"/>
    <row r="10130" ht="12.75"/>
    <row r="10131" ht="12.75"/>
    <row r="10132" ht="12.75"/>
    <row r="10133" ht="12.75"/>
    <row r="10134" ht="12.75"/>
    <row r="10135" ht="12.75"/>
    <row r="10136" ht="12.75"/>
    <row r="10137" ht="12.75"/>
    <row r="10138" ht="12.75"/>
    <row r="10139" ht="12.75"/>
    <row r="10140" ht="12.75"/>
    <row r="10141" ht="12.75"/>
    <row r="10142" ht="12.75"/>
    <row r="10143" ht="12.75"/>
    <row r="10144" ht="12.75"/>
    <row r="10145" ht="12.75"/>
    <row r="10146" ht="12.75"/>
    <row r="10147" ht="12.75"/>
    <row r="10148" ht="12.75"/>
    <row r="10149" ht="12.75"/>
    <row r="10150" ht="12.75"/>
    <row r="10151" ht="12.75"/>
    <row r="10152" ht="12.75"/>
    <row r="10153" ht="12.75"/>
    <row r="10154" ht="12.75"/>
    <row r="10155" ht="12.75"/>
    <row r="10156" ht="12.75"/>
    <row r="10157" ht="12.75"/>
    <row r="10158" ht="12.75"/>
    <row r="10159" ht="12.75"/>
    <row r="10160" ht="12.75"/>
    <row r="10161" ht="12.75"/>
    <row r="10162" ht="12.75"/>
    <row r="10163" ht="12.75"/>
    <row r="10164" ht="12.75"/>
    <row r="10165" ht="12.75"/>
    <row r="10166" ht="12.75"/>
    <row r="10167" ht="12.75"/>
    <row r="10168" ht="12.75"/>
    <row r="10169" ht="12.75"/>
    <row r="10170" ht="12.75"/>
    <row r="10171" ht="12.75"/>
    <row r="10172" ht="12.75"/>
    <row r="10173" ht="12.75"/>
    <row r="10174" ht="12.75"/>
    <row r="10175" ht="12.75"/>
    <row r="10176" ht="12.75"/>
    <row r="10177" ht="12.75"/>
    <row r="10178" ht="12.75"/>
    <row r="10179" ht="12.75"/>
    <row r="10180" ht="12.75"/>
    <row r="10181" ht="12.75"/>
    <row r="10182" ht="12.75"/>
    <row r="10183" ht="12.75"/>
    <row r="10184" ht="12.75"/>
    <row r="10185" ht="12.75"/>
    <row r="10186" ht="12.75"/>
    <row r="10187" ht="12.75"/>
    <row r="10188" ht="12.75"/>
    <row r="10189" ht="12.75"/>
    <row r="10190" ht="12.75"/>
    <row r="10191" ht="12.75"/>
    <row r="10192" ht="12.75"/>
    <row r="10193" ht="12.75"/>
    <row r="10194" ht="12.75"/>
    <row r="10195" ht="12.75"/>
    <row r="10196" ht="12.75"/>
    <row r="10197" ht="12.75"/>
    <row r="10198" ht="12.75"/>
    <row r="10199" ht="12.75"/>
    <row r="10200" ht="12.75"/>
    <row r="10201" ht="12.75"/>
    <row r="10202" ht="12.75"/>
    <row r="10203" ht="12.75"/>
    <row r="10204" ht="12.75"/>
    <row r="10205" ht="12.75"/>
    <row r="10206" ht="12.75"/>
    <row r="10207" ht="12.75"/>
    <row r="10208" ht="12.75"/>
    <row r="10209" ht="12.75"/>
    <row r="10210" ht="12.75"/>
    <row r="10211" ht="12.75"/>
    <row r="10212" ht="12.75"/>
    <row r="10213" ht="12.75"/>
    <row r="10214" ht="12.75"/>
    <row r="10215" ht="12.75"/>
    <row r="10216" ht="12.75"/>
    <row r="10217" ht="12.75"/>
    <row r="10218" ht="12.75"/>
    <row r="10219" ht="12.75"/>
    <row r="10220" ht="12.75"/>
    <row r="10221" ht="12.75"/>
    <row r="10222" ht="12.75"/>
    <row r="10223" ht="12.75"/>
    <row r="10224" ht="12.75"/>
    <row r="10225" ht="12.75"/>
    <row r="10226" ht="12.75"/>
    <row r="10227" ht="12.75"/>
    <row r="10228" ht="12.75"/>
    <row r="10229" ht="12.75"/>
    <row r="10230" ht="12.75"/>
    <row r="10231" ht="12.75"/>
    <row r="10232" ht="12.75"/>
    <row r="10233" ht="12.75"/>
    <row r="10234" ht="12.75"/>
    <row r="10235" ht="12.75"/>
    <row r="10236" ht="12.75"/>
    <row r="10237" ht="12.75"/>
    <row r="10238" ht="12.75"/>
    <row r="10239" ht="12.75"/>
    <row r="10240" ht="12.75"/>
    <row r="10241" ht="12.75"/>
    <row r="10242" ht="12.75"/>
    <row r="10243" ht="12.75"/>
    <row r="10244" ht="12.75"/>
    <row r="10245" ht="12.75"/>
    <row r="10246" ht="12.75"/>
    <row r="10247" ht="12.75"/>
    <row r="10248" ht="12.75"/>
    <row r="10249" ht="12.75"/>
    <row r="10250" ht="12.75"/>
    <row r="10251" ht="12.75"/>
    <row r="10252" ht="12.75"/>
    <row r="10253" ht="12.75"/>
    <row r="10254" ht="12.75"/>
    <row r="10255" ht="12.75"/>
    <row r="10256" ht="12.75"/>
    <row r="10257" ht="12.75"/>
    <row r="10258" ht="12.75"/>
    <row r="10259" ht="12.75"/>
    <row r="10260" ht="12.75"/>
    <row r="10261" ht="12.75"/>
    <row r="10262" ht="12.75"/>
    <row r="10263" ht="12.75"/>
    <row r="10264" ht="12.75"/>
    <row r="10265" ht="12.75"/>
    <row r="10266" ht="12.75"/>
    <row r="10267" ht="12.75"/>
    <row r="10268" ht="12.75"/>
    <row r="10269" ht="12.75"/>
    <row r="10270" ht="12.75"/>
    <row r="10271" ht="12.75"/>
    <row r="10272" ht="12.75"/>
    <row r="10273" ht="12.75"/>
    <row r="10274" ht="12.75"/>
    <row r="10275" ht="12.75"/>
    <row r="10276" ht="12.75"/>
    <row r="10277" ht="12.75"/>
    <row r="10278" ht="12.75"/>
    <row r="10279" ht="12.75"/>
    <row r="10280" ht="12.75"/>
    <row r="10281" ht="12.75"/>
    <row r="10282" ht="12.75"/>
    <row r="10283" ht="12.75"/>
    <row r="10284" ht="12.75"/>
    <row r="10285" ht="12.75"/>
    <row r="10286" ht="12.75"/>
    <row r="10287" ht="12.75"/>
    <row r="10288" ht="12.75"/>
    <row r="10289" ht="12.75"/>
    <row r="10290" ht="12.75"/>
    <row r="10291" ht="12.75"/>
    <row r="10292" ht="12.75"/>
    <row r="10293" ht="12.75"/>
    <row r="10294" ht="12.75"/>
    <row r="10295" ht="12.75"/>
    <row r="10296" ht="12.75"/>
    <row r="10297" ht="12.75"/>
    <row r="10298" ht="12.75"/>
    <row r="10299" ht="12.75"/>
    <row r="10300" ht="12.75"/>
    <row r="10301" ht="12.75"/>
    <row r="10302" ht="12.75"/>
    <row r="10303" ht="12.75"/>
    <row r="10304" ht="12.75"/>
    <row r="10305" ht="12.75"/>
    <row r="10306" ht="12.75"/>
    <row r="10307" ht="12.75"/>
    <row r="10308" ht="12.75"/>
    <row r="10309" ht="12.75"/>
    <row r="10310" ht="12.75"/>
    <row r="10311" ht="12.75"/>
    <row r="10312" ht="12.75"/>
    <row r="10313" ht="12.75"/>
    <row r="10314" ht="12.75"/>
    <row r="10315" ht="12.75"/>
    <row r="10316" ht="12.75"/>
    <row r="10317" ht="12.75"/>
    <row r="10318" ht="12.75"/>
    <row r="10319" ht="12.75"/>
    <row r="10320" ht="12.75"/>
    <row r="10321" ht="12.75"/>
    <row r="10322" ht="12.75"/>
    <row r="10323" ht="12.75"/>
    <row r="10324" ht="12.75"/>
    <row r="10325" ht="12.75"/>
    <row r="10326" ht="12.75"/>
    <row r="10327" ht="12.75"/>
    <row r="10328" ht="12.75"/>
    <row r="10329" ht="12.75"/>
    <row r="10330" ht="12.75"/>
    <row r="10331" ht="12.75"/>
    <row r="10332" ht="12.75"/>
    <row r="10333" ht="12.75"/>
    <row r="10334" ht="12.75"/>
    <row r="10335" ht="12.75"/>
    <row r="10336" ht="12.75"/>
    <row r="10337" ht="12.75"/>
    <row r="10338" ht="12.75"/>
    <row r="10339" ht="12.75"/>
    <row r="10340" ht="12.75"/>
    <row r="10341" ht="12.75"/>
    <row r="10342" ht="12.75"/>
    <row r="10343" ht="12.75"/>
    <row r="10344" ht="12.75"/>
    <row r="10345" ht="12.75"/>
    <row r="10346" ht="12.75"/>
    <row r="10347" ht="12.75"/>
    <row r="10348" ht="12.75"/>
    <row r="10349" ht="12.75"/>
    <row r="10350" ht="12.75"/>
    <row r="10351" ht="12.75"/>
    <row r="10352" ht="12.75"/>
    <row r="10353" ht="12.75"/>
    <row r="10354" ht="12.75"/>
    <row r="10355" ht="12.75"/>
    <row r="10356" ht="12.75"/>
    <row r="10357" ht="12.75"/>
    <row r="10358" ht="12.75"/>
    <row r="10359" ht="12.75"/>
    <row r="10360" ht="12.75"/>
    <row r="10361" ht="12.75"/>
    <row r="10362" ht="12.75"/>
    <row r="10363" ht="12.75"/>
    <row r="10364" ht="12.75"/>
    <row r="10365" ht="12.75"/>
    <row r="10366" ht="12.75"/>
    <row r="10367" ht="12.75"/>
    <row r="10368" ht="12.75"/>
    <row r="10369" ht="12.75"/>
    <row r="10370" ht="12.75"/>
    <row r="10371" ht="12.75"/>
    <row r="10372" ht="12.75"/>
    <row r="10373" ht="12.75"/>
    <row r="10374" ht="12.75"/>
    <row r="10375" ht="12.75"/>
    <row r="10376" ht="12.75"/>
    <row r="10377" ht="12.75"/>
    <row r="10378" ht="12.75"/>
    <row r="10379" ht="12.75"/>
    <row r="10380" ht="12.75"/>
    <row r="10381" ht="12.75"/>
    <row r="10382" ht="12.75"/>
    <row r="10383" ht="12.75"/>
    <row r="10384" ht="12.75"/>
    <row r="10385" ht="12.75"/>
    <row r="10386" ht="12.75"/>
    <row r="10387" ht="12.75"/>
    <row r="10388" ht="12.75"/>
    <row r="10389" ht="12.75"/>
    <row r="10390" ht="12.75"/>
    <row r="10391" ht="12.75"/>
    <row r="10392" ht="12.75"/>
    <row r="10393" ht="12.75"/>
    <row r="10394" ht="12.75"/>
    <row r="10395" ht="12.75"/>
    <row r="10396" ht="12.75"/>
    <row r="10397" ht="12.75"/>
    <row r="10398" ht="12.75"/>
    <row r="10399" ht="12.75"/>
    <row r="10400" ht="12.75"/>
    <row r="10401" ht="12.75"/>
    <row r="10402" ht="12.75"/>
    <row r="10403" ht="12.75"/>
    <row r="10404" ht="12.75"/>
    <row r="10405" ht="12.75"/>
    <row r="10406" ht="12.75"/>
    <row r="10407" ht="12.75"/>
    <row r="10408" ht="12.75"/>
    <row r="10409" ht="12.75"/>
    <row r="10410" ht="12.75"/>
    <row r="10411" ht="12.75"/>
    <row r="10412" ht="12.75"/>
    <row r="10413" ht="12.75"/>
    <row r="10414" ht="12.75"/>
    <row r="10415" ht="12.75"/>
    <row r="10416" ht="12.75"/>
    <row r="10417" ht="12.75"/>
    <row r="10418" ht="12.75"/>
    <row r="10419" ht="12.75"/>
    <row r="10420" ht="12.75"/>
    <row r="10421" ht="12.75"/>
    <row r="10422" ht="12.75"/>
    <row r="10423" ht="12.75"/>
    <row r="10424" ht="12.75"/>
    <row r="10425" ht="12.75"/>
    <row r="10426" ht="12.75"/>
    <row r="10427" ht="12.75"/>
    <row r="10428" ht="12.75"/>
    <row r="10429" ht="12.75"/>
    <row r="10430" ht="12.75"/>
    <row r="10431" ht="12.75"/>
    <row r="10432" ht="12.75"/>
    <row r="10433" ht="12.75"/>
    <row r="10434" ht="12.75"/>
    <row r="10435" ht="12.75"/>
    <row r="10436" ht="12.75"/>
    <row r="10437" ht="12.75"/>
    <row r="10438" ht="12.75"/>
    <row r="10439" ht="12.75"/>
    <row r="10440" ht="12.75"/>
    <row r="10441" ht="12.75"/>
    <row r="10442" ht="12.75"/>
    <row r="10443" ht="12.75"/>
    <row r="10444" ht="12.75"/>
    <row r="10445" ht="12.75"/>
    <row r="10446" ht="12.75"/>
    <row r="10447" ht="12.75"/>
    <row r="10448" ht="12.75"/>
    <row r="10449" ht="12.75"/>
    <row r="10450" ht="12.75"/>
    <row r="10451" ht="12.75"/>
    <row r="10452" ht="12.75"/>
    <row r="10453" ht="12.75"/>
    <row r="10454" ht="12.75"/>
    <row r="10455" ht="12.75"/>
    <row r="10456" ht="12.75"/>
    <row r="10457" ht="12.75"/>
    <row r="10458" ht="12.75"/>
    <row r="10459" ht="12.75"/>
    <row r="10460" ht="12.75"/>
    <row r="10461" ht="12.75"/>
    <row r="10462" ht="12.75"/>
    <row r="10463" ht="12.75"/>
    <row r="10464" ht="12.75"/>
    <row r="10465" ht="12.75"/>
    <row r="10466" ht="12.75"/>
    <row r="10467" ht="12.75"/>
    <row r="10468" ht="12.75"/>
    <row r="10469" ht="12.75"/>
    <row r="10470" ht="12.75"/>
    <row r="10471" ht="12.75"/>
    <row r="10472" ht="12.75"/>
    <row r="10473" ht="12.75"/>
    <row r="10474" ht="12.75"/>
    <row r="10475" ht="12.75"/>
    <row r="10476" ht="12.75"/>
    <row r="10477" ht="12.75"/>
    <row r="10478" ht="12.75"/>
    <row r="10479" ht="12.75"/>
    <row r="10480" ht="12.75"/>
    <row r="10481" ht="12.75"/>
    <row r="10482" ht="12.75"/>
    <row r="10483" ht="12.75"/>
    <row r="10484" ht="12.75"/>
    <row r="10485" ht="12.75"/>
    <row r="10486" ht="12.75"/>
    <row r="10487" ht="12.75"/>
    <row r="10488" ht="12.75"/>
    <row r="10489" ht="12.75"/>
    <row r="10490" ht="12.75"/>
    <row r="10491" ht="12.75"/>
    <row r="10492" ht="12.75"/>
    <row r="10493" ht="12.75"/>
    <row r="10494" ht="12.75"/>
    <row r="10495" ht="12.75"/>
    <row r="10496" ht="12.75"/>
    <row r="10497" ht="12.75"/>
    <row r="10498" ht="12.75"/>
    <row r="10499" ht="12.75"/>
    <row r="10500" ht="12.75"/>
    <row r="10501" ht="12.75"/>
    <row r="10502" ht="12.75"/>
    <row r="10503" ht="12.75"/>
    <row r="10504" ht="12.75"/>
    <row r="10505" ht="12.75"/>
    <row r="10506" ht="12.75"/>
    <row r="10507" ht="12.75"/>
    <row r="10508" ht="12.75"/>
    <row r="10509" ht="12.75"/>
    <row r="10510" ht="12.75"/>
    <row r="10511" ht="12.75"/>
    <row r="10512" ht="12.75"/>
    <row r="10513" ht="12.75"/>
    <row r="10514" ht="12.75"/>
    <row r="10515" ht="12.75"/>
    <row r="10516" ht="12.75"/>
    <row r="10517" ht="12.75"/>
    <row r="10518" ht="12.75"/>
    <row r="10519" ht="12.75"/>
    <row r="10520" ht="12.75"/>
    <row r="10521" ht="12.75"/>
    <row r="10522" ht="12.75"/>
    <row r="10523" ht="12.75"/>
    <row r="10524" ht="12.75"/>
    <row r="10525" ht="12.75"/>
    <row r="10526" ht="12.75"/>
    <row r="10527" ht="12.75"/>
    <row r="10528" ht="12.75"/>
    <row r="10529" ht="12.75"/>
    <row r="10530" ht="12.75"/>
    <row r="10531" ht="12.75"/>
    <row r="10532" ht="12.75"/>
    <row r="10533" ht="12.75"/>
    <row r="10534" ht="12.75"/>
    <row r="10535" ht="12.75"/>
    <row r="10536" ht="12.75"/>
    <row r="10537" ht="12.75"/>
    <row r="10538" ht="12.75"/>
    <row r="10539" ht="12.75"/>
    <row r="10540" ht="12.75"/>
    <row r="10541" ht="12.75"/>
    <row r="10542" ht="12.75"/>
    <row r="10543" ht="12.75"/>
    <row r="10544" ht="12.75"/>
    <row r="10545" ht="12.75"/>
    <row r="10546" ht="12.75"/>
    <row r="10547" ht="12.75"/>
    <row r="10548" ht="12.75"/>
    <row r="10549" ht="12.75"/>
    <row r="10550" ht="12.75"/>
    <row r="10551" ht="12.75"/>
    <row r="10552" ht="12.75"/>
    <row r="10553" ht="12.75"/>
    <row r="10554" ht="12.75"/>
    <row r="10555" ht="12.75"/>
    <row r="10556" ht="12.75"/>
    <row r="10557" ht="12.75"/>
    <row r="10558" ht="12.75"/>
    <row r="10559" ht="12.75"/>
    <row r="10560" ht="12.75"/>
    <row r="10561" ht="12.75"/>
    <row r="10562" ht="12.75"/>
    <row r="10563" ht="12.75"/>
    <row r="10564" ht="12.75"/>
    <row r="10565" ht="12.75"/>
    <row r="10566" ht="12.75"/>
    <row r="10567" ht="12.75"/>
    <row r="10568" ht="12.75"/>
    <row r="10569" ht="12.75"/>
    <row r="10570" ht="12.75"/>
    <row r="10571" ht="12.75"/>
    <row r="10572" ht="12.75"/>
    <row r="10573" ht="12.75"/>
    <row r="10574" ht="12.75"/>
    <row r="10575" ht="12.75"/>
    <row r="10576" ht="12.75"/>
    <row r="10577" ht="12.75"/>
    <row r="10578" ht="12.75"/>
    <row r="10579" ht="12.75"/>
    <row r="10580" ht="12.75"/>
    <row r="10581" ht="12.75"/>
    <row r="10582" ht="12.75"/>
    <row r="10583" ht="12.75"/>
    <row r="10584" ht="12.75"/>
    <row r="10585" ht="12.75"/>
    <row r="10586" ht="12.75"/>
    <row r="10587" ht="12.75"/>
    <row r="10588" ht="12.75"/>
    <row r="10589" ht="12.75"/>
    <row r="10590" ht="12.75"/>
    <row r="10591" ht="12.75"/>
    <row r="10592" ht="12.75"/>
    <row r="10593" ht="12.75"/>
    <row r="10594" ht="12.75"/>
    <row r="10595" ht="12.75"/>
    <row r="10596" ht="12.75"/>
    <row r="10597" ht="12.75"/>
    <row r="10598" ht="12.75"/>
    <row r="10599" ht="12.75"/>
    <row r="10600" ht="12.75"/>
    <row r="10601" ht="12.75"/>
    <row r="10602" ht="12.75"/>
    <row r="10603" ht="12.75"/>
    <row r="10604" ht="12.75"/>
    <row r="10605" ht="12.75"/>
    <row r="10606" ht="12.75"/>
    <row r="10607" ht="12.75"/>
    <row r="10608" ht="12.75"/>
    <row r="10609" ht="12.75"/>
    <row r="10610" ht="12.75"/>
    <row r="10611" ht="12.75"/>
    <row r="10612" ht="12.75"/>
    <row r="10613" ht="12.75"/>
    <row r="10614" ht="12.75"/>
    <row r="10615" ht="12.75"/>
    <row r="10616" ht="12.75"/>
    <row r="10617" ht="12.75"/>
    <row r="10618" ht="12.75"/>
    <row r="10619" ht="12.75"/>
    <row r="10620" ht="12.75"/>
    <row r="10621" ht="12.75"/>
    <row r="10622" ht="12.75"/>
    <row r="10623" ht="12.75"/>
    <row r="10624" ht="12.75"/>
    <row r="10625" ht="12.75"/>
    <row r="10626" ht="12.75"/>
    <row r="10627" ht="12.75"/>
    <row r="10628" ht="12.75"/>
    <row r="10629" ht="12.75"/>
    <row r="10630" ht="12.75"/>
    <row r="10631" ht="12.75"/>
    <row r="10632" ht="12.75"/>
    <row r="10633" ht="12.75"/>
    <row r="10634" ht="12.75"/>
    <row r="10635" ht="12.75"/>
    <row r="10636" ht="12.75"/>
    <row r="10637" ht="12.75"/>
    <row r="10638" ht="12.75"/>
    <row r="10639" ht="12.75"/>
    <row r="10640" ht="12.75"/>
    <row r="10641" ht="12.75"/>
    <row r="10642" ht="12.75"/>
    <row r="10643" ht="12.75"/>
    <row r="10644" ht="12.75"/>
    <row r="10645" ht="12.75"/>
    <row r="10646" ht="12.75"/>
    <row r="10647" ht="12.75"/>
    <row r="10648" ht="12.75"/>
    <row r="10649" ht="12.75"/>
    <row r="10650" ht="12.75"/>
    <row r="10651" ht="12.75"/>
    <row r="10652" ht="12.75"/>
    <row r="10653" ht="12.75"/>
    <row r="10654" ht="12.75"/>
    <row r="10655" ht="12.75"/>
    <row r="10656" ht="12.75"/>
    <row r="10657" ht="12.75"/>
    <row r="10658" ht="12.75"/>
    <row r="10659" ht="12.75"/>
    <row r="10660" ht="12.75"/>
    <row r="10661" ht="12.75"/>
    <row r="10662" ht="12.75"/>
    <row r="10663" ht="12.75"/>
    <row r="10664" ht="12.75"/>
    <row r="10665" ht="12.75"/>
    <row r="10666" ht="12.75"/>
    <row r="10667" ht="12.75"/>
    <row r="10668" ht="12.75"/>
    <row r="10669" ht="12.75"/>
    <row r="10670" ht="12.75"/>
    <row r="10671" ht="12.75"/>
    <row r="10672" ht="12.75"/>
    <row r="10673" ht="12.75"/>
    <row r="10674" ht="12.75"/>
    <row r="10675" ht="12.75"/>
    <row r="10676" ht="12.75"/>
    <row r="10677" ht="12.75"/>
    <row r="10678" ht="12.75"/>
    <row r="10679" ht="12.75"/>
    <row r="10680" ht="12.75"/>
    <row r="10681" ht="12.75"/>
    <row r="10682" ht="12.75"/>
    <row r="10683" ht="12.75"/>
    <row r="10684" ht="12.75"/>
    <row r="10685" ht="12.75"/>
    <row r="10686" ht="12.75"/>
    <row r="10687" ht="12.75"/>
    <row r="10688" ht="12.75"/>
    <row r="10689" ht="12.75"/>
    <row r="10690" ht="12.75"/>
    <row r="10691" ht="12.75"/>
    <row r="10692" ht="12.75"/>
    <row r="10693" ht="12.75"/>
    <row r="10694" ht="12.75"/>
    <row r="10695" ht="12.75"/>
    <row r="10696" ht="12.75"/>
    <row r="10697" ht="12.75"/>
    <row r="10698" ht="12.75"/>
    <row r="10699" ht="12.75"/>
    <row r="10700" ht="12.75"/>
    <row r="10701" ht="12.75"/>
    <row r="10702" ht="12.75"/>
    <row r="10703" ht="12.75"/>
    <row r="10704" ht="12.75"/>
    <row r="10705" ht="12.75"/>
    <row r="10706" ht="12.75"/>
    <row r="10707" ht="12.75"/>
    <row r="10708" ht="12.75"/>
    <row r="10709" ht="12.75"/>
    <row r="10710" ht="12.75"/>
    <row r="10711" ht="12.75"/>
    <row r="10712" ht="12.75"/>
    <row r="10713" ht="12.75"/>
    <row r="10714" ht="12.75"/>
    <row r="10715" ht="12.75"/>
    <row r="10716" ht="12.75"/>
    <row r="10717" ht="12.75"/>
    <row r="10718" ht="12.75"/>
    <row r="10719" ht="12.75"/>
    <row r="10720" ht="12.75"/>
    <row r="10721" ht="12.75"/>
    <row r="10722" ht="12.75"/>
    <row r="10723" ht="12.75"/>
    <row r="10724" ht="12.75"/>
    <row r="10725" ht="12.75"/>
    <row r="10726" ht="12.75"/>
    <row r="10727" ht="12.75"/>
    <row r="10728" ht="12.75"/>
    <row r="10729" ht="12.75"/>
    <row r="10730" ht="12.75"/>
    <row r="10731" ht="12.75"/>
    <row r="10732" ht="12.75"/>
    <row r="10733" ht="12.75"/>
    <row r="10734" ht="12.75"/>
    <row r="10735" ht="12.75"/>
    <row r="10736" ht="12.75"/>
    <row r="10737" ht="12.75"/>
    <row r="10738" ht="12.75"/>
    <row r="10739" ht="12.75"/>
    <row r="10740" ht="12.75"/>
    <row r="10741" ht="12.75"/>
    <row r="10742" ht="12.75"/>
    <row r="10743" ht="12.75"/>
    <row r="10744" ht="12.75"/>
    <row r="10745" ht="12.75"/>
    <row r="10746" ht="12.75"/>
    <row r="10747" ht="12.75"/>
    <row r="10748" ht="12.75"/>
    <row r="10749" ht="12.75"/>
    <row r="10750" ht="12.75"/>
    <row r="10751" ht="12.75"/>
    <row r="10752" ht="12.75"/>
    <row r="10753" ht="12.75"/>
    <row r="10754" ht="12.75"/>
    <row r="10755" ht="12.75"/>
    <row r="10756" ht="12.75"/>
    <row r="10757" ht="12.75"/>
    <row r="10758" ht="12.75"/>
    <row r="10759" ht="12.75"/>
    <row r="10760" ht="12.75"/>
    <row r="10761" ht="12.75"/>
    <row r="10762" ht="12.75"/>
    <row r="10763" ht="12.75"/>
    <row r="10764" ht="12.75"/>
    <row r="10765" ht="12.75"/>
    <row r="10766" ht="12.75"/>
    <row r="10767" ht="12.75"/>
    <row r="10768" ht="12.75"/>
    <row r="10769" ht="12.75"/>
    <row r="10770" ht="12.75"/>
    <row r="10771" ht="12.75"/>
    <row r="10772" ht="12.75"/>
    <row r="10773" ht="12.75"/>
    <row r="10774" ht="12.75"/>
    <row r="10775" ht="12.75"/>
    <row r="10776" ht="12.75"/>
    <row r="10777" ht="12.75"/>
    <row r="10778" ht="12.75"/>
    <row r="10779" ht="12.75"/>
    <row r="10780" ht="12.75"/>
    <row r="10781" ht="12.75"/>
    <row r="10782" ht="12.75"/>
    <row r="10783" ht="12.75"/>
    <row r="10784" ht="12.75"/>
    <row r="10785" ht="12.75"/>
    <row r="10786" ht="12.75"/>
    <row r="10787" ht="12.75"/>
    <row r="10788" ht="12.75"/>
    <row r="10789" ht="12.75"/>
    <row r="10790" ht="12.75"/>
    <row r="10791" ht="12.75"/>
    <row r="10792" ht="12.75"/>
    <row r="10793" ht="12.75"/>
    <row r="10794" ht="12.75"/>
    <row r="10795" ht="12.75"/>
    <row r="10796" ht="12.75"/>
    <row r="10797" ht="12.75"/>
    <row r="10798" ht="12.75"/>
    <row r="10799" ht="12.75"/>
    <row r="10800" ht="12.75"/>
    <row r="10801" ht="12.75"/>
    <row r="10802" ht="12.75"/>
    <row r="10803" ht="12.75"/>
    <row r="10804" ht="12.75"/>
    <row r="10805" ht="12.75"/>
    <row r="10806" ht="12.75"/>
    <row r="10807" ht="12.75"/>
    <row r="10808" ht="12.75"/>
    <row r="10809" ht="12.75"/>
    <row r="10810" ht="12.75"/>
    <row r="10811" ht="12.75"/>
    <row r="10812" ht="12.75"/>
    <row r="10813" ht="12.75"/>
    <row r="10814" ht="12.75"/>
    <row r="10815" ht="12.75"/>
    <row r="10816" ht="12.75"/>
    <row r="10817" ht="12.75"/>
    <row r="10818" ht="12.75"/>
    <row r="10819" ht="12.75"/>
    <row r="10820" ht="12.75"/>
    <row r="10821" ht="12.75"/>
    <row r="10822" ht="12.75"/>
    <row r="10823" ht="12.75"/>
    <row r="10824" ht="12.75"/>
    <row r="10825" ht="12.75"/>
    <row r="10826" ht="12.75"/>
    <row r="10827" ht="12.75"/>
    <row r="10828" ht="12.75"/>
    <row r="10829" ht="12.75"/>
    <row r="10830" ht="12.75"/>
    <row r="10831" ht="12.75"/>
    <row r="10832" ht="12.75"/>
    <row r="10833" ht="12.75"/>
    <row r="10834" ht="12.75"/>
    <row r="10835" ht="12.75"/>
    <row r="10836" ht="12.75"/>
    <row r="10837" ht="12.75"/>
    <row r="10838" ht="12.75"/>
    <row r="10839" ht="12.75"/>
    <row r="10840" ht="12.75"/>
    <row r="10841" ht="12.75"/>
    <row r="10842" ht="12.75"/>
    <row r="10843" ht="12.75"/>
    <row r="10844" ht="12.75"/>
    <row r="10845" ht="12.75"/>
    <row r="10846" ht="12.75"/>
    <row r="10847" ht="12.75"/>
    <row r="10848" ht="12.75"/>
    <row r="10849" ht="12.75"/>
    <row r="10850" ht="12.75"/>
    <row r="10851" ht="12.75"/>
    <row r="10852" ht="12.75"/>
    <row r="10853" ht="12.75"/>
    <row r="10854" ht="12.75"/>
    <row r="10855" ht="12.75"/>
    <row r="10856" ht="12.75"/>
    <row r="10857" ht="12.75"/>
    <row r="10858" ht="12.75"/>
    <row r="10859" ht="12.75"/>
    <row r="10860" ht="12.75"/>
    <row r="10861" ht="12.75"/>
    <row r="10862" ht="12.75"/>
    <row r="10863" ht="12.75"/>
    <row r="10864" ht="12.75"/>
    <row r="10865" ht="12.75"/>
    <row r="10866" ht="12.75"/>
    <row r="10867" ht="12.75"/>
    <row r="10868" ht="12.75"/>
    <row r="10869" ht="12.75"/>
    <row r="10870" ht="12.75"/>
    <row r="10871" ht="12.75"/>
    <row r="10872" ht="12.75"/>
    <row r="10873" ht="12.75"/>
    <row r="10874" ht="12.75"/>
    <row r="10875" ht="12.75"/>
    <row r="10876" ht="12.75"/>
    <row r="10877" ht="12.75"/>
    <row r="10878" ht="12.75"/>
    <row r="10879" ht="12.75"/>
    <row r="10880" ht="12.75"/>
    <row r="10881" ht="12.75"/>
    <row r="10882" ht="12.75"/>
    <row r="10883" ht="12.75"/>
    <row r="10884" ht="12.75"/>
    <row r="10885" ht="12.75"/>
    <row r="10886" ht="12.75"/>
    <row r="10887" ht="12.75"/>
    <row r="10888" ht="12.75"/>
    <row r="10889" ht="12.75"/>
    <row r="10890" ht="12.75"/>
    <row r="10891" ht="12.75"/>
    <row r="10892" ht="12.75"/>
    <row r="10893" ht="12.75"/>
    <row r="10894" ht="12.75"/>
    <row r="10895" ht="12.75"/>
    <row r="10896" ht="12.75"/>
    <row r="10897" ht="12.75"/>
    <row r="10898" ht="12.75"/>
    <row r="10899" ht="12.75"/>
    <row r="10900" ht="12.75"/>
    <row r="10901" ht="12.75"/>
    <row r="10902" ht="12.75"/>
    <row r="10903" ht="12.75"/>
    <row r="10904" ht="12.75"/>
    <row r="10905" ht="12.75"/>
    <row r="10906" ht="12.75"/>
    <row r="10907" ht="12.75"/>
    <row r="10908" ht="12.75"/>
    <row r="10909" ht="12.75"/>
    <row r="10910" ht="12.75"/>
    <row r="10911" ht="12.75"/>
    <row r="10912" ht="12.75"/>
    <row r="10913" ht="12.75"/>
    <row r="10914" ht="12.75"/>
    <row r="10915" ht="12.75"/>
    <row r="10916" ht="12.75"/>
    <row r="10917" ht="12.75"/>
    <row r="10918" ht="12.75"/>
    <row r="10919" ht="12.75"/>
    <row r="10920" ht="12.75"/>
    <row r="10921" ht="12.75"/>
    <row r="10922" ht="12.75"/>
    <row r="10923" ht="12.75"/>
    <row r="10924" ht="12.75"/>
    <row r="10925" ht="12.75"/>
    <row r="10926" ht="12.75"/>
    <row r="10927" ht="12.75"/>
    <row r="10928" ht="12.75"/>
    <row r="10929" ht="12.75"/>
    <row r="10930" ht="12.75"/>
    <row r="10931" ht="12.75"/>
    <row r="10932" ht="12.75"/>
    <row r="10933" ht="12.75"/>
    <row r="10934" ht="12.75"/>
    <row r="10935" ht="12.75"/>
    <row r="10936" ht="12.75"/>
    <row r="10937" ht="12.75"/>
    <row r="10938" ht="12.75"/>
    <row r="10939" ht="12.75"/>
    <row r="10940" ht="12.75"/>
    <row r="10941" ht="12.75"/>
    <row r="10942" ht="12.75"/>
    <row r="10943" ht="12.75"/>
    <row r="10944" ht="12.75"/>
    <row r="10945" ht="12.75"/>
    <row r="10946" ht="12.75"/>
    <row r="10947" ht="12.75"/>
    <row r="10948" ht="12.75"/>
    <row r="10949" ht="12.75"/>
    <row r="10950" ht="12.75"/>
    <row r="10951" ht="12.75"/>
    <row r="10952" ht="12.75"/>
    <row r="10953" ht="12.75"/>
    <row r="10954" ht="12.75"/>
    <row r="10955" ht="12.75"/>
    <row r="10956" ht="12.75"/>
    <row r="10957" ht="12.75"/>
    <row r="10958" ht="12.75"/>
    <row r="10959" ht="12.75"/>
    <row r="10960" ht="12.75"/>
    <row r="10961" ht="12.75"/>
    <row r="10962" ht="12.75"/>
    <row r="10963" ht="12.75"/>
    <row r="10964" ht="12.75"/>
    <row r="10965" ht="12.75"/>
    <row r="10966" ht="12.75"/>
    <row r="10967" ht="12.75"/>
    <row r="10968" ht="12.75"/>
    <row r="10969" ht="12.75"/>
    <row r="10970" ht="12.75"/>
    <row r="10971" ht="12.75"/>
    <row r="10972" ht="12.75"/>
    <row r="10973" ht="12.75"/>
    <row r="10974" ht="12.75"/>
    <row r="10975" ht="12.75"/>
    <row r="10976" ht="12.75"/>
    <row r="10977" ht="12.75"/>
    <row r="10978" ht="12.75"/>
    <row r="10979" ht="12.75"/>
    <row r="10980" ht="12.75"/>
    <row r="10981" ht="12.75"/>
    <row r="10982" ht="12.75"/>
    <row r="10983" ht="12.75"/>
    <row r="10984" ht="12.75"/>
    <row r="10985" ht="12.75"/>
    <row r="10986" ht="12.75"/>
    <row r="10987" ht="12.75"/>
    <row r="10988" ht="12.75"/>
    <row r="10989" ht="12.75"/>
    <row r="10990" ht="12.75"/>
    <row r="10991" ht="12.75"/>
    <row r="10992" ht="12.75"/>
    <row r="10993" ht="12.75"/>
    <row r="10994" ht="12.75"/>
    <row r="10995" ht="12.75"/>
    <row r="10996" ht="12.75"/>
    <row r="10997" ht="12.75"/>
    <row r="10998" ht="12.75"/>
    <row r="10999" ht="12.75"/>
    <row r="11000" ht="12.75"/>
    <row r="11001" ht="12.75"/>
    <row r="11002" ht="12.75"/>
    <row r="11003" ht="12.75"/>
    <row r="11004" ht="12.75"/>
    <row r="11005" ht="12.75"/>
    <row r="11006" ht="12.75"/>
    <row r="11007" ht="12.75"/>
    <row r="11008" ht="12.75"/>
    <row r="11009" ht="12.75"/>
    <row r="11010" ht="12.75"/>
    <row r="11011" ht="12.75"/>
    <row r="11012" ht="12.75"/>
    <row r="11013" ht="12.75"/>
    <row r="11014" ht="12.75"/>
    <row r="11015" ht="12.75"/>
    <row r="11016" ht="12.75"/>
    <row r="11017" ht="12.75"/>
    <row r="11018" ht="12.75"/>
    <row r="11019" ht="12.75"/>
    <row r="11020" ht="12.75"/>
    <row r="11021" ht="12.75"/>
    <row r="11022" ht="12.75"/>
    <row r="11023" ht="12.75"/>
    <row r="11024" ht="12.75"/>
    <row r="11025" ht="12.75"/>
    <row r="11026" ht="12.75"/>
    <row r="11027" ht="12.75"/>
    <row r="11028" ht="12.75"/>
    <row r="11029" ht="12.75"/>
    <row r="11030" ht="12.75"/>
    <row r="11031" ht="12.75"/>
    <row r="11032" ht="12.75"/>
    <row r="11033" ht="12.75"/>
    <row r="11034" ht="12.75"/>
    <row r="11035" ht="12.75"/>
    <row r="11036" ht="12.75"/>
    <row r="11037" ht="12.75"/>
    <row r="11038" ht="12.75"/>
    <row r="11039" ht="12.75"/>
    <row r="11040" ht="12.75"/>
    <row r="11041" ht="12.75"/>
    <row r="11042" ht="12.75"/>
    <row r="11043" ht="12.75"/>
    <row r="11044" ht="12.75"/>
    <row r="11045" ht="12.75"/>
    <row r="11046" ht="12.75"/>
    <row r="11047" ht="12.75"/>
    <row r="11048" ht="12.75"/>
    <row r="11049" ht="12.75"/>
    <row r="11050" ht="12.75"/>
    <row r="11051" ht="12.75"/>
    <row r="11052" ht="12.75"/>
    <row r="11053" ht="12.75"/>
    <row r="11054" ht="12.75"/>
    <row r="11055" ht="12.75"/>
    <row r="11056" ht="12.75"/>
    <row r="11057" ht="12.75"/>
    <row r="11058" ht="12.75"/>
    <row r="11059" ht="12.75"/>
    <row r="11060" ht="12.75"/>
    <row r="11061" ht="12.75"/>
    <row r="11062" ht="12.75"/>
    <row r="11063" ht="12.75"/>
    <row r="11064" ht="12.75"/>
    <row r="11065" ht="12.75"/>
    <row r="11066" ht="12.75"/>
    <row r="11067" ht="12.75"/>
    <row r="11068" ht="12.75"/>
    <row r="11069" ht="12.75"/>
    <row r="11070" ht="12.75"/>
    <row r="11071" ht="12.75"/>
    <row r="11072" ht="12.75"/>
    <row r="11073" ht="12.75"/>
    <row r="11074" ht="12.75"/>
    <row r="11075" ht="12.75"/>
    <row r="11076" ht="12.75"/>
    <row r="11077" ht="12.75"/>
    <row r="11078" ht="12.75"/>
    <row r="11079" ht="12.75"/>
    <row r="11080" ht="12.75"/>
    <row r="11081" ht="12.75"/>
    <row r="11082" ht="12.75"/>
    <row r="11083" ht="12.75"/>
    <row r="11084" ht="12.75"/>
    <row r="11085" ht="12.75"/>
    <row r="11086" ht="12.75"/>
    <row r="11087" ht="12.75"/>
    <row r="11088" ht="12.75"/>
    <row r="11089" ht="12.75"/>
    <row r="11090" ht="12.75"/>
    <row r="11091" ht="12.75"/>
    <row r="11092" ht="12.75"/>
    <row r="11093" ht="12.75"/>
    <row r="11094" ht="12.75"/>
    <row r="11095" ht="12.75"/>
    <row r="11096" ht="12.75"/>
    <row r="11097" ht="12.75"/>
    <row r="11098" ht="12.75"/>
    <row r="11099" ht="12.75"/>
    <row r="11100" ht="12.75"/>
    <row r="11101" ht="12.75"/>
    <row r="11102" ht="12.75"/>
    <row r="11103" ht="12.75"/>
    <row r="11104" ht="12.75"/>
    <row r="11105" ht="12.75"/>
    <row r="11106" ht="12.75"/>
    <row r="11107" ht="12.75"/>
    <row r="11108" ht="12.75"/>
    <row r="11109" ht="12.75"/>
    <row r="11110" ht="12.75"/>
    <row r="11111" ht="12.75"/>
    <row r="11112" ht="12.75"/>
    <row r="11113" ht="12.75"/>
    <row r="11114" ht="12.75"/>
    <row r="11115" ht="12.75"/>
    <row r="11116" ht="12.75"/>
    <row r="11117" ht="12.75"/>
    <row r="11118" ht="12.75"/>
    <row r="11119" ht="12.75"/>
    <row r="11120" ht="12.75"/>
    <row r="11121" ht="12.75"/>
    <row r="11122" ht="12.75"/>
    <row r="11123" ht="12.75"/>
    <row r="11124" ht="12.75"/>
    <row r="11125" ht="12.75"/>
    <row r="11126" ht="12.75"/>
    <row r="11127" ht="12.75"/>
    <row r="11128" ht="12.75"/>
    <row r="11129" ht="12.75"/>
    <row r="11130" ht="12.75"/>
    <row r="11131" ht="12.75"/>
    <row r="11132" ht="12.75"/>
    <row r="11133" ht="12.75"/>
    <row r="11134" ht="12.75"/>
    <row r="11135" ht="12.75"/>
    <row r="11136" ht="12.75"/>
    <row r="11137" ht="12.75"/>
    <row r="11138" ht="12.75"/>
    <row r="11139" ht="12.75"/>
    <row r="11140" ht="12.75"/>
    <row r="11141" ht="12.75"/>
    <row r="11142" ht="12.75"/>
    <row r="11143" ht="12.75"/>
    <row r="11144" ht="12.75"/>
    <row r="11145" ht="12.75"/>
    <row r="11146" ht="12.75"/>
    <row r="11147" ht="12.75"/>
    <row r="11148" ht="12.75"/>
    <row r="11149" ht="12.75"/>
    <row r="11150" ht="12.75"/>
    <row r="11151" ht="12.75"/>
    <row r="11152" ht="12.75"/>
    <row r="11153" ht="12.75"/>
    <row r="11154" ht="12.75"/>
    <row r="11155" ht="12.75"/>
    <row r="11156" ht="12.75"/>
    <row r="11157" ht="12.75"/>
    <row r="11158" ht="12.75"/>
    <row r="11159" ht="12.75"/>
    <row r="11160" ht="12.75"/>
    <row r="11161" ht="12.75"/>
    <row r="11162" ht="12.75"/>
    <row r="11163" ht="12.75"/>
    <row r="11164" ht="12.75"/>
    <row r="11165" ht="12.75"/>
    <row r="11166" ht="12.75"/>
    <row r="11167" ht="12.75"/>
    <row r="11168" ht="12.75"/>
    <row r="11169" ht="12.75"/>
    <row r="11170" ht="12.75"/>
    <row r="11171" ht="12.75"/>
    <row r="11172" ht="12.75"/>
    <row r="11173" ht="12.75"/>
    <row r="11174" ht="12.75"/>
    <row r="11175" ht="12.75"/>
    <row r="11176" ht="12.75"/>
    <row r="11177" ht="12.75"/>
    <row r="11178" ht="12.75"/>
    <row r="11179" ht="12.75"/>
    <row r="11180" ht="12.75"/>
    <row r="11181" ht="12.75"/>
    <row r="11182" ht="12.75"/>
    <row r="11183" ht="12.75"/>
    <row r="11184" ht="12.75"/>
    <row r="11185" ht="12.75"/>
    <row r="11186" ht="12.75"/>
    <row r="11187" ht="12.75"/>
    <row r="11188" ht="12.75"/>
    <row r="11189" ht="12.75"/>
    <row r="11190" ht="12.75"/>
    <row r="11191" ht="12.75"/>
    <row r="11192" ht="12.75"/>
    <row r="11193" ht="12.75"/>
    <row r="11194" ht="12.75"/>
    <row r="11195" ht="12.75"/>
    <row r="11196" ht="12.75"/>
    <row r="11197" ht="12.75"/>
    <row r="11198" ht="12.75"/>
    <row r="11199" ht="12.75"/>
    <row r="11200" ht="12.75"/>
    <row r="11201" ht="12.75"/>
    <row r="11202" ht="12.75"/>
    <row r="11203" ht="12.75"/>
    <row r="11204" ht="12.75"/>
    <row r="11205" ht="12.75"/>
    <row r="11206" ht="12.75"/>
    <row r="11207" ht="12.75"/>
    <row r="11208" ht="12.75"/>
    <row r="11209" ht="12.75"/>
    <row r="11210" ht="12.75"/>
    <row r="11211" ht="12.75"/>
    <row r="11212" ht="12.75"/>
    <row r="11213" ht="12.75"/>
    <row r="11214" ht="12.75"/>
    <row r="11215" ht="12.75"/>
    <row r="11216" ht="12.75"/>
    <row r="11217" ht="12.75"/>
    <row r="11218" ht="12.75"/>
    <row r="11219" ht="12.75"/>
    <row r="11220" ht="12.75"/>
    <row r="11221" ht="12.75"/>
    <row r="11222" ht="12.75"/>
    <row r="11223" ht="12.75"/>
    <row r="11224" ht="12.75"/>
    <row r="11225" ht="12.75"/>
    <row r="11226" ht="12.75"/>
    <row r="11227" ht="12.75"/>
    <row r="11228" ht="12.75"/>
    <row r="11229" ht="12.75"/>
    <row r="11230" ht="12.75"/>
    <row r="11231" ht="12.75"/>
    <row r="11232" ht="12.75"/>
    <row r="11233" ht="12.75"/>
    <row r="11234" ht="12.75"/>
    <row r="11235" ht="12.75"/>
    <row r="11236" ht="12.75"/>
    <row r="11237" ht="12.75"/>
    <row r="11238" ht="12.75"/>
    <row r="11239" ht="12.75"/>
    <row r="11240" ht="12.75"/>
    <row r="11241" ht="12.75"/>
    <row r="11242" ht="12.75"/>
    <row r="11243" ht="12.75"/>
    <row r="11244" ht="12.75"/>
    <row r="11245" ht="12.75"/>
    <row r="11246" ht="12.75"/>
    <row r="11247" ht="12.75"/>
    <row r="11248" ht="12.75"/>
    <row r="11249" ht="12.75"/>
    <row r="11250" ht="12.75"/>
    <row r="11251" ht="12.75"/>
    <row r="11252" ht="12.75"/>
    <row r="11253" ht="12.75"/>
    <row r="11254" ht="12.75"/>
    <row r="11255" ht="12.75"/>
    <row r="11256" ht="12.75"/>
    <row r="11257" ht="12.75"/>
    <row r="11258" ht="12.75"/>
    <row r="11259" ht="12.75"/>
    <row r="11260" ht="12.75"/>
    <row r="11261" ht="12.75"/>
    <row r="11262" ht="12.75"/>
    <row r="11263" ht="12.75"/>
    <row r="11264" ht="12.75"/>
    <row r="11265" ht="12.75"/>
    <row r="11266" ht="12.75"/>
    <row r="11267" ht="12.75"/>
    <row r="11268" ht="12.75"/>
    <row r="11269" ht="12.75"/>
    <row r="11270" ht="12.75"/>
    <row r="11271" ht="12.75"/>
    <row r="11272" ht="12.75"/>
    <row r="11273" ht="12.75"/>
    <row r="11274" ht="12.75"/>
    <row r="11275" ht="12.75"/>
    <row r="11276" ht="12.75"/>
    <row r="11277" ht="12.75"/>
    <row r="11278" ht="12.75"/>
    <row r="11279" ht="12.75"/>
    <row r="11280" ht="12.75"/>
    <row r="11281" ht="12.75"/>
    <row r="11282" ht="12.75"/>
    <row r="11283" ht="12.75"/>
    <row r="11284" ht="12.75"/>
    <row r="11285" ht="12.75"/>
    <row r="11286" ht="12.75"/>
    <row r="11287" ht="12.75"/>
    <row r="11288" ht="12.75"/>
    <row r="11289" ht="12.75"/>
    <row r="11290" ht="12.75"/>
    <row r="11291" ht="12.75"/>
    <row r="11292" ht="12.75"/>
    <row r="11293" ht="12.75"/>
    <row r="11294" ht="12.75"/>
    <row r="11295" ht="12.75"/>
    <row r="11296" ht="12.75"/>
    <row r="11297" ht="12.75"/>
    <row r="11298" ht="12.75"/>
    <row r="11299" ht="12.75"/>
    <row r="11300" ht="12.75"/>
    <row r="11301" ht="12.75"/>
    <row r="11302" ht="12.75"/>
    <row r="11303" ht="12.75"/>
    <row r="11304" ht="12.75"/>
    <row r="11305" ht="12.75"/>
    <row r="11306" ht="12.75"/>
    <row r="11307" ht="12.75"/>
    <row r="11308" ht="12.75"/>
    <row r="11309" ht="12.75"/>
    <row r="11310" ht="12.75"/>
    <row r="11311" ht="12.75"/>
    <row r="11312" ht="12.75"/>
    <row r="11313" ht="12.75"/>
    <row r="11314" ht="12.75"/>
    <row r="11315" ht="12.75"/>
    <row r="11316" ht="12.75"/>
    <row r="11317" ht="12.75"/>
    <row r="11318" ht="12.75"/>
    <row r="11319" ht="12.75"/>
    <row r="11320" ht="12.75"/>
    <row r="11321" ht="12.75"/>
    <row r="11322" ht="12.75"/>
    <row r="11323" ht="12.75"/>
    <row r="11324" ht="12.75"/>
    <row r="11325" ht="12.75"/>
    <row r="11326" ht="12.75"/>
    <row r="11327" ht="12.75"/>
    <row r="11328" ht="12.75"/>
    <row r="11329" ht="12.75"/>
    <row r="11330" ht="12.75"/>
    <row r="11331" ht="12.75"/>
    <row r="11332" ht="12.75"/>
    <row r="11333" ht="12.75"/>
    <row r="11334" ht="12.75"/>
    <row r="11335" ht="12.75"/>
    <row r="11336" ht="12.75"/>
    <row r="11337" ht="12.75"/>
    <row r="11338" ht="12.75"/>
    <row r="11339" ht="12.75"/>
    <row r="11340" ht="12.75"/>
    <row r="11341" ht="12.75"/>
    <row r="11342" ht="12.75"/>
    <row r="11343" ht="12.75"/>
    <row r="11344" ht="12.75"/>
    <row r="11345" ht="12.75"/>
    <row r="11346" ht="12.75"/>
    <row r="11347" ht="12.75"/>
    <row r="11348" ht="12.75"/>
    <row r="11349" ht="12.75"/>
    <row r="11350" ht="12.75"/>
    <row r="11351" ht="12.75"/>
    <row r="11352" ht="12.75"/>
    <row r="11353" ht="12.75"/>
    <row r="11354" ht="12.75"/>
    <row r="11355" ht="12.75"/>
    <row r="11356" ht="12.75"/>
    <row r="11357" ht="12.75"/>
    <row r="11358" ht="12.75"/>
    <row r="11359" ht="12.75"/>
    <row r="11360" ht="12.75"/>
    <row r="11361" ht="12.75"/>
    <row r="11362" ht="12.75"/>
    <row r="11363" ht="12.75"/>
    <row r="11364" ht="12.75"/>
    <row r="11365" ht="12.75"/>
    <row r="11366" ht="12.75"/>
    <row r="11367" ht="12.75"/>
    <row r="11368" ht="12.75"/>
    <row r="11369" ht="12.75"/>
    <row r="11370" ht="12.75"/>
    <row r="11371" ht="12.75"/>
    <row r="11372" ht="12.75"/>
    <row r="11373" ht="12.75"/>
    <row r="11374" ht="12.75"/>
    <row r="11375" ht="12.75"/>
    <row r="11376" ht="12.75"/>
    <row r="11377" ht="12.75"/>
    <row r="11378" ht="12.75"/>
    <row r="11379" ht="12.75"/>
    <row r="11380" ht="12.75"/>
    <row r="11381" ht="12.75"/>
    <row r="11382" ht="12.75"/>
    <row r="11383" ht="12.75"/>
    <row r="11384" ht="12.75"/>
    <row r="11385" ht="12.75"/>
    <row r="11386" ht="12.75"/>
    <row r="11387" ht="12.75"/>
    <row r="11388" ht="12.75"/>
    <row r="11389" ht="12.75"/>
    <row r="11390" ht="12.75"/>
    <row r="11391" ht="12.75"/>
    <row r="11392" ht="12.75"/>
    <row r="11393" ht="12.75"/>
    <row r="11394" ht="12.75"/>
    <row r="11395" ht="12.75"/>
    <row r="11396" ht="12.75"/>
    <row r="11397" ht="12.75"/>
    <row r="11398" ht="12.75"/>
    <row r="11399" ht="12.75"/>
    <row r="11400" ht="12.75"/>
    <row r="11401" ht="12.75"/>
    <row r="11402" ht="12.75"/>
    <row r="11403" ht="12.75"/>
    <row r="11404" ht="12.75"/>
    <row r="11405" ht="12.75"/>
    <row r="11406" ht="12.75"/>
    <row r="11407" ht="12.75"/>
    <row r="11408" ht="12.75"/>
    <row r="11409" ht="12.75"/>
    <row r="11410" ht="12.75"/>
    <row r="11411" ht="12.75"/>
    <row r="11412" ht="12.75"/>
    <row r="11413" ht="12.75"/>
    <row r="11414" ht="12.75"/>
    <row r="11415" ht="12.75"/>
    <row r="11416" ht="12.75"/>
    <row r="11417" ht="12.75"/>
    <row r="11418" ht="12.75"/>
    <row r="11419" ht="12.75"/>
    <row r="11420" ht="12.75"/>
    <row r="11421" ht="12.75"/>
    <row r="11422" ht="12.75"/>
    <row r="11423" ht="12.75"/>
    <row r="11424" ht="12.75"/>
    <row r="11425" ht="12.75"/>
    <row r="11426" ht="12.75"/>
    <row r="11427" ht="12.75"/>
    <row r="11428" ht="12.75"/>
    <row r="11429" ht="12.75"/>
    <row r="11430" ht="12.75"/>
    <row r="11431" ht="12.75"/>
    <row r="11432" ht="12.75"/>
    <row r="11433" ht="12.75"/>
    <row r="11434" ht="12.75"/>
    <row r="11435" ht="12.75"/>
    <row r="11436" ht="12.75"/>
    <row r="11437" ht="12.75"/>
    <row r="11438" ht="12.75"/>
    <row r="11439" ht="12.75"/>
    <row r="11440" ht="12.75"/>
    <row r="11441" ht="12.75"/>
    <row r="11442" ht="12.75"/>
    <row r="11443" ht="12.75"/>
    <row r="11444" ht="12.75"/>
    <row r="11445" ht="12.75"/>
    <row r="11446" ht="12.75"/>
    <row r="11447" ht="12.75"/>
    <row r="11448" ht="12.75"/>
    <row r="11449" ht="12.75"/>
    <row r="11450" ht="12.75"/>
    <row r="11451" ht="12.75"/>
    <row r="11452" ht="12.75"/>
    <row r="11453" ht="12.75"/>
    <row r="11454" ht="12.75"/>
    <row r="11455" ht="12.75"/>
    <row r="11456" ht="12.75"/>
    <row r="11457" ht="12.75"/>
    <row r="11458" ht="12.75"/>
    <row r="11459" ht="12.75"/>
    <row r="11460" ht="12.75"/>
    <row r="11461" ht="12.75"/>
    <row r="11462" ht="12.75"/>
    <row r="11463" ht="12.75"/>
    <row r="11464" ht="12.75"/>
    <row r="11465" ht="12.75"/>
    <row r="11466" ht="12.75"/>
    <row r="11467" ht="12.75"/>
    <row r="11468" ht="12.75"/>
    <row r="11469" ht="12.75"/>
    <row r="11470" ht="12.75"/>
    <row r="11471" ht="12.75"/>
    <row r="11472" ht="12.75"/>
    <row r="11473" ht="12.75"/>
    <row r="11474" ht="12.75"/>
    <row r="11475" ht="12.75"/>
    <row r="11476" ht="12.75"/>
    <row r="11477" ht="12.75"/>
    <row r="11478" ht="12.75"/>
    <row r="11479" ht="12.75"/>
    <row r="11480" ht="12.75"/>
    <row r="11481" ht="12.75"/>
    <row r="11482" ht="12.75"/>
    <row r="11483" ht="12.75"/>
    <row r="11484" ht="12.75"/>
    <row r="11485" ht="12.75"/>
    <row r="11486" ht="12.75"/>
    <row r="11487" ht="12.75"/>
    <row r="11488" ht="12.75"/>
    <row r="11489" ht="12.75"/>
    <row r="11490" ht="12.75"/>
    <row r="11491" ht="12.75"/>
    <row r="11492" ht="12.75"/>
    <row r="11493" ht="12.75"/>
    <row r="11494" ht="12.75"/>
    <row r="11495" ht="12.75"/>
    <row r="11496" ht="12.75"/>
    <row r="11497" ht="12.75"/>
    <row r="11498" ht="12.75"/>
    <row r="11499" ht="12.75"/>
    <row r="11500" ht="12.75"/>
    <row r="11501" ht="12.75"/>
    <row r="11502" ht="12.75"/>
    <row r="11503" ht="12.75"/>
    <row r="11504" ht="12.75"/>
    <row r="11505" ht="12.75"/>
    <row r="11506" ht="12.75"/>
    <row r="11507" ht="12.75"/>
    <row r="11508" ht="12.75"/>
    <row r="11509" ht="12.75"/>
    <row r="11510" ht="12.75"/>
    <row r="11511" ht="12.75"/>
    <row r="11512" ht="12.75"/>
    <row r="11513" ht="12.75"/>
    <row r="11514" ht="12.75"/>
    <row r="11515" ht="12.75"/>
    <row r="11516" ht="12.75"/>
    <row r="11517" ht="12.75"/>
    <row r="11518" ht="12.75"/>
    <row r="11519" ht="12.75"/>
    <row r="11520" ht="12.75"/>
    <row r="11521" ht="12.75"/>
    <row r="11522" ht="12.75"/>
    <row r="11523" ht="12.75"/>
    <row r="11524" ht="12.75"/>
    <row r="11525" ht="12.75"/>
    <row r="11526" ht="12.75"/>
    <row r="11527" ht="12.75"/>
    <row r="11528" ht="12.75"/>
    <row r="11529" ht="12.75"/>
    <row r="11530" ht="12.75"/>
    <row r="11531" ht="12.75"/>
    <row r="11532" ht="12.75"/>
    <row r="11533" ht="12.75"/>
    <row r="11534" ht="12.75"/>
    <row r="11535" ht="12.75"/>
    <row r="11536" ht="12.75"/>
    <row r="11537" ht="12.75"/>
    <row r="11538" ht="12.75"/>
    <row r="11539" ht="12.75"/>
    <row r="11540" ht="12.75"/>
    <row r="11541" ht="12.75"/>
    <row r="11542" ht="12.75"/>
    <row r="11543" ht="12.75"/>
    <row r="11544" ht="12.75"/>
    <row r="11545" ht="12.75"/>
    <row r="11546" ht="12.75"/>
    <row r="11547" ht="12.75"/>
    <row r="11548" ht="12.75"/>
    <row r="11549" ht="12.75"/>
    <row r="11550" ht="12.75"/>
    <row r="11551" ht="12.75"/>
    <row r="11552" ht="12.75"/>
    <row r="11553" ht="12.75"/>
    <row r="11554" ht="12.75"/>
    <row r="11555" ht="12.75"/>
    <row r="11556" ht="12.75"/>
    <row r="11557" ht="12.75"/>
    <row r="11558" ht="12.75"/>
    <row r="11559" ht="12.75"/>
    <row r="11560" ht="12.75"/>
    <row r="11561" ht="12.75"/>
    <row r="11562" ht="12.75"/>
    <row r="11563" ht="12.75"/>
    <row r="11564" ht="12.75"/>
    <row r="11565" ht="12.75"/>
    <row r="11566" ht="12.75"/>
    <row r="11567" ht="12.75"/>
    <row r="11568" ht="12.75"/>
    <row r="11569" ht="12.75"/>
    <row r="11570" ht="12.75"/>
    <row r="11571" ht="12.75"/>
    <row r="11572" ht="12.75"/>
    <row r="11573" ht="12.75"/>
    <row r="11574" ht="12.75"/>
    <row r="11575" ht="12.75"/>
    <row r="11576" ht="12.75"/>
    <row r="11577" ht="12.75"/>
    <row r="11578" ht="12.75"/>
    <row r="11579" ht="12.75"/>
    <row r="11580" ht="12.75"/>
    <row r="11581" ht="12.75"/>
    <row r="11582" ht="12.75"/>
    <row r="11583" ht="12.75"/>
    <row r="11584" ht="12.75"/>
    <row r="11585" ht="12.75"/>
    <row r="11586" ht="12.75"/>
    <row r="11587" ht="12.75"/>
    <row r="11588" ht="12.75"/>
    <row r="11589" ht="12.75"/>
    <row r="11590" ht="12.75"/>
    <row r="11591" ht="12.75"/>
    <row r="11592" ht="12.75"/>
    <row r="11593" ht="12.75"/>
    <row r="11594" ht="12.75"/>
    <row r="11595" ht="12.75"/>
    <row r="11596" ht="12.75"/>
    <row r="11597" ht="12.75"/>
    <row r="11598" ht="12.75"/>
    <row r="11599" ht="12.75"/>
    <row r="11600" ht="12.75"/>
    <row r="11601" ht="12.75"/>
    <row r="11602" ht="12.75"/>
    <row r="11603" ht="12.75"/>
    <row r="11604" ht="12.75"/>
    <row r="11605" ht="12.75"/>
    <row r="11606" ht="12.75"/>
    <row r="11607" ht="12.75"/>
    <row r="11608" ht="12.75"/>
    <row r="11609" ht="12.75"/>
    <row r="11610" ht="12.75"/>
    <row r="11611" ht="12.75"/>
    <row r="11612" ht="12.75"/>
    <row r="11613" ht="12.75"/>
    <row r="11614" ht="12.75"/>
    <row r="11615" ht="12.75"/>
    <row r="11616" ht="12.75"/>
    <row r="11617" ht="12.75"/>
    <row r="11618" ht="12.75"/>
    <row r="11619" ht="12.75"/>
    <row r="11620" ht="12.75"/>
    <row r="11621" ht="12.75"/>
    <row r="11622" ht="12.75"/>
    <row r="11623" ht="12.75"/>
    <row r="11624" ht="12.75"/>
    <row r="11625" ht="12.75"/>
    <row r="11626" ht="12.75"/>
    <row r="11627" ht="12.75"/>
    <row r="11628" ht="12.75"/>
    <row r="11629" ht="12.75"/>
    <row r="11630" ht="12.75"/>
    <row r="11631" ht="12.75"/>
    <row r="11632" ht="12.75"/>
    <row r="11633" ht="12.75"/>
    <row r="11634" ht="12.75"/>
    <row r="11635" ht="12.75"/>
    <row r="11636" ht="12.75"/>
    <row r="11637" ht="12.75"/>
    <row r="11638" ht="12.75"/>
    <row r="11639" ht="12.75"/>
    <row r="11640" ht="12.75"/>
    <row r="11641" ht="12.75"/>
    <row r="11642" ht="12.75"/>
    <row r="11643" ht="12.75"/>
    <row r="11644" ht="12.75"/>
    <row r="11645" ht="12.75"/>
    <row r="11646" ht="12.75"/>
    <row r="11647" ht="12.75"/>
    <row r="11648" ht="12.75"/>
    <row r="11649" ht="12.75"/>
    <row r="11650" ht="12.75"/>
    <row r="11651" ht="12.75"/>
    <row r="11652" ht="12.75"/>
    <row r="11653" ht="12.75"/>
    <row r="11654" ht="12.75"/>
    <row r="11655" ht="12.75"/>
    <row r="11656" ht="12.75"/>
    <row r="11657" ht="12.75"/>
    <row r="11658" ht="12.75"/>
    <row r="11659" ht="12.75"/>
    <row r="11660" ht="12.75"/>
    <row r="11661" ht="12.75"/>
    <row r="11662" ht="12.75"/>
    <row r="11663" ht="12.75"/>
    <row r="11664" ht="12.75"/>
    <row r="11665" ht="12.75"/>
    <row r="11666" ht="12.75"/>
    <row r="11667" ht="12.75"/>
    <row r="11668" ht="12.75"/>
    <row r="11669" ht="12.75"/>
    <row r="11670" ht="12.75"/>
    <row r="11671" ht="12.75"/>
    <row r="11672" ht="12.75"/>
    <row r="11673" ht="12.75"/>
    <row r="11674" ht="12.75"/>
    <row r="11675" ht="12.75"/>
    <row r="11676" ht="12.75"/>
    <row r="11677" ht="12.75"/>
    <row r="11678" ht="12.75"/>
    <row r="11679" ht="12.75"/>
    <row r="11680" ht="12.75"/>
    <row r="11681" ht="12.75"/>
    <row r="11682" ht="12.75"/>
    <row r="11683" ht="12.75"/>
    <row r="11684" ht="12.75"/>
    <row r="11685" ht="12.75"/>
    <row r="11686" ht="12.75"/>
    <row r="11687" ht="12.75"/>
    <row r="11688" ht="12.75"/>
    <row r="11689" ht="12.75"/>
    <row r="11690" ht="12.75"/>
    <row r="11691" ht="12.75"/>
    <row r="11692" ht="12.75"/>
    <row r="11693" ht="12.75"/>
    <row r="11694" ht="12.75"/>
    <row r="11695" ht="12.75"/>
    <row r="11696" ht="12.75"/>
    <row r="11697" ht="12.75"/>
    <row r="11698" ht="12.75"/>
    <row r="11699" ht="12.75"/>
    <row r="11700" ht="12.75"/>
    <row r="11701" ht="12.75"/>
    <row r="11702" ht="12.75"/>
    <row r="11703" ht="12.75"/>
    <row r="11704" ht="12.75"/>
    <row r="11705" ht="12.75"/>
    <row r="11706" ht="12.75"/>
    <row r="11707" ht="12.75"/>
    <row r="11708" ht="12.75"/>
    <row r="11709" ht="12.75"/>
    <row r="11710" ht="12.75"/>
    <row r="11711" ht="12.75"/>
    <row r="11712" ht="12.75"/>
    <row r="11713" ht="12.75"/>
    <row r="11714" ht="12.75"/>
    <row r="11715" ht="12.75"/>
    <row r="11716" ht="12.75"/>
    <row r="11717" ht="12.75"/>
    <row r="11718" ht="12.75"/>
    <row r="11719" ht="12.75"/>
    <row r="11720" ht="12.75"/>
    <row r="11721" ht="12.75"/>
    <row r="11722" ht="12.75"/>
    <row r="11723" ht="12.75"/>
    <row r="11724" ht="12.75"/>
    <row r="11725" ht="12.75"/>
    <row r="11726" ht="12.75"/>
    <row r="11727" ht="12.75"/>
    <row r="11728" ht="12.75"/>
    <row r="11729" ht="12.75"/>
    <row r="11730" ht="12.75"/>
    <row r="11731" ht="12.75"/>
    <row r="11732" ht="12.75"/>
    <row r="11733" ht="12.75"/>
    <row r="11734" ht="12.75"/>
    <row r="11735" ht="12.75"/>
    <row r="11736" ht="12.75"/>
    <row r="11737" ht="12.75"/>
    <row r="11738" ht="12.75"/>
    <row r="11739" ht="12.75"/>
    <row r="11740" ht="12.75"/>
    <row r="11741" ht="12.75"/>
    <row r="11742" ht="12.75"/>
    <row r="11743" ht="12.75"/>
    <row r="11744" ht="12.75"/>
    <row r="11745" ht="12.75"/>
    <row r="11746" ht="12.75"/>
    <row r="11747" ht="12.75"/>
    <row r="11748" ht="12.75"/>
    <row r="11749" ht="12.75"/>
    <row r="11750" ht="12.75"/>
    <row r="11751" ht="12.75"/>
    <row r="11752" ht="12.75"/>
    <row r="11753" ht="12.75"/>
    <row r="11754" ht="12.75"/>
    <row r="11755" ht="12.75"/>
    <row r="11756" ht="12.75"/>
    <row r="11757" ht="12.75"/>
    <row r="11758" ht="12.75"/>
    <row r="11759" ht="12.75"/>
    <row r="11760" ht="12.75"/>
    <row r="11761" ht="12.75"/>
    <row r="11762" ht="12.75"/>
    <row r="11763" ht="12.75"/>
    <row r="11764" ht="12.75"/>
    <row r="11765" ht="12.75"/>
    <row r="11766" ht="12.75"/>
    <row r="11767" ht="12.75"/>
    <row r="11768" ht="12.75"/>
    <row r="11769" ht="12.75"/>
    <row r="11770" ht="12.75"/>
    <row r="11771" ht="12.75"/>
    <row r="11772" ht="12.75"/>
    <row r="11773" ht="12.75"/>
    <row r="11774" ht="12.75"/>
    <row r="11775" ht="12.75"/>
    <row r="11776" ht="12.75"/>
    <row r="11777" ht="12.75"/>
    <row r="11778" ht="12.75"/>
    <row r="11779" ht="12.75"/>
    <row r="11780" ht="12.75"/>
    <row r="11781" ht="12.75"/>
    <row r="11782" ht="12.75"/>
    <row r="11783" ht="12.75"/>
    <row r="11784" ht="12.75"/>
    <row r="11785" ht="12.75"/>
    <row r="11786" ht="12.75"/>
    <row r="11787" ht="12.75"/>
    <row r="11788" ht="12.75"/>
    <row r="11789" ht="12.75"/>
    <row r="11790" ht="12.75"/>
    <row r="11791" ht="12.75"/>
    <row r="11792" ht="12.75"/>
    <row r="11793" ht="12.75"/>
    <row r="11794" ht="12.75"/>
    <row r="11795" ht="12.75"/>
    <row r="11796" ht="12.75"/>
    <row r="11797" ht="12.75"/>
    <row r="11798" ht="12.75"/>
    <row r="11799" ht="12.75"/>
    <row r="11800" ht="12.75"/>
    <row r="11801" ht="12.75"/>
    <row r="11802" ht="12.75"/>
    <row r="11803" ht="12.75"/>
    <row r="11804" ht="12.75"/>
    <row r="11805" ht="12.75"/>
    <row r="11806" ht="12.75"/>
    <row r="11807" ht="12.75"/>
    <row r="11808" ht="12.75"/>
    <row r="11809" ht="12.75"/>
    <row r="11810" ht="12.75"/>
    <row r="11811" ht="12.75"/>
    <row r="11812" ht="12.75"/>
    <row r="11813" ht="12.75"/>
    <row r="11814" ht="12.75"/>
    <row r="11815" ht="12.75"/>
    <row r="11816" ht="12.75"/>
    <row r="11817" ht="12.75"/>
    <row r="11818" ht="12.75"/>
    <row r="11819" ht="12.75"/>
    <row r="11820" ht="12.75"/>
    <row r="11821" ht="12.75"/>
    <row r="11822" ht="12.75"/>
    <row r="11823" ht="12.75"/>
    <row r="11824" ht="12.75"/>
    <row r="11825" ht="12.75"/>
    <row r="11826" ht="12.75"/>
    <row r="11827" ht="12.75"/>
    <row r="11828" ht="12.75"/>
    <row r="11829" ht="12.75"/>
    <row r="11830" ht="12.75"/>
    <row r="11831" ht="12.75"/>
    <row r="11832" ht="12.75"/>
    <row r="11833" ht="12.75"/>
    <row r="11834" ht="12.75"/>
    <row r="11835" ht="12.75"/>
    <row r="11836" ht="12.75"/>
    <row r="11837" ht="12.75"/>
    <row r="11838" ht="12.75"/>
    <row r="11839" ht="12.75"/>
    <row r="11840" ht="12.75"/>
    <row r="11841" ht="12.75"/>
    <row r="11842" ht="12.75"/>
    <row r="11843" ht="12.75"/>
    <row r="11844" ht="12.75"/>
    <row r="11845" ht="12.75"/>
    <row r="11846" ht="12.75"/>
    <row r="11847" ht="12.75"/>
    <row r="11848" ht="12.75"/>
    <row r="11849" ht="12.75"/>
    <row r="11850" ht="12.75"/>
    <row r="11851" ht="12.75"/>
    <row r="11852" ht="12.75"/>
    <row r="11853" ht="12.75"/>
    <row r="11854" ht="12.75"/>
    <row r="11855" ht="12.75"/>
    <row r="11856" ht="12.75"/>
    <row r="11857" ht="12.75"/>
    <row r="11858" ht="12.75"/>
    <row r="11859" ht="12.75"/>
    <row r="11860" ht="12.75"/>
    <row r="11861" ht="12.75"/>
    <row r="11862" ht="12.75"/>
    <row r="11863" ht="12.75"/>
    <row r="11864" ht="12.75"/>
    <row r="11865" ht="12.75"/>
    <row r="11866" ht="12.75"/>
    <row r="11867" ht="12.75"/>
    <row r="11868" ht="12.75"/>
    <row r="11869" ht="12.75"/>
    <row r="11870" ht="12.75"/>
    <row r="11871" ht="12.75"/>
    <row r="11872" ht="12.75"/>
    <row r="11873" ht="12.75"/>
    <row r="11874" ht="12.75"/>
    <row r="11875" ht="12.75"/>
    <row r="11876" ht="12.75"/>
    <row r="11877" ht="12.75"/>
    <row r="11878" ht="12.75"/>
    <row r="11879" ht="12.75"/>
    <row r="11880" ht="12.75"/>
    <row r="11881" ht="12.75"/>
    <row r="11882" ht="12.75"/>
    <row r="11883" ht="12.75"/>
    <row r="11884" ht="12.75"/>
    <row r="11885" ht="12.75"/>
    <row r="11886" ht="12.75"/>
    <row r="11887" ht="12.75"/>
    <row r="11888" ht="12.75"/>
    <row r="11889" ht="12.75"/>
    <row r="11890" ht="12.75"/>
    <row r="11891" ht="12.75"/>
    <row r="11892" ht="12.75"/>
    <row r="11893" ht="12.75"/>
    <row r="11894" ht="12.75"/>
    <row r="11895" ht="12.75"/>
    <row r="11896" ht="12.75"/>
    <row r="11897" ht="12.75"/>
    <row r="11898" ht="12.75"/>
    <row r="11899" ht="12.75"/>
    <row r="11900" ht="12.75"/>
    <row r="11901" ht="12.75"/>
    <row r="11902" ht="12.75"/>
    <row r="11903" ht="12.75"/>
    <row r="11904" ht="12.75"/>
    <row r="11905" ht="12.75"/>
    <row r="11906" ht="12.75"/>
    <row r="11907" ht="12.75"/>
    <row r="11908" ht="12.75"/>
    <row r="11909" ht="12.75"/>
    <row r="11910" ht="12.75"/>
    <row r="11911" ht="12.75"/>
    <row r="11912" ht="12.75"/>
    <row r="11913" ht="12.75"/>
    <row r="11914" ht="12.75"/>
    <row r="11915" ht="12.75"/>
    <row r="11916" ht="12.75"/>
    <row r="11917" ht="12.75"/>
    <row r="11918" ht="12.75"/>
    <row r="11919" ht="12.75"/>
    <row r="11920" ht="12.75"/>
    <row r="11921" ht="12.75"/>
    <row r="11922" ht="12.75"/>
    <row r="11923" ht="12.75"/>
    <row r="11924" ht="12.75"/>
    <row r="11925" ht="12.75"/>
    <row r="11926" ht="12.75"/>
    <row r="11927" ht="12.75"/>
    <row r="11928" ht="12.75"/>
    <row r="11929" ht="12.75"/>
    <row r="11930" ht="12.75"/>
    <row r="11931" ht="12.75"/>
    <row r="11932" ht="12.75"/>
    <row r="11933" ht="12.75"/>
    <row r="11934" ht="12.75"/>
    <row r="11935" ht="12.75"/>
    <row r="11936" ht="12.75"/>
    <row r="11937" ht="12.75"/>
    <row r="11938" ht="12.75"/>
    <row r="11939" ht="12.75"/>
    <row r="11940" ht="12.75"/>
    <row r="11941" ht="12.75"/>
    <row r="11942" ht="12.75"/>
    <row r="11943" ht="12.75"/>
    <row r="11944" ht="12.75"/>
    <row r="11945" ht="12.75"/>
    <row r="11946" ht="12.75"/>
    <row r="11947" ht="12.75"/>
    <row r="11948" ht="12.75"/>
    <row r="11949" ht="12.75"/>
    <row r="11950" ht="12.75"/>
    <row r="11951" ht="12.75"/>
    <row r="11952" ht="12.75"/>
    <row r="11953" ht="12.75"/>
    <row r="11954" ht="12.75"/>
    <row r="11955" ht="12.75"/>
    <row r="11956" ht="12.75"/>
    <row r="11957" ht="12.75"/>
    <row r="11958" ht="12.75"/>
    <row r="11959" ht="12.75"/>
    <row r="11960" ht="12.75"/>
    <row r="11961" ht="12.75"/>
    <row r="11962" ht="12.75"/>
    <row r="11963" ht="12.75"/>
    <row r="11964" ht="12.75"/>
    <row r="11965" ht="12.75"/>
    <row r="11966" ht="12.75"/>
    <row r="11967" ht="12.75"/>
    <row r="11968" ht="12.75"/>
    <row r="11969" ht="12.75"/>
    <row r="11970" ht="12.75"/>
    <row r="11971" ht="12.75"/>
    <row r="11972" ht="12.75"/>
    <row r="11973" ht="12.75"/>
    <row r="11974" ht="12.75"/>
    <row r="11975" ht="12.75"/>
    <row r="11976" ht="12.75"/>
    <row r="11977" ht="12.75"/>
    <row r="11978" ht="12.75"/>
    <row r="11979" ht="12.75"/>
    <row r="11980" ht="12.75"/>
    <row r="11981" ht="12.75"/>
    <row r="11982" ht="12.75"/>
    <row r="11983" ht="12.75"/>
    <row r="11984" ht="12.75"/>
    <row r="11985" ht="12.75"/>
    <row r="11986" ht="12.75"/>
    <row r="11987" ht="12.75"/>
    <row r="11988" ht="12.75"/>
    <row r="11989" ht="12.75"/>
    <row r="11990" ht="12.75"/>
    <row r="11991" ht="12.75"/>
    <row r="11992" ht="12.75"/>
    <row r="11993" ht="12.75"/>
    <row r="11994" ht="12.75"/>
    <row r="11995" ht="12.75"/>
    <row r="11996" ht="12.75"/>
    <row r="11997" ht="12.75"/>
    <row r="11998" ht="12.75"/>
    <row r="11999" ht="12.75"/>
    <row r="12000" ht="12.75"/>
    <row r="12001" ht="12.75"/>
    <row r="12002" ht="12.75"/>
    <row r="12003" ht="12.75"/>
    <row r="12004" ht="12.75"/>
    <row r="12005" ht="12.75"/>
    <row r="12006" ht="12.75"/>
    <row r="12007" ht="12.75"/>
    <row r="12008" ht="12.75"/>
    <row r="12009" ht="12.75"/>
    <row r="12010" ht="12.75"/>
    <row r="12011" ht="12.75"/>
    <row r="12012" ht="12.75"/>
    <row r="12013" ht="12.75"/>
    <row r="12014" ht="12.75"/>
    <row r="12015" ht="12.75"/>
    <row r="12016" ht="12.75"/>
    <row r="12017" ht="12.75"/>
    <row r="12018" ht="12.75"/>
    <row r="12019" ht="12.75"/>
    <row r="12020" ht="12.75"/>
    <row r="12021" ht="12.75"/>
    <row r="12022" ht="12.75"/>
    <row r="12023" ht="12.75"/>
    <row r="12024" ht="12.75"/>
    <row r="12025" ht="12.75"/>
    <row r="12026" ht="12.75"/>
    <row r="12027" ht="12.75"/>
    <row r="12028" ht="12.75"/>
    <row r="12029" ht="12.75"/>
    <row r="12030" ht="12.75"/>
    <row r="12031" ht="12.75"/>
    <row r="12032" ht="12.75"/>
    <row r="12033" ht="12.75"/>
    <row r="12034" ht="12.75"/>
    <row r="12035" ht="12.75"/>
    <row r="12036" ht="12.75"/>
    <row r="12037" ht="12.75"/>
    <row r="12038" ht="12.75"/>
    <row r="12039" ht="12.75"/>
    <row r="12040" ht="12.75"/>
    <row r="12041" ht="12.75"/>
    <row r="12042" ht="12.75"/>
    <row r="12043" ht="12.75"/>
    <row r="12044" ht="12.75"/>
    <row r="12045" ht="12.75"/>
    <row r="12046" ht="12.75"/>
    <row r="12047" ht="12.75"/>
    <row r="12048" ht="12.75"/>
    <row r="12049" ht="12.75"/>
    <row r="12050" ht="12.75"/>
    <row r="12051" ht="12.75"/>
    <row r="12052" ht="12.75"/>
    <row r="12053" ht="12.75"/>
    <row r="12054" ht="12.75"/>
    <row r="12055" ht="12.75"/>
    <row r="12056" ht="12.75"/>
    <row r="12057" ht="12.75"/>
    <row r="12058" ht="12.75"/>
    <row r="12059" ht="12.75"/>
    <row r="12060" ht="12.75"/>
    <row r="12061" ht="12.75"/>
    <row r="12062" ht="12.75"/>
    <row r="12063" ht="12.75"/>
    <row r="12064" ht="12.75"/>
    <row r="12065" ht="12.75"/>
    <row r="12066" ht="12.75"/>
    <row r="12067" ht="12.75"/>
    <row r="12068" ht="12.75"/>
    <row r="12069" ht="12.75"/>
    <row r="12070" ht="12.75"/>
    <row r="12071" ht="12.75"/>
    <row r="12072" ht="12.75"/>
    <row r="12073" ht="12.75"/>
    <row r="12074" ht="12.75"/>
    <row r="12075" ht="12.75"/>
    <row r="12076" ht="12.75"/>
    <row r="12077" ht="12.75"/>
    <row r="12078" ht="12.75"/>
    <row r="12079" ht="12.75"/>
    <row r="12080" ht="12.75"/>
    <row r="12081" ht="12.75"/>
    <row r="12082" ht="12.75"/>
    <row r="12083" ht="12.75"/>
    <row r="12084" ht="12.75"/>
    <row r="12085" ht="12.75"/>
    <row r="12086" ht="12.75"/>
    <row r="12087" ht="12.75"/>
    <row r="12088" ht="12.75"/>
    <row r="12089" ht="12.75"/>
    <row r="12090" ht="12.75"/>
    <row r="12091" ht="12.75"/>
    <row r="12092" ht="12.75"/>
    <row r="12093" ht="12.75"/>
    <row r="12094" ht="12.75"/>
    <row r="12095" ht="12.75"/>
    <row r="12096" ht="12.75"/>
    <row r="12097" ht="12.75"/>
    <row r="12098" ht="12.75"/>
    <row r="12099" ht="12.75"/>
    <row r="12100" ht="12.75"/>
    <row r="12101" ht="12.75"/>
    <row r="12102" ht="12.75"/>
    <row r="12103" ht="12.75"/>
    <row r="12104" ht="12.75"/>
    <row r="12105" ht="12.75"/>
    <row r="12106" ht="12.75"/>
    <row r="12107" ht="12.75"/>
    <row r="12108" ht="12.75"/>
    <row r="12109" ht="12.75"/>
    <row r="12110" ht="12.75"/>
    <row r="12111" ht="12.75"/>
    <row r="12112" ht="12.75"/>
    <row r="12113" ht="12.75"/>
    <row r="12114" ht="12.75"/>
    <row r="12115" ht="12.75"/>
    <row r="12116" ht="12.75"/>
    <row r="12117" ht="12.75"/>
    <row r="12118" ht="12.75"/>
    <row r="12119" ht="12.75"/>
    <row r="12120" ht="12.75"/>
    <row r="12121" ht="12.75"/>
    <row r="12122" ht="12.75"/>
    <row r="12123" ht="12.75"/>
    <row r="12124" ht="12.75"/>
    <row r="12125" ht="12.75"/>
    <row r="12126" ht="12.75"/>
    <row r="12127" ht="12.75"/>
    <row r="12128" ht="12.75"/>
    <row r="12129" ht="12.75"/>
    <row r="12130" ht="12.75"/>
    <row r="12131" ht="12.75"/>
    <row r="12132" ht="12.75"/>
    <row r="12133" ht="12.75"/>
    <row r="12134" ht="12.75"/>
    <row r="12135" ht="12.75"/>
    <row r="12136" ht="12.75"/>
    <row r="12137" ht="12.75"/>
    <row r="12138" ht="12.75"/>
    <row r="12139" ht="12.75"/>
    <row r="12140" ht="12.75"/>
    <row r="12141" ht="12.75"/>
    <row r="12142" ht="12.75"/>
    <row r="12143" ht="12.75"/>
    <row r="12144" ht="12.75"/>
    <row r="12145" ht="12.75"/>
    <row r="12146" ht="12.75"/>
    <row r="12147" ht="12.75"/>
    <row r="12148" ht="12.75"/>
    <row r="12149" ht="12.75"/>
    <row r="12150" ht="12.75"/>
    <row r="12151" ht="12.75"/>
    <row r="12152" ht="12.75"/>
    <row r="12153" ht="12.75"/>
    <row r="12154" ht="12.75"/>
    <row r="12155" ht="12.75"/>
    <row r="12156" ht="12.75"/>
    <row r="12157" ht="12.75"/>
    <row r="12158" ht="12.75"/>
    <row r="12159" ht="12.75"/>
    <row r="12160" ht="12.75"/>
    <row r="12161" ht="12.75"/>
    <row r="12162" ht="12.75"/>
    <row r="12163" ht="12.75"/>
    <row r="12164" ht="12.75"/>
    <row r="12165" ht="12.75"/>
    <row r="12166" ht="12.75"/>
    <row r="12167" ht="12.75"/>
    <row r="12168" ht="12.75"/>
    <row r="12169" ht="12.75"/>
    <row r="12170" ht="12.75"/>
    <row r="12171" ht="12.75"/>
    <row r="12172" ht="12.75"/>
    <row r="12173" ht="12.75"/>
    <row r="12174" ht="12.75"/>
    <row r="12175" ht="12.75"/>
    <row r="12176" ht="12.75"/>
    <row r="12177" ht="12.75"/>
    <row r="12178" ht="12.75"/>
    <row r="12179" ht="12.75"/>
    <row r="12180" ht="12.75"/>
    <row r="12181" ht="12.75"/>
    <row r="12182" ht="12.75"/>
    <row r="12183" ht="12.75"/>
    <row r="12184" ht="12.75"/>
    <row r="12185" ht="12.75"/>
    <row r="12186" ht="12.75"/>
    <row r="12187" ht="12.75"/>
    <row r="12188" ht="12.75"/>
    <row r="12189" ht="12.75"/>
    <row r="12190" ht="12.75"/>
    <row r="12191" ht="12.75"/>
    <row r="12192" ht="12.75"/>
    <row r="12193" ht="12.75"/>
    <row r="12194" ht="12.75"/>
    <row r="12195" ht="12.75"/>
    <row r="12196" ht="12.75"/>
    <row r="12197" ht="12.75"/>
    <row r="12198" ht="12.75"/>
    <row r="12199" ht="12.75"/>
    <row r="12200" ht="12.75"/>
    <row r="12201" ht="12.75"/>
    <row r="12202" ht="12.75"/>
    <row r="12203" ht="12.75"/>
    <row r="12204" ht="12.75"/>
    <row r="12205" ht="12.75"/>
    <row r="12206" ht="12.75"/>
    <row r="12207" ht="12.75"/>
    <row r="12208" ht="12.75"/>
    <row r="12209" ht="12.75"/>
    <row r="12210" ht="12.75"/>
    <row r="12211" ht="12.75"/>
    <row r="12212" ht="12.75"/>
    <row r="12213" ht="12.75"/>
    <row r="12214" ht="12.75"/>
    <row r="12215" ht="12.75"/>
    <row r="12216" ht="12.75"/>
    <row r="12217" ht="12.75"/>
    <row r="12218" ht="12.75"/>
    <row r="12219" ht="12.75"/>
    <row r="12220" ht="12.75"/>
    <row r="12221" ht="12.75"/>
    <row r="12222" ht="12.75"/>
    <row r="12223" ht="12.75"/>
    <row r="12224" ht="12.75"/>
    <row r="12225" ht="12.75"/>
    <row r="12226" ht="12.75"/>
    <row r="12227" ht="12.75"/>
    <row r="12228" ht="12.75"/>
    <row r="12229" ht="12.75"/>
    <row r="12230" ht="12.75"/>
    <row r="12231" ht="12.75"/>
    <row r="12232" ht="12.75"/>
    <row r="12233" ht="12.75"/>
    <row r="12234" ht="12.75"/>
    <row r="12235" ht="12.75"/>
    <row r="12236" ht="12.75"/>
    <row r="12237" ht="12.75"/>
    <row r="12238" ht="12.75"/>
    <row r="12239" ht="12.75"/>
    <row r="12240" ht="12.75"/>
    <row r="12241" ht="12.75"/>
    <row r="12242" ht="12.75"/>
    <row r="12243" ht="12.75"/>
    <row r="12244" ht="12.75"/>
    <row r="12245" ht="12.75"/>
    <row r="12246" ht="12.75"/>
    <row r="12247" ht="12.75"/>
    <row r="12248" ht="12.75"/>
    <row r="12249" ht="12.75"/>
    <row r="12250" ht="12.75"/>
    <row r="12251" ht="12.75"/>
    <row r="12252" ht="12.75"/>
    <row r="12253" ht="12.75"/>
    <row r="12254" ht="12.75"/>
    <row r="12255" ht="12.75"/>
    <row r="12256" ht="12.75"/>
    <row r="12257" ht="12.75"/>
    <row r="12258" ht="12.75"/>
    <row r="12259" ht="12.75"/>
    <row r="12260" ht="12.75"/>
    <row r="12261" ht="12.75"/>
    <row r="12262" ht="12.75"/>
    <row r="12263" ht="12.75"/>
    <row r="12264" ht="12.75"/>
    <row r="12265" ht="12.75"/>
    <row r="12266" ht="12.75"/>
    <row r="12267" ht="12.75"/>
    <row r="12268" ht="12.75"/>
    <row r="12269" ht="12.75"/>
    <row r="12270" ht="12.75"/>
    <row r="12271" ht="12.75"/>
    <row r="12272" ht="12.75"/>
    <row r="12273" ht="12.75"/>
    <row r="12274" ht="12.75"/>
    <row r="12275" ht="12.75"/>
    <row r="12276" ht="12.75"/>
    <row r="12277" ht="12.75"/>
    <row r="12278" ht="12.75"/>
    <row r="12279" ht="12.75"/>
    <row r="12280" ht="12.75"/>
    <row r="12281" ht="12.75"/>
    <row r="12282" ht="12.75"/>
    <row r="12283" ht="12.75"/>
    <row r="12284" ht="12.75"/>
    <row r="12285" ht="12.75"/>
    <row r="12286" ht="12.75"/>
    <row r="12287" ht="12.75"/>
    <row r="12288" ht="12.75"/>
    <row r="12289" ht="12.75"/>
    <row r="12290" ht="12.75"/>
    <row r="12291" ht="12.75"/>
    <row r="12292" ht="12.75"/>
    <row r="12293" ht="12.75"/>
    <row r="12294" ht="12.75"/>
    <row r="12295" ht="12.75"/>
    <row r="12296" ht="12.75"/>
    <row r="12297" ht="12.75"/>
    <row r="12298" ht="12.75"/>
    <row r="12299" ht="12.75"/>
    <row r="12300" ht="12.75"/>
    <row r="12301" ht="12.75"/>
    <row r="12302" ht="12.75"/>
    <row r="12303" ht="12.75"/>
    <row r="12304" ht="12.75"/>
    <row r="12305" ht="12.75"/>
    <row r="12306" ht="12.75"/>
    <row r="12307" ht="12.75"/>
    <row r="12308" ht="12.75"/>
    <row r="12309" ht="12.75"/>
    <row r="12310" ht="12.75"/>
    <row r="12311" ht="12.75"/>
    <row r="12312" ht="12.75"/>
    <row r="12313" ht="12.75"/>
    <row r="12314" ht="12.75"/>
    <row r="12315" ht="12.75"/>
    <row r="12316" ht="12.75"/>
    <row r="12317" ht="12.75"/>
    <row r="12318" ht="12.75"/>
    <row r="12319" ht="12.75"/>
    <row r="12320" ht="12.75"/>
    <row r="12321" ht="12.75"/>
    <row r="12322" ht="12.75"/>
    <row r="12323" ht="12.75"/>
    <row r="12324" ht="12.75"/>
    <row r="12325" ht="12.75"/>
    <row r="12326" ht="12.75"/>
    <row r="12327" ht="12.75"/>
    <row r="12328" ht="12.75"/>
    <row r="12329" ht="12.75"/>
    <row r="12330" ht="12.75"/>
    <row r="12331" ht="12.75"/>
    <row r="12332" ht="12.75"/>
    <row r="12333" ht="12.75"/>
    <row r="12334" ht="12.75"/>
    <row r="12335" ht="12.75"/>
    <row r="12336" ht="12.75"/>
    <row r="12337" ht="12.75"/>
    <row r="12338" ht="12.75"/>
    <row r="12339" ht="12.75"/>
    <row r="12340" ht="12.75"/>
    <row r="12341" ht="12.75"/>
    <row r="12342" ht="12.75"/>
    <row r="12343" ht="12.75"/>
    <row r="12344" ht="12.75"/>
    <row r="12345" ht="12.75"/>
    <row r="12346" ht="12.75"/>
    <row r="12347" ht="12.75"/>
    <row r="12348" ht="12.75"/>
    <row r="12349" ht="12.75"/>
    <row r="12350" ht="12.75"/>
    <row r="12351" ht="12.75"/>
    <row r="12352" ht="12.75"/>
    <row r="12353" ht="12.75"/>
    <row r="12354" ht="12.75"/>
    <row r="12355" ht="12.75"/>
    <row r="12356" ht="12.75"/>
    <row r="12357" ht="12.75"/>
    <row r="12358" ht="12.75"/>
    <row r="12359" ht="12.75"/>
    <row r="12360" ht="12.75"/>
    <row r="12361" ht="12.75"/>
    <row r="12362" ht="12.75"/>
    <row r="12363" ht="12.75"/>
    <row r="12364" ht="12.75"/>
    <row r="12365" ht="12.75"/>
    <row r="12366" ht="12.75"/>
    <row r="12367" ht="12.75"/>
    <row r="12368" ht="12.75"/>
    <row r="12369" ht="12.75"/>
    <row r="12370" ht="12.75"/>
    <row r="12371" ht="12.75"/>
    <row r="12372" ht="12.75"/>
    <row r="12373" ht="12.75"/>
    <row r="12374" ht="12.75"/>
    <row r="12375" ht="12.75"/>
    <row r="12376" ht="12.75"/>
    <row r="12377" ht="12.75"/>
    <row r="12378" ht="12.75"/>
    <row r="12379" ht="12.75"/>
    <row r="12380" ht="12.75"/>
    <row r="12381" ht="12.75"/>
    <row r="12382" ht="12.75"/>
    <row r="12383" ht="12.75"/>
    <row r="12384" ht="12.75"/>
    <row r="12385" ht="12.75"/>
    <row r="12386" ht="12.75"/>
    <row r="12387" ht="12.75"/>
    <row r="12388" ht="12.75"/>
    <row r="12389" ht="12.75"/>
    <row r="12390" ht="12.75"/>
    <row r="12391" ht="12.75"/>
    <row r="12392" ht="12.75"/>
    <row r="12393" ht="12.75"/>
    <row r="12394" ht="12.75"/>
    <row r="12395" ht="12.75"/>
    <row r="12396" ht="12.75"/>
    <row r="12397" ht="12.75"/>
    <row r="12398" ht="12.75"/>
    <row r="12399" ht="12.75"/>
    <row r="12400" ht="12.75"/>
    <row r="12401" ht="12.75"/>
    <row r="12402" ht="12.75"/>
    <row r="12403" ht="12.75"/>
    <row r="12404" ht="12.75"/>
    <row r="12405" ht="12.75"/>
    <row r="12406" ht="12.75"/>
    <row r="12407" ht="12.75"/>
    <row r="12408" ht="12.75"/>
    <row r="12409" ht="12.75"/>
    <row r="12410" ht="12.75"/>
    <row r="12411" ht="12.75"/>
    <row r="12412" ht="12.75"/>
    <row r="12413" ht="12.75"/>
    <row r="12414" ht="12.75"/>
    <row r="12415" ht="12.75"/>
    <row r="12416" ht="12.75"/>
    <row r="12417" ht="12.75"/>
    <row r="12418" ht="12.75"/>
    <row r="12419" ht="12.75"/>
    <row r="12420" ht="12.75"/>
    <row r="12421" ht="12.75"/>
    <row r="12422" ht="12.75"/>
    <row r="12423" ht="12.75"/>
    <row r="12424" ht="12.75"/>
    <row r="12425" ht="12.75"/>
    <row r="12426" ht="12.75"/>
    <row r="12427" ht="12.75"/>
    <row r="12428" ht="12.75"/>
    <row r="12429" ht="12.75"/>
    <row r="12430" ht="12.75"/>
    <row r="12431" ht="12.75"/>
    <row r="12432" ht="12.75"/>
    <row r="12433" ht="12.75"/>
    <row r="12434" ht="12.75"/>
    <row r="12435" ht="12.75"/>
    <row r="12436" ht="12.75"/>
    <row r="12437" ht="12.75"/>
    <row r="12438" ht="12.75"/>
    <row r="12439" ht="12.75"/>
    <row r="12440" ht="12.75"/>
    <row r="12441" ht="12.75"/>
    <row r="12442" ht="12.75"/>
    <row r="12443" ht="12.75"/>
    <row r="12444" ht="12.75"/>
    <row r="12445" ht="12.75"/>
    <row r="12446" ht="12.75"/>
    <row r="12447" ht="12.75"/>
    <row r="12448" ht="12.75"/>
    <row r="12449" ht="12.75"/>
    <row r="12450" ht="12.75"/>
    <row r="12451" ht="12.75"/>
    <row r="12452" ht="12.75"/>
    <row r="12453" ht="12.75"/>
    <row r="12454" ht="12.75"/>
    <row r="12455" ht="12.75"/>
    <row r="12456" ht="12.75"/>
    <row r="12457" ht="12.75"/>
    <row r="12458" ht="12.75"/>
    <row r="12459" ht="12.75"/>
    <row r="12460" ht="12.75"/>
    <row r="12461" ht="12.75"/>
    <row r="12462" ht="12.75"/>
    <row r="12463" ht="12.75"/>
    <row r="12464" ht="12.75"/>
    <row r="12465" ht="12.75"/>
    <row r="12466" ht="12.75"/>
    <row r="12467" ht="12.75"/>
    <row r="12468" ht="12.75"/>
    <row r="12469" ht="12.75"/>
    <row r="12470" ht="12.75"/>
    <row r="12471" ht="12.75"/>
    <row r="12472" ht="12.75"/>
    <row r="12473" ht="12.75"/>
    <row r="12474" ht="12.75"/>
    <row r="12475" ht="12.75"/>
    <row r="12476" ht="12.75"/>
    <row r="12477" ht="12.75"/>
    <row r="12478" ht="12.75"/>
    <row r="12479" ht="12.75"/>
    <row r="12480" ht="12.75"/>
    <row r="12481" ht="12.75"/>
    <row r="12482" ht="12.75"/>
    <row r="12483" ht="12.75"/>
    <row r="12484" ht="12.75"/>
    <row r="12485" ht="12.75"/>
    <row r="12486" ht="12.75"/>
    <row r="12487" ht="12.75"/>
    <row r="12488" ht="12.75"/>
    <row r="12489" ht="12.75"/>
    <row r="12490" ht="12.75"/>
    <row r="12491" ht="12.75"/>
    <row r="12492" ht="12.75"/>
    <row r="12493" ht="12.75"/>
    <row r="12494" ht="12.75"/>
    <row r="12495" ht="12.75"/>
    <row r="12496" ht="12.75"/>
    <row r="12497" ht="12.75"/>
    <row r="12498" ht="12.75"/>
    <row r="12499" ht="12.75"/>
    <row r="12500" ht="12.75"/>
    <row r="12501" ht="12.75"/>
    <row r="12502" ht="12.75"/>
    <row r="12503" ht="12.75"/>
    <row r="12504" ht="12.75"/>
    <row r="12505" ht="12.75"/>
    <row r="12506" ht="12.75"/>
    <row r="12507" ht="12.75"/>
    <row r="12508" ht="12.75"/>
    <row r="12509" ht="12.75"/>
    <row r="12510" ht="12.75"/>
    <row r="12511" ht="12.75"/>
    <row r="12512" ht="12.75"/>
    <row r="12513" ht="12.75"/>
    <row r="12514" ht="12.75"/>
    <row r="12515" ht="12.75"/>
    <row r="12516" ht="12.75"/>
    <row r="12517" ht="12.75"/>
    <row r="12518" ht="12.75"/>
    <row r="12519" ht="12.75"/>
    <row r="12520" ht="12.75"/>
    <row r="12521" ht="12.75"/>
    <row r="12522" ht="12.75"/>
    <row r="12523" ht="12.75"/>
    <row r="12524" ht="12.75"/>
    <row r="12525" ht="12.75"/>
    <row r="12526" ht="12.75"/>
    <row r="12527" ht="12.75"/>
    <row r="12528" ht="12.75"/>
    <row r="12529" ht="12.75"/>
    <row r="12530" ht="12.75"/>
    <row r="12531" ht="12.75"/>
    <row r="12532" ht="12.75"/>
    <row r="12533" ht="12.75"/>
    <row r="12534" ht="12.75"/>
    <row r="12535" ht="12.75"/>
    <row r="12536" ht="12.75"/>
    <row r="12537" ht="12.75"/>
    <row r="12538" ht="12.75"/>
    <row r="12539" ht="12.75"/>
    <row r="12540" ht="12.75"/>
    <row r="12541" ht="12.75"/>
    <row r="12542" ht="12.75"/>
    <row r="12543" ht="12.75"/>
    <row r="12544" ht="12.75"/>
    <row r="12545" ht="12.75"/>
    <row r="12546" ht="12.75"/>
    <row r="12547" ht="12.75"/>
    <row r="12548" ht="12.75"/>
    <row r="12549" ht="12.75"/>
    <row r="12550" ht="12.75"/>
    <row r="12551" ht="12.75"/>
    <row r="12552" ht="12.75"/>
    <row r="12553" ht="12.75"/>
    <row r="12554" ht="12.75"/>
    <row r="12555" ht="12.75"/>
    <row r="12556" ht="12.75"/>
    <row r="12557" ht="12.75"/>
    <row r="12558" ht="12.75"/>
    <row r="12559" ht="12.75"/>
    <row r="12560" ht="12.75"/>
    <row r="12561" ht="12.75"/>
    <row r="12562" ht="12.75"/>
    <row r="12563" ht="12.75"/>
    <row r="12564" ht="12.75"/>
    <row r="12565" ht="12.75"/>
    <row r="12566" ht="12.75"/>
    <row r="12567" ht="12.75"/>
    <row r="12568" ht="12.75"/>
    <row r="12569" ht="12.75"/>
    <row r="12570" ht="12.75"/>
    <row r="12571" ht="12.75"/>
    <row r="12572" ht="12.75"/>
    <row r="12573" ht="12.75"/>
    <row r="12574" ht="12.75"/>
    <row r="12575" ht="12.75"/>
    <row r="12576" ht="12.75"/>
    <row r="12577" ht="12.75"/>
    <row r="12578" ht="12.75"/>
    <row r="12579" ht="12.75"/>
    <row r="12580" ht="12.75"/>
    <row r="12581" ht="12.75"/>
    <row r="12582" ht="12.75"/>
    <row r="12583" ht="12.75"/>
    <row r="12584" ht="12.75"/>
    <row r="12585" ht="12.75"/>
    <row r="12586" ht="12.75"/>
    <row r="12587" ht="12.75"/>
    <row r="12588" ht="12.75"/>
    <row r="12589" ht="12.75"/>
    <row r="12590" ht="12.75"/>
    <row r="12591" ht="12.75"/>
    <row r="12592" ht="12.75"/>
    <row r="12593" ht="12.75"/>
    <row r="12594" ht="12.75"/>
    <row r="12595" ht="12.75"/>
    <row r="12596" ht="12.75"/>
    <row r="12597" ht="12.75"/>
    <row r="12598" ht="12.75"/>
    <row r="12599" ht="12.75"/>
    <row r="12600" ht="12.75"/>
    <row r="12601" ht="12.75"/>
    <row r="12602" ht="12.75"/>
    <row r="12603" ht="12.75"/>
    <row r="12604" ht="12.75"/>
    <row r="12605" ht="12.75"/>
    <row r="12606" ht="12.75"/>
    <row r="12607" ht="12.75"/>
    <row r="12608" ht="12.75"/>
    <row r="12609" ht="12.75"/>
    <row r="12610" ht="12.75"/>
    <row r="12611" ht="12.75"/>
    <row r="12612" ht="12.75"/>
    <row r="12613" ht="12.75"/>
    <row r="12614" ht="12.75"/>
    <row r="12615" ht="12.75"/>
    <row r="12616" ht="12.75"/>
    <row r="12617" ht="12.75"/>
    <row r="12618" ht="12.75"/>
    <row r="12619" ht="12.75"/>
    <row r="12620" ht="12.75"/>
    <row r="12621" ht="12.75"/>
    <row r="12622" ht="12.75"/>
    <row r="12623" ht="12.75"/>
    <row r="12624" ht="12.75"/>
    <row r="12625" ht="12.75"/>
    <row r="12626" ht="12.75"/>
    <row r="12627" ht="12.75"/>
    <row r="12628" ht="12.75"/>
    <row r="12629" ht="12.75"/>
    <row r="12630" ht="12.75"/>
    <row r="12631" ht="12.75"/>
    <row r="12632" ht="12.75"/>
    <row r="12633" ht="12.75"/>
    <row r="12634" ht="12.75"/>
    <row r="12635" ht="12.75"/>
    <row r="12636" ht="12.75"/>
    <row r="12637" ht="12.75"/>
    <row r="12638" ht="12.75"/>
    <row r="12639" ht="12.75"/>
    <row r="12640" ht="12.75"/>
    <row r="12641" ht="12.75"/>
    <row r="12642" ht="12.75"/>
    <row r="12643" ht="12.75"/>
    <row r="12644" ht="12.75"/>
    <row r="12645" ht="12.75"/>
    <row r="12646" ht="12.75"/>
    <row r="12647" ht="12.75"/>
    <row r="12648" ht="12.75"/>
    <row r="12649" ht="12.75"/>
    <row r="12650" ht="12.75"/>
    <row r="12651" ht="12.75"/>
    <row r="12652" ht="12.75"/>
    <row r="12653" ht="12.75"/>
    <row r="12654" ht="12.75"/>
    <row r="12655" ht="12.75"/>
    <row r="12656" ht="12.75"/>
    <row r="12657" ht="12.75"/>
    <row r="12658" ht="12.75"/>
    <row r="12659" ht="12.75"/>
    <row r="12660" ht="12.75"/>
    <row r="12661" ht="12.75"/>
    <row r="12662" ht="12.75"/>
    <row r="12663" ht="12.75"/>
    <row r="12664" ht="12.75"/>
    <row r="12665" ht="12.75"/>
    <row r="12666" ht="12.75"/>
    <row r="12667" ht="12.75"/>
    <row r="12668" ht="12.75"/>
    <row r="12669" ht="12.75"/>
    <row r="12670" ht="12.75"/>
    <row r="12671" ht="12.75"/>
    <row r="12672" ht="12.75"/>
    <row r="12673" ht="12.75"/>
    <row r="12674" ht="12.75"/>
    <row r="12675" ht="12.75"/>
    <row r="12676" ht="12.75"/>
    <row r="12677" ht="12.75"/>
    <row r="12678" ht="12.75"/>
    <row r="12679" ht="12.75"/>
    <row r="12680" ht="12.75"/>
    <row r="12681" ht="12.75"/>
    <row r="12682" ht="12.75"/>
    <row r="12683" ht="12.75"/>
    <row r="12684" ht="12.75"/>
    <row r="12685" ht="12.75"/>
    <row r="12686" ht="12.75"/>
    <row r="12687" ht="12.75"/>
    <row r="12688" ht="12.75"/>
    <row r="12689" ht="12.75"/>
    <row r="12690" ht="12.75"/>
    <row r="12691" ht="12.75"/>
    <row r="12692" ht="12.75"/>
    <row r="12693" ht="12.75"/>
    <row r="12694" ht="12.75"/>
    <row r="12695" ht="12.75"/>
    <row r="12696" ht="12.75"/>
    <row r="12697" ht="12.75"/>
    <row r="12698" ht="12.75"/>
    <row r="12699" ht="12.75"/>
    <row r="12700" ht="12.75"/>
    <row r="12701" ht="12.75"/>
    <row r="12702" ht="12.75"/>
    <row r="12703" ht="12.75"/>
    <row r="12704" ht="12.75"/>
    <row r="12705" ht="12.75"/>
    <row r="12706" ht="12.75"/>
    <row r="12707" ht="12.75"/>
    <row r="12708" ht="12.75"/>
    <row r="12709" ht="12.75"/>
    <row r="12710" ht="12.75"/>
    <row r="12711" ht="12.75"/>
    <row r="12712" ht="12.75"/>
    <row r="12713" ht="12.75"/>
    <row r="12714" ht="12.75"/>
    <row r="12715" ht="12.75"/>
    <row r="12716" ht="12.75"/>
    <row r="12717" ht="12.75"/>
    <row r="12718" ht="12.75"/>
    <row r="12719" ht="12.75"/>
    <row r="12720" ht="12.75"/>
    <row r="12721" ht="12.75"/>
    <row r="12722" ht="12.75"/>
    <row r="12723" ht="12.75"/>
    <row r="12724" ht="12.75"/>
    <row r="12725" ht="12.75"/>
    <row r="12726" ht="12.75"/>
    <row r="12727" ht="12.75"/>
    <row r="12728" ht="12.75"/>
    <row r="12729" ht="12.75"/>
    <row r="12730" ht="12.75"/>
    <row r="12731" ht="12.75"/>
    <row r="12732" ht="12.75"/>
    <row r="12733" ht="12.75"/>
    <row r="12734" ht="12.75"/>
    <row r="12735" ht="12.75"/>
    <row r="12736" ht="12.75"/>
    <row r="12737" ht="12.75"/>
    <row r="12738" ht="12.75"/>
    <row r="12739" ht="12.75"/>
    <row r="12740" ht="12.75"/>
    <row r="12741" ht="12.75"/>
    <row r="12742" ht="12.75"/>
    <row r="12743" ht="12.75"/>
    <row r="12744" ht="12.75"/>
    <row r="12745" ht="12.75"/>
    <row r="12746" ht="12.75"/>
    <row r="12747" ht="12.75"/>
    <row r="12748" ht="12.75"/>
    <row r="12749" ht="12.75"/>
    <row r="12750" ht="12.75"/>
    <row r="12751" ht="12.75"/>
    <row r="12752" ht="12.75"/>
    <row r="12753" ht="12.75"/>
    <row r="12754" ht="12.75"/>
    <row r="12755" ht="12.75"/>
    <row r="12756" ht="12.75"/>
    <row r="12757" ht="12.75"/>
    <row r="12758" ht="12.75"/>
    <row r="12759" ht="12.75"/>
    <row r="12760" ht="12.75"/>
    <row r="12761" ht="12.75"/>
    <row r="12762" ht="12.75"/>
    <row r="12763" ht="12.75"/>
    <row r="12764" ht="12.75"/>
    <row r="12765" ht="12.75"/>
    <row r="12766" ht="12.75"/>
    <row r="12767" ht="12.75"/>
    <row r="12768" ht="12.75"/>
    <row r="12769" ht="12.75"/>
    <row r="12770" ht="12.75"/>
    <row r="12771" ht="12.75"/>
    <row r="12772" ht="12.75"/>
    <row r="12773" ht="12.75"/>
    <row r="12774" ht="12.75"/>
    <row r="12775" ht="12.75"/>
    <row r="12776" ht="12.75"/>
    <row r="12777" ht="12.75"/>
    <row r="12778" ht="12.75"/>
    <row r="12779" ht="12.75"/>
    <row r="12780" ht="12.75"/>
    <row r="12781" ht="12.75"/>
    <row r="12782" ht="12.75"/>
    <row r="12783" ht="12.75"/>
    <row r="12784" ht="12.75"/>
    <row r="12785" ht="12.75"/>
    <row r="12786" ht="12.75"/>
    <row r="12787" ht="12.75"/>
    <row r="12788" ht="12.75"/>
    <row r="12789" ht="12.75"/>
    <row r="12790" ht="12.75"/>
    <row r="12791" ht="12.75"/>
    <row r="12792" ht="12.75"/>
    <row r="12793" ht="12.75"/>
    <row r="12794" ht="12.75"/>
    <row r="12795" ht="12.75"/>
    <row r="12796" ht="12.75"/>
    <row r="12797" ht="12.75"/>
    <row r="12798" ht="12.75"/>
    <row r="12799" ht="12.75"/>
    <row r="12800" ht="12.75"/>
    <row r="12801" ht="12.75"/>
    <row r="12802" ht="12.75"/>
    <row r="12803" ht="12.75"/>
    <row r="12804" ht="12.75"/>
    <row r="12805" ht="12.75"/>
    <row r="12806" ht="12.75"/>
    <row r="12807" ht="12.75"/>
    <row r="12808" ht="12.75"/>
    <row r="12809" ht="12.75"/>
    <row r="12810" ht="12.75"/>
    <row r="12811" ht="12.75"/>
    <row r="12812" ht="12.75"/>
    <row r="12813" ht="12.75"/>
    <row r="12814" ht="12.75"/>
    <row r="12815" ht="12.75"/>
    <row r="12816" ht="12.75"/>
    <row r="12817" ht="12.75"/>
    <row r="12818" ht="12.75"/>
    <row r="12819" ht="12.75"/>
    <row r="12820" ht="12.75"/>
    <row r="12821" ht="12.75"/>
    <row r="12822" ht="12.75"/>
    <row r="12823" ht="12.75"/>
    <row r="12824" ht="12.75"/>
    <row r="12825" ht="12.75"/>
    <row r="12826" ht="12.75"/>
    <row r="12827" ht="12.75"/>
    <row r="12828" ht="12.75"/>
    <row r="12829" ht="12.75"/>
    <row r="12830" ht="12.75"/>
    <row r="12831" ht="12.75"/>
    <row r="12832" ht="12.75"/>
    <row r="12833" ht="12.75"/>
    <row r="12834" ht="12.75"/>
    <row r="12835" ht="12.75"/>
    <row r="12836" ht="12.75"/>
    <row r="12837" ht="12.75"/>
    <row r="12838" ht="12.75"/>
    <row r="12839" ht="12.75"/>
    <row r="12840" ht="12.75"/>
    <row r="12841" ht="12.75"/>
    <row r="12842" ht="12.75"/>
    <row r="12843" ht="12.75"/>
    <row r="12844" ht="12.75"/>
    <row r="12845" ht="12.75"/>
    <row r="12846" ht="12.75"/>
    <row r="12847" ht="12.75"/>
    <row r="12848" ht="12.75"/>
    <row r="12849" ht="12.75"/>
    <row r="12850" ht="12.75"/>
    <row r="12851" ht="12.75"/>
    <row r="12852" ht="12.75"/>
    <row r="12853" ht="12.75"/>
    <row r="12854" ht="12.75"/>
    <row r="12855" ht="12.75"/>
    <row r="12856" ht="12.75"/>
    <row r="12857" ht="12.75"/>
    <row r="12858" ht="12.75"/>
    <row r="12859" ht="12.75"/>
    <row r="12860" ht="12.75"/>
    <row r="12861" ht="12.75"/>
    <row r="12862" ht="12.75"/>
    <row r="12863" ht="12.75"/>
    <row r="12864" ht="12.75"/>
    <row r="12865" ht="12.75"/>
    <row r="12866" ht="12.75"/>
    <row r="12867" ht="12.75"/>
    <row r="12868" ht="12.75"/>
    <row r="12869" ht="12.75"/>
    <row r="12870" ht="12.75"/>
    <row r="12871" ht="12.75"/>
    <row r="12872" ht="12.75"/>
    <row r="12873" ht="12.75"/>
    <row r="12874" ht="12.75"/>
    <row r="12875" ht="12.75"/>
    <row r="12876" ht="12.75"/>
    <row r="12877" ht="12.75"/>
    <row r="12878" ht="12.75"/>
    <row r="12879" ht="12.75"/>
    <row r="12880" ht="12.75"/>
    <row r="12881" ht="12.75"/>
    <row r="12882" ht="12.75"/>
    <row r="12883" ht="12.75"/>
    <row r="12884" ht="12.75"/>
    <row r="12885" ht="12.75"/>
    <row r="12886" ht="12.75"/>
    <row r="12887" ht="12.75"/>
    <row r="12888" ht="12.75"/>
    <row r="12889" ht="12.75"/>
    <row r="12890" ht="12.75"/>
    <row r="12891" ht="12.75"/>
    <row r="12892" ht="12.75"/>
    <row r="12893" ht="12.75"/>
    <row r="12894" ht="12.75"/>
    <row r="12895" ht="12.75"/>
    <row r="12896" ht="12.75"/>
    <row r="12897" ht="12.75"/>
    <row r="12898" ht="12.75"/>
    <row r="12899" ht="12.75"/>
    <row r="12900" ht="12.75"/>
    <row r="12901" ht="12.75"/>
    <row r="12902" ht="12.75"/>
    <row r="12903" ht="12.75"/>
    <row r="12904" ht="12.75"/>
    <row r="12905" ht="12.75"/>
    <row r="12906" ht="12.75"/>
    <row r="12907" ht="12.75"/>
    <row r="12908" ht="12.75"/>
    <row r="12909" ht="12.75"/>
    <row r="12910" ht="12.75"/>
    <row r="12911" ht="12.75"/>
    <row r="12912" ht="12.75"/>
    <row r="12913" ht="12.75"/>
    <row r="12914" ht="12.75"/>
    <row r="12915" ht="12.75"/>
    <row r="12916" ht="12.75"/>
    <row r="12917" ht="12.75"/>
    <row r="12918" ht="12.75"/>
    <row r="12919" ht="12.75"/>
    <row r="12920" ht="12.75"/>
    <row r="12921" ht="12.75"/>
    <row r="12922" ht="12.75"/>
    <row r="12923" ht="12.75"/>
    <row r="12924" ht="12.75"/>
    <row r="12925" ht="12.75"/>
    <row r="12926" ht="12.75"/>
    <row r="12927" ht="12.75"/>
    <row r="12928" ht="12.75"/>
    <row r="12929" ht="12.75"/>
    <row r="12930" ht="12.75"/>
    <row r="12931" ht="12.75"/>
    <row r="12932" ht="12.75"/>
    <row r="12933" ht="12.75"/>
    <row r="12934" ht="12.75"/>
    <row r="12935" ht="12.75"/>
    <row r="12936" ht="12.75"/>
    <row r="12937" ht="12.75"/>
    <row r="12938" ht="12.75"/>
    <row r="12939" ht="12.75"/>
    <row r="12940" ht="12.75"/>
    <row r="12941" ht="12.75"/>
    <row r="12942" ht="12.75"/>
    <row r="12943" ht="12.75"/>
    <row r="12944" ht="12.75"/>
    <row r="12945" ht="12.75"/>
    <row r="12946" ht="12.75"/>
    <row r="12947" ht="12.75"/>
    <row r="12948" ht="12.75"/>
    <row r="12949" ht="12.75"/>
    <row r="12950" ht="12.75"/>
    <row r="12951" ht="12.75"/>
    <row r="12952" ht="12.75"/>
    <row r="12953" ht="12.75"/>
    <row r="12954" ht="12.75"/>
    <row r="12955" ht="12.75"/>
    <row r="12956" ht="12.75"/>
    <row r="12957" ht="12.75"/>
    <row r="12958" ht="12.75"/>
    <row r="12959" ht="12.75"/>
    <row r="12960" ht="12.75"/>
    <row r="12961" ht="12.75"/>
    <row r="12962" ht="12.75"/>
    <row r="12963" ht="12.75"/>
    <row r="12964" ht="12.75"/>
    <row r="12965" ht="12.75"/>
    <row r="12966" ht="12.75"/>
    <row r="12967" ht="12.75"/>
    <row r="12968" ht="12.75"/>
    <row r="12969" ht="12.75"/>
    <row r="12970" ht="12.75"/>
    <row r="12971" ht="12.75"/>
    <row r="12972" ht="12.75"/>
    <row r="12973" ht="12.75"/>
    <row r="12974" ht="12.75"/>
    <row r="12975" ht="12.75"/>
    <row r="12976" ht="12.75"/>
    <row r="12977" ht="12.75"/>
    <row r="12978" ht="12.75"/>
    <row r="12979" ht="12.75"/>
    <row r="12980" ht="12.75"/>
    <row r="12981" ht="12.75"/>
    <row r="12982" ht="12.75"/>
    <row r="12983" ht="12.75"/>
    <row r="12984" ht="12.75"/>
    <row r="12985" ht="12.75"/>
    <row r="12986" ht="12.75"/>
    <row r="12987" ht="12.75"/>
    <row r="12988" ht="12.75"/>
    <row r="12989" ht="12.75"/>
    <row r="12990" ht="12.75"/>
    <row r="12991" ht="12.75"/>
    <row r="12992" ht="12.75"/>
    <row r="12993" ht="12.75"/>
    <row r="12994" ht="12.75"/>
    <row r="12995" ht="12.75"/>
    <row r="12996" ht="12.75"/>
    <row r="12997" ht="12.75"/>
    <row r="12998" ht="12.75"/>
    <row r="12999" ht="12.75"/>
    <row r="13000" ht="12.75"/>
    <row r="13001" ht="12.75"/>
    <row r="13002" ht="12.75"/>
    <row r="13003" ht="12.75"/>
    <row r="13004" ht="12.75"/>
    <row r="13005" ht="12.75"/>
    <row r="13006" ht="12.75"/>
    <row r="13007" ht="12.75"/>
    <row r="13008" ht="12.75"/>
    <row r="13009" ht="12.75"/>
    <row r="13010" ht="12.75"/>
    <row r="13011" ht="12.75"/>
    <row r="13012" ht="12.75"/>
    <row r="13013" ht="12.75"/>
    <row r="13014" ht="12.75"/>
    <row r="13015" ht="12.75"/>
    <row r="13016" ht="12.75"/>
    <row r="13017" ht="12.75"/>
    <row r="13018" ht="12.75"/>
    <row r="13019" ht="12.75"/>
    <row r="13020" ht="12.75"/>
    <row r="13021" ht="12.75"/>
    <row r="13022" ht="12.75"/>
    <row r="13023" ht="12.75"/>
    <row r="13024" ht="12.75"/>
    <row r="13025" ht="12.75"/>
    <row r="13026" ht="12.75"/>
    <row r="13027" ht="12.75"/>
    <row r="13028" ht="12.75"/>
    <row r="13029" ht="12.75"/>
    <row r="13030" ht="12.75"/>
    <row r="13031" ht="12.75"/>
    <row r="13032" ht="12.75"/>
    <row r="13033" ht="12.75"/>
    <row r="13034" ht="12.75"/>
    <row r="13035" ht="12.75"/>
    <row r="13036" ht="12.75"/>
    <row r="13037" ht="12.75"/>
    <row r="13038" ht="12.75"/>
    <row r="13039" ht="12.75"/>
    <row r="13040" ht="12.75"/>
    <row r="13041" ht="12.75"/>
    <row r="13042" ht="12.75"/>
    <row r="13043" ht="12.75"/>
    <row r="13044" ht="12.75"/>
    <row r="13045" ht="12.75"/>
    <row r="13046" ht="12.75"/>
    <row r="13047" ht="12.75"/>
    <row r="13048" ht="12.75"/>
    <row r="13049" ht="12.75"/>
    <row r="13050" ht="12.75"/>
    <row r="13051" ht="12.75"/>
    <row r="13052" ht="12.75"/>
    <row r="13053" ht="12.75"/>
    <row r="13054" ht="12.75"/>
    <row r="13055" ht="12.75"/>
    <row r="13056" ht="12.75"/>
    <row r="13057" ht="12.75"/>
    <row r="13058" ht="12.75"/>
    <row r="13059" ht="12.75"/>
    <row r="13060" ht="12.75"/>
    <row r="13061" ht="12.75"/>
    <row r="13062" ht="12.75"/>
    <row r="13063" ht="12.75"/>
    <row r="13064" ht="12.75"/>
    <row r="13065" ht="12.75"/>
    <row r="13066" ht="12.75"/>
    <row r="13067" ht="12.75"/>
    <row r="13068" ht="12.75"/>
    <row r="13069" ht="12.75"/>
    <row r="13070" ht="12.75"/>
    <row r="13071" ht="12.75"/>
    <row r="13072" ht="12.75"/>
    <row r="13073" ht="12.75"/>
    <row r="13074" ht="12.75"/>
    <row r="13075" ht="12.75"/>
    <row r="13076" ht="12.75"/>
    <row r="13077" ht="12.75"/>
    <row r="13078" ht="12.75"/>
    <row r="13079" ht="12.75"/>
    <row r="13080" ht="12.75"/>
    <row r="13081" ht="12.75"/>
    <row r="13082" ht="12.75"/>
    <row r="13083" ht="12.75"/>
    <row r="13084" ht="12.75"/>
    <row r="13085" ht="12.75"/>
    <row r="13086" ht="12.75"/>
    <row r="13087" ht="12.75"/>
    <row r="13088" ht="12.75"/>
    <row r="13089" ht="12.75"/>
    <row r="13090" ht="12.75"/>
    <row r="13091" ht="12.75"/>
    <row r="13092" ht="12.75"/>
    <row r="13093" ht="12.75"/>
    <row r="13094" ht="12.75"/>
    <row r="13095" ht="12.75"/>
    <row r="13096" ht="12.75"/>
    <row r="13097" ht="12.75"/>
    <row r="13098" ht="12.75"/>
    <row r="13099" ht="12.75"/>
    <row r="13100" ht="12.75"/>
    <row r="13101" ht="12.75"/>
    <row r="13102" ht="12.75"/>
    <row r="13103" ht="12.75"/>
    <row r="13104" ht="12.75"/>
    <row r="13105" ht="12.75"/>
    <row r="13106" ht="12.75"/>
    <row r="13107" ht="12.75"/>
    <row r="13108" ht="12.75"/>
    <row r="13109" ht="12.75"/>
    <row r="13110" ht="12.75"/>
    <row r="13111" ht="12.75"/>
    <row r="13112" ht="12.75"/>
    <row r="13113" ht="12.75"/>
    <row r="13114" ht="12.75"/>
    <row r="13115" ht="12.75"/>
    <row r="13116" ht="12.75"/>
    <row r="13117" ht="12.75"/>
    <row r="13118" ht="12.75"/>
    <row r="13119" ht="12.75"/>
    <row r="13120" ht="12.75"/>
    <row r="13121" ht="12.75"/>
    <row r="13122" ht="12.75"/>
    <row r="13123" ht="12.75"/>
    <row r="13124" ht="12.75"/>
    <row r="13125" ht="12.75"/>
    <row r="13126" ht="12.75"/>
    <row r="13127" ht="12.75"/>
    <row r="13128" ht="12.75"/>
    <row r="13129" ht="12.75"/>
    <row r="13130" ht="12.75"/>
    <row r="13131" ht="12.75"/>
    <row r="13132" ht="12.75"/>
    <row r="13133" ht="12.75"/>
    <row r="13134" ht="12.75"/>
    <row r="13135" ht="12.75"/>
    <row r="13136" ht="12.75"/>
    <row r="13137" ht="12.75"/>
    <row r="13138" ht="12.75"/>
    <row r="13139" ht="12.75"/>
    <row r="13140" ht="12.75"/>
    <row r="13141" ht="12.75"/>
    <row r="13142" ht="12.75"/>
    <row r="13143" ht="12.75"/>
    <row r="13144" ht="12.75"/>
    <row r="13145" ht="12.75"/>
    <row r="13146" ht="12.75"/>
    <row r="13147" ht="12.75"/>
    <row r="13148" ht="12.75"/>
    <row r="13149" ht="12.75"/>
    <row r="13150" ht="12.75"/>
    <row r="13151" ht="12.75"/>
    <row r="13152" ht="12.75"/>
    <row r="13153" ht="12.75"/>
    <row r="13154" ht="12.75"/>
    <row r="13155" ht="12.75"/>
    <row r="13156" ht="12.75"/>
    <row r="13157" ht="12.75"/>
    <row r="13158" ht="12.75"/>
    <row r="13159" ht="12.75"/>
    <row r="13160" ht="12.75"/>
    <row r="13161" ht="12.75"/>
    <row r="13162" ht="12.75"/>
    <row r="13163" ht="12.75"/>
    <row r="13164" ht="12.75"/>
    <row r="13165" ht="12.75"/>
    <row r="13166" ht="12.75"/>
    <row r="13167" ht="12.75"/>
    <row r="13168" ht="12.75"/>
    <row r="13169" ht="12.75"/>
    <row r="13170" ht="12.75"/>
    <row r="13171" ht="12.75"/>
    <row r="13172" ht="12.75"/>
    <row r="13173" ht="12.75"/>
    <row r="13174" ht="12.75"/>
    <row r="13175" ht="12.75"/>
    <row r="13176" ht="12.75"/>
    <row r="13177" ht="12.75"/>
    <row r="13178" ht="12.75"/>
    <row r="13179" ht="12.75"/>
    <row r="13180" ht="12.75"/>
    <row r="13181" ht="12.75"/>
    <row r="13182" ht="12.75"/>
    <row r="13183" ht="12.75"/>
    <row r="13184" ht="12.75"/>
    <row r="13185" ht="12.75"/>
    <row r="13186" ht="12.75"/>
    <row r="13187" ht="12.75"/>
    <row r="13188" ht="12.75"/>
    <row r="13189" ht="12.75"/>
    <row r="13190" ht="12.75"/>
    <row r="13191" ht="12.75"/>
    <row r="13192" ht="12.75"/>
    <row r="13193" ht="12.75"/>
    <row r="13194" ht="12.75"/>
    <row r="13195" ht="12.75"/>
    <row r="13196" ht="12.75"/>
    <row r="13197" ht="12.75"/>
    <row r="13198" ht="12.75"/>
    <row r="13199" ht="12.75"/>
    <row r="13200" ht="12.75"/>
    <row r="13201" ht="12.75"/>
    <row r="13202" ht="12.75"/>
    <row r="13203" ht="12.75"/>
    <row r="13204" ht="12.75"/>
    <row r="13205" ht="12.75"/>
    <row r="13206" ht="12.75"/>
    <row r="13207" ht="12.75"/>
    <row r="13208" ht="12.75"/>
    <row r="13209" ht="12.75"/>
    <row r="13210" ht="12.75"/>
    <row r="13211" ht="12.75"/>
    <row r="13212" ht="12.75"/>
    <row r="13213" ht="12.75"/>
    <row r="13214" ht="12.75"/>
    <row r="13215" ht="12.75"/>
    <row r="13216" ht="12.75"/>
    <row r="13217" ht="12.75"/>
    <row r="13218" ht="12.75"/>
    <row r="13219" ht="12.75"/>
    <row r="13220" ht="12.75"/>
    <row r="13221" ht="12.75"/>
    <row r="13222" ht="12.75"/>
    <row r="13223" ht="12.75"/>
    <row r="13224" ht="12.75"/>
    <row r="13225" ht="12.75"/>
    <row r="13226" ht="12.75"/>
    <row r="13227" ht="12.75"/>
    <row r="13228" ht="12.75"/>
    <row r="13229" ht="12.75"/>
    <row r="13230" ht="12.75"/>
    <row r="13231" ht="12.75"/>
    <row r="13232" ht="12.75"/>
    <row r="13233" ht="12.75"/>
    <row r="13234" ht="12.75"/>
    <row r="13235" ht="12.75"/>
    <row r="13236" ht="12.75"/>
    <row r="13237" ht="12.75"/>
    <row r="13238" ht="12.75"/>
    <row r="13239" ht="12.75"/>
    <row r="13240" ht="12.75"/>
    <row r="13241" ht="12.75"/>
    <row r="13242" ht="12.75"/>
    <row r="13243" ht="12.75"/>
    <row r="13244" ht="12.75"/>
    <row r="13245" ht="12.75"/>
    <row r="13246" ht="12.75"/>
    <row r="13247" ht="12.75"/>
    <row r="13248" ht="12.75"/>
    <row r="13249" ht="12.75"/>
    <row r="13250" ht="12.75"/>
    <row r="13251" ht="12.75"/>
    <row r="13252" ht="12.75"/>
    <row r="13253" ht="12.75"/>
    <row r="13254" ht="12.75"/>
    <row r="13255" ht="12.75"/>
    <row r="13256" ht="12.75"/>
    <row r="13257" ht="12.75"/>
    <row r="13258" ht="12.75"/>
    <row r="13259" ht="12.75"/>
    <row r="13260" ht="12.75"/>
    <row r="13261" ht="12.75"/>
    <row r="13262" ht="12.75"/>
    <row r="13263" ht="12.75"/>
    <row r="13264" ht="12.75"/>
    <row r="13265" ht="12.75"/>
    <row r="13266" ht="12.75"/>
    <row r="13267" ht="12.75"/>
    <row r="13268" ht="12.75"/>
    <row r="13269" ht="12.75"/>
    <row r="13270" ht="12.75"/>
    <row r="13271" ht="12.75"/>
    <row r="13272" ht="12.75"/>
    <row r="13273" ht="12.75"/>
    <row r="13274" ht="12.75"/>
    <row r="13275" ht="12.75"/>
    <row r="13276" ht="12.75"/>
    <row r="13277" ht="12.75"/>
    <row r="13278" ht="12.75"/>
    <row r="13279" ht="12.75"/>
    <row r="13280" ht="12.75"/>
    <row r="13281" ht="12.75"/>
    <row r="13282" ht="12.75"/>
    <row r="13283" ht="12.75"/>
    <row r="13284" ht="12.75"/>
    <row r="13285" ht="12.75"/>
    <row r="13286" ht="12.75"/>
    <row r="13287" ht="12.75"/>
    <row r="13288" ht="12.75"/>
    <row r="13289" ht="12.75"/>
    <row r="13290" ht="12.75"/>
    <row r="13291" ht="12.75"/>
    <row r="13292" ht="12.75"/>
    <row r="13293" ht="12.75"/>
    <row r="13294" ht="12.75"/>
    <row r="13295" ht="12.75"/>
    <row r="13296" ht="12.75"/>
    <row r="13297" ht="12.75"/>
    <row r="13298" ht="12.75"/>
    <row r="13299" ht="12.75"/>
    <row r="13300" ht="12.75"/>
    <row r="13301" ht="12.75"/>
    <row r="13302" ht="12.75"/>
    <row r="13303" ht="12.75"/>
    <row r="13304" ht="12.75"/>
    <row r="13305" ht="12.75"/>
    <row r="13306" ht="12.75"/>
    <row r="13307" ht="12.75"/>
    <row r="13308" ht="12.75"/>
    <row r="13309" ht="12.75"/>
    <row r="13310" ht="12.75"/>
    <row r="13311" ht="12.75"/>
    <row r="13312" ht="12.75"/>
    <row r="13313" ht="12.75"/>
    <row r="13314" ht="12.75"/>
    <row r="13315" ht="12.75"/>
    <row r="13316" ht="12.75"/>
    <row r="13317" ht="12.75"/>
    <row r="13318" ht="12.75"/>
    <row r="13319" ht="12.75"/>
    <row r="13320" ht="12.75"/>
    <row r="13321" ht="12.75"/>
    <row r="13322" ht="12.75"/>
    <row r="13323" ht="12.75"/>
    <row r="13324" ht="12.75"/>
    <row r="13325" ht="12.75"/>
    <row r="13326" ht="12.75"/>
    <row r="13327" ht="12.75"/>
    <row r="13328" ht="12.75"/>
    <row r="13329" ht="12.75"/>
    <row r="13330" ht="12.75"/>
    <row r="13331" ht="12.75"/>
    <row r="13332" ht="12.75"/>
    <row r="13333" ht="12.75"/>
    <row r="13334" ht="12.75"/>
    <row r="13335" ht="12.75"/>
    <row r="13336" ht="12.75"/>
    <row r="13337" ht="12.75"/>
    <row r="13338" ht="12.75"/>
    <row r="13339" ht="12.75"/>
    <row r="13340" ht="12.75"/>
    <row r="13341" ht="12.75"/>
    <row r="13342" ht="12.75"/>
    <row r="13343" ht="12.75"/>
    <row r="13344" ht="12.75"/>
    <row r="13345" ht="12.75"/>
    <row r="13346" ht="12.75"/>
    <row r="13347" ht="12.75"/>
    <row r="13348" ht="12.75"/>
    <row r="13349" ht="12.75"/>
    <row r="13350" ht="12.75"/>
    <row r="13351" ht="12.75"/>
    <row r="13352" ht="12.75"/>
    <row r="13353" ht="12.75"/>
    <row r="13354" ht="12.75"/>
    <row r="13355" ht="12.75"/>
    <row r="13356" ht="12.75"/>
    <row r="13357" ht="12.75"/>
    <row r="13358" ht="12.75"/>
    <row r="13359" ht="12.75"/>
    <row r="13360" ht="12.75"/>
    <row r="13361" ht="12.75"/>
    <row r="13362" ht="12.75"/>
    <row r="13363" ht="12.75"/>
    <row r="13364" ht="12.75"/>
    <row r="13365" ht="12.75"/>
    <row r="13366" ht="12.75"/>
    <row r="13367" ht="12.75"/>
    <row r="13368" ht="12.75"/>
    <row r="13369" ht="12.75"/>
    <row r="13370" ht="12.75"/>
    <row r="13371" ht="12.75"/>
    <row r="13372" ht="12.75"/>
    <row r="13373" ht="12.75"/>
    <row r="13374" ht="12.75"/>
    <row r="13375" ht="12.75"/>
    <row r="13376" ht="12.75"/>
    <row r="13377" ht="12.75"/>
    <row r="13378" ht="12.75"/>
    <row r="13379" ht="12.75"/>
    <row r="13380" ht="12.75"/>
    <row r="13381" ht="12.75"/>
    <row r="13382" ht="12.75"/>
    <row r="13383" ht="12.75"/>
    <row r="13384" ht="12.75"/>
    <row r="13385" ht="12.75"/>
    <row r="13386" ht="12.75"/>
    <row r="13387" ht="12.75"/>
    <row r="13388" ht="12.75"/>
    <row r="13389" ht="12.75"/>
    <row r="13390" ht="12.75"/>
    <row r="13391" ht="12.75"/>
    <row r="13392" ht="12.75"/>
    <row r="13393" ht="12.75"/>
    <row r="13394" ht="12.75"/>
    <row r="13395" ht="12.75"/>
    <row r="13396" ht="12.75"/>
    <row r="13397" ht="12.75"/>
    <row r="13398" ht="12.75"/>
    <row r="13399" ht="12.75"/>
    <row r="13400" ht="12.75"/>
    <row r="13401" ht="12.75"/>
    <row r="13402" ht="12.75"/>
    <row r="13403" ht="12.75"/>
    <row r="13404" ht="12.75"/>
    <row r="13405" ht="12.75"/>
    <row r="13406" ht="12.75"/>
    <row r="13407" ht="12.75"/>
    <row r="13408" ht="12.75"/>
    <row r="13409" ht="12.75"/>
    <row r="13410" ht="12.75"/>
    <row r="13411" ht="12.75"/>
    <row r="13412" ht="12.75"/>
    <row r="13413" ht="12.75"/>
    <row r="13414" ht="12.75"/>
    <row r="13415" ht="12.75"/>
    <row r="13416" ht="12.75"/>
    <row r="13417" ht="12.75"/>
    <row r="13418" ht="12.75"/>
    <row r="13419" ht="12.75"/>
    <row r="13420" ht="12.75"/>
    <row r="13421" ht="12.75"/>
    <row r="13422" ht="12.75"/>
    <row r="13423" ht="12.75"/>
    <row r="13424" ht="12.75"/>
    <row r="13425" ht="12.75"/>
    <row r="13426" ht="12.75"/>
    <row r="13427" ht="12.75"/>
    <row r="13428" ht="12.75"/>
    <row r="13429" ht="12.75"/>
    <row r="13430" ht="12.75"/>
    <row r="13431" ht="12.75"/>
    <row r="13432" ht="12.75"/>
    <row r="13433" ht="12.75"/>
    <row r="13434" ht="12.75"/>
    <row r="13435" ht="12.75"/>
    <row r="13436" ht="12.75"/>
    <row r="13437" ht="12.75"/>
    <row r="13438" ht="12.75"/>
    <row r="13439" ht="12.75"/>
    <row r="13440" ht="12.75"/>
    <row r="13441" ht="12.75"/>
    <row r="13442" ht="12.75"/>
    <row r="13443" ht="12.75"/>
    <row r="13444" ht="12.75"/>
    <row r="13445" ht="12.75"/>
    <row r="13446" ht="12.75"/>
    <row r="13447" ht="12.75"/>
    <row r="13448" ht="12.75"/>
    <row r="13449" ht="12.75"/>
    <row r="13450" ht="12.75"/>
    <row r="13451" ht="12.75"/>
    <row r="13452" ht="12.75"/>
    <row r="13453" ht="12.75"/>
    <row r="13454" ht="12.75"/>
    <row r="13455" ht="12.75"/>
    <row r="13456" ht="12.75"/>
    <row r="13457" ht="12.75"/>
    <row r="13458" ht="12.75"/>
    <row r="13459" ht="12.75"/>
    <row r="13460" ht="12.75"/>
    <row r="13461" ht="12.75"/>
    <row r="13462" ht="12.75"/>
    <row r="13463" ht="12.75"/>
    <row r="13464" ht="12.75"/>
    <row r="13465" ht="12.75"/>
    <row r="13466" ht="12.75"/>
    <row r="13467" ht="12.75"/>
    <row r="13468" ht="12.75"/>
    <row r="13469" ht="12.75"/>
    <row r="13470" ht="12.75"/>
    <row r="13471" ht="12.75"/>
    <row r="13472" ht="12.75"/>
    <row r="13473" ht="12.75"/>
    <row r="13474" ht="12.75"/>
    <row r="13475" ht="12.75"/>
    <row r="13476" ht="12.75"/>
    <row r="13477" ht="12.75"/>
    <row r="13478" ht="12.75"/>
    <row r="13479" ht="12.75"/>
    <row r="13480" ht="12.75"/>
    <row r="13481" ht="12.75"/>
    <row r="13482" ht="12.75"/>
    <row r="13483" ht="12.75"/>
    <row r="13484" ht="12.75"/>
    <row r="13485" ht="12.75"/>
    <row r="13486" ht="12.75"/>
    <row r="13487" ht="12.75"/>
    <row r="13488" ht="12.75"/>
    <row r="13489" ht="12.75"/>
    <row r="13490" ht="12.75"/>
    <row r="13491" ht="12.75"/>
    <row r="13492" ht="12.75"/>
    <row r="13493" ht="12.75"/>
    <row r="13494" ht="12.75"/>
    <row r="13495" ht="12.75"/>
    <row r="13496" ht="12.75"/>
    <row r="13497" ht="12.75"/>
    <row r="13498" ht="12.75"/>
    <row r="13499" ht="12.75"/>
    <row r="13500" ht="12.75"/>
    <row r="13501" ht="12.75"/>
    <row r="13502" ht="12.75"/>
    <row r="13503" ht="12.75"/>
    <row r="13504" ht="12.75"/>
    <row r="13505" ht="12.75"/>
    <row r="13506" ht="12.75"/>
    <row r="13507" ht="12.75"/>
    <row r="13508" ht="12.75"/>
    <row r="13509" ht="12.75"/>
    <row r="13510" ht="12.75"/>
    <row r="13511" ht="12.75"/>
    <row r="13512" ht="12.75"/>
    <row r="13513" ht="12.75"/>
    <row r="13514" ht="12.75"/>
    <row r="13515" ht="12.75"/>
    <row r="13516" ht="12.75"/>
    <row r="13517" ht="12.75"/>
    <row r="13518" ht="12.75"/>
    <row r="13519" ht="12.75"/>
    <row r="13520" ht="12.75"/>
    <row r="13521" ht="12.75"/>
    <row r="13522" ht="12.75"/>
    <row r="13523" ht="12.75"/>
    <row r="13524" ht="12.75"/>
    <row r="13525" ht="12.75"/>
    <row r="13526" ht="12.75"/>
    <row r="13527" ht="12.75"/>
    <row r="13528" ht="12.75"/>
    <row r="13529" ht="12.75"/>
    <row r="13530" ht="12.75"/>
    <row r="13531" ht="12.75"/>
    <row r="13532" ht="12.75"/>
    <row r="13533" ht="12.75"/>
    <row r="13534" ht="12.75"/>
    <row r="13535" ht="12.75"/>
    <row r="13536" ht="12.75"/>
    <row r="13537" ht="12.75"/>
    <row r="13538" ht="12.75"/>
    <row r="13539" ht="12.75"/>
    <row r="13540" ht="12.75"/>
    <row r="13541" ht="12.75"/>
    <row r="13542" ht="12.75"/>
    <row r="13543" ht="12.75"/>
    <row r="13544" ht="12.75"/>
    <row r="13545" ht="12.75"/>
    <row r="13546" ht="12.75"/>
    <row r="13547" ht="12.75"/>
    <row r="13548" ht="12.75"/>
    <row r="13549" ht="12.75"/>
    <row r="13550" ht="12.75"/>
    <row r="13551" ht="12.75"/>
    <row r="13552" ht="12.75"/>
    <row r="13553" ht="12.75"/>
    <row r="13554" ht="12.75"/>
    <row r="13555" ht="12.75"/>
    <row r="13556" ht="12.75"/>
    <row r="13557" ht="12.75"/>
    <row r="13558" ht="12.75"/>
    <row r="13559" ht="12.75"/>
    <row r="13560" ht="12.75"/>
    <row r="13561" ht="12.75"/>
    <row r="13562" ht="12.75"/>
    <row r="13563" ht="12.75"/>
    <row r="13564" ht="12.75"/>
    <row r="13565" ht="12.75"/>
    <row r="13566" ht="12.75"/>
    <row r="13567" ht="12.75"/>
    <row r="13568" ht="12.75"/>
    <row r="13569" ht="12.75"/>
    <row r="13570" ht="12.75"/>
    <row r="13571" ht="12.75"/>
    <row r="13572" ht="12.75"/>
    <row r="13573" ht="12.75"/>
    <row r="13574" ht="12.75"/>
    <row r="13575" ht="12.75"/>
    <row r="13576" ht="12.75"/>
    <row r="13577" ht="12.75"/>
    <row r="13578" ht="12.75"/>
    <row r="13579" ht="12.75"/>
    <row r="13580" ht="12.75"/>
    <row r="13581" ht="12.75"/>
    <row r="13582" ht="12.75"/>
    <row r="13583" ht="12.75"/>
    <row r="13584" ht="12.75"/>
    <row r="13585" ht="12.75"/>
    <row r="13586" ht="12.75"/>
    <row r="13587" ht="12.75"/>
    <row r="13588" ht="12.75"/>
    <row r="13589" ht="12.75"/>
    <row r="13590" ht="12.75"/>
    <row r="13591" ht="12.75"/>
    <row r="13592" ht="12.75"/>
    <row r="13593" ht="12.75"/>
    <row r="13594" ht="12.75"/>
    <row r="13595" ht="12.75"/>
    <row r="13596" ht="12.75"/>
    <row r="13597" ht="12.75"/>
    <row r="13598" ht="12.75"/>
    <row r="13599" ht="12.75"/>
    <row r="13600" ht="12.75"/>
    <row r="13601" ht="12.75"/>
    <row r="13602" ht="12.75"/>
    <row r="13603" ht="12.75"/>
    <row r="13604" ht="12.75"/>
    <row r="13605" ht="12.75"/>
    <row r="13606" ht="12.75"/>
    <row r="13607" ht="12.75"/>
    <row r="13608" ht="12.75"/>
    <row r="13609" ht="12.75"/>
    <row r="13610" ht="12.75"/>
    <row r="13611" ht="12.75"/>
    <row r="13612" ht="12.75"/>
    <row r="13613" ht="12.75"/>
    <row r="13614" ht="12.75"/>
    <row r="13615" ht="12.75"/>
    <row r="13616" ht="12.75"/>
    <row r="13617" ht="12.75"/>
    <row r="13618" ht="12.75"/>
    <row r="13619" ht="12.75"/>
    <row r="13620" ht="12.75"/>
    <row r="13621" ht="12.75"/>
    <row r="13622" ht="12.75"/>
    <row r="13623" ht="12.75"/>
    <row r="13624" ht="12.75"/>
    <row r="13625" ht="12.75"/>
    <row r="13626" ht="12.75"/>
    <row r="13627" ht="12.75"/>
    <row r="13628" ht="12.75"/>
    <row r="13629" ht="12.75"/>
    <row r="13630" ht="12.75"/>
    <row r="13631" ht="12.75"/>
    <row r="13632" ht="12.75"/>
    <row r="13633" ht="12.75"/>
    <row r="13634" ht="12.75"/>
    <row r="13635" ht="12.75"/>
    <row r="13636" ht="12.75"/>
    <row r="13637" ht="12.75"/>
    <row r="13638" ht="12.75"/>
    <row r="13639" ht="12.75"/>
    <row r="13640" ht="12.75"/>
    <row r="13641" ht="12.75"/>
    <row r="13642" ht="12.75"/>
    <row r="13643" ht="12.75"/>
    <row r="13644" ht="12.75"/>
    <row r="13645" ht="12.75"/>
    <row r="13646" ht="12.75"/>
    <row r="13647" ht="12.75"/>
    <row r="13648" ht="12.75"/>
    <row r="13649" ht="12.75"/>
    <row r="13650" ht="12.75"/>
    <row r="13651" ht="12.75"/>
    <row r="13652" ht="12.75"/>
    <row r="13653" ht="12.75"/>
    <row r="13654" ht="12.75"/>
    <row r="13655" ht="12.75"/>
    <row r="13656" ht="12.75"/>
    <row r="13657" ht="12.75"/>
    <row r="13658" ht="12.75"/>
    <row r="13659" ht="12.75"/>
    <row r="13660" ht="12.75"/>
    <row r="13661" ht="12.75"/>
    <row r="13662" ht="12.75"/>
    <row r="13663" ht="12.75"/>
    <row r="13664" ht="12.75"/>
    <row r="13665" ht="12.75"/>
    <row r="13666" ht="12.75"/>
    <row r="13667" ht="12.75"/>
    <row r="13668" ht="12.75"/>
    <row r="13669" ht="12.75"/>
    <row r="13670" ht="12.75"/>
    <row r="13671" ht="12.75"/>
    <row r="13672" ht="12.75"/>
    <row r="13673" ht="12.75"/>
    <row r="13674" ht="12.75"/>
    <row r="13675" ht="12.75"/>
    <row r="13676" ht="12.75"/>
    <row r="13677" ht="12.75"/>
    <row r="13678" ht="12.75"/>
    <row r="13679" ht="12.75"/>
    <row r="13680" ht="12.75"/>
    <row r="13681" ht="12.75"/>
    <row r="13682" ht="12.75"/>
    <row r="13683" ht="12.75"/>
    <row r="13684" ht="12.75"/>
    <row r="13685" ht="12.75"/>
    <row r="13686" ht="12.75"/>
    <row r="13687" ht="12.75"/>
    <row r="13688" ht="12.75"/>
    <row r="13689" ht="12.75"/>
    <row r="13690" ht="12.75"/>
    <row r="13691" ht="12.75"/>
    <row r="13692" ht="12.75"/>
    <row r="13693" ht="12.75"/>
    <row r="13694" ht="12.75"/>
    <row r="13695" ht="12.75"/>
    <row r="13696" ht="12.75"/>
    <row r="13697" ht="12.75"/>
    <row r="13698" ht="12.75"/>
    <row r="13699" ht="12.75"/>
    <row r="13700" ht="12.75"/>
    <row r="13701" ht="12.75"/>
    <row r="13702" ht="12.75"/>
    <row r="13703" ht="12.75"/>
    <row r="13704" ht="12.75"/>
    <row r="13705" ht="12.75"/>
    <row r="13706" ht="12.75"/>
    <row r="13707" ht="12.75"/>
    <row r="13708" ht="12.75"/>
    <row r="13709" ht="12.75"/>
    <row r="13710" ht="12.75"/>
    <row r="13711" ht="12.75"/>
    <row r="13712" ht="12.75"/>
    <row r="13713" ht="12.75"/>
    <row r="13714" ht="12.75"/>
    <row r="13715" ht="12.75"/>
    <row r="13716" ht="12.75"/>
    <row r="13717" ht="12.75"/>
    <row r="13718" ht="12.75"/>
    <row r="13719" ht="12.75"/>
    <row r="13720" ht="12.75"/>
    <row r="13721" ht="12.75"/>
    <row r="13722" ht="12.75"/>
    <row r="13723" ht="12.75"/>
    <row r="13724" ht="12.75"/>
    <row r="13725" ht="12.75"/>
    <row r="13726" ht="12.75"/>
    <row r="13727" ht="12.75"/>
    <row r="13728" ht="12.75"/>
    <row r="13729" ht="12.75"/>
    <row r="13730" ht="12.75"/>
    <row r="13731" ht="12.75"/>
    <row r="13732" ht="12.75"/>
    <row r="13733" ht="12.75"/>
    <row r="13734" ht="12.75"/>
    <row r="13735" ht="12.75"/>
    <row r="13736" ht="12.75"/>
    <row r="13737" ht="12.75"/>
    <row r="13738" ht="12.75"/>
    <row r="13739" ht="12.75"/>
    <row r="13740" ht="12.75"/>
    <row r="13741" ht="12.75"/>
    <row r="13742" ht="12.75"/>
    <row r="13743" ht="12.75"/>
    <row r="13744" ht="12.75"/>
    <row r="13745" ht="12.75"/>
    <row r="13746" ht="12.75"/>
    <row r="13747" ht="12.75"/>
    <row r="13748" ht="12.75"/>
    <row r="13749" ht="12.75"/>
    <row r="13750" ht="12.75"/>
    <row r="13751" ht="12.75"/>
    <row r="13752" ht="12.75"/>
    <row r="13753" ht="12.75"/>
    <row r="13754" ht="12.75"/>
    <row r="13755" ht="12.75"/>
    <row r="13756" ht="12.75"/>
    <row r="13757" ht="12.75"/>
    <row r="13758" ht="12.75"/>
    <row r="13759" ht="12.75"/>
    <row r="13760" ht="12.75"/>
    <row r="13761" ht="12.75"/>
    <row r="13762" ht="12.75"/>
    <row r="13763" ht="12.75"/>
    <row r="13764" ht="12.75"/>
    <row r="13765" ht="12.75"/>
    <row r="13766" ht="12.75"/>
    <row r="13767" ht="12.75"/>
    <row r="13768" ht="12.75"/>
    <row r="13769" ht="12.75"/>
    <row r="13770" ht="12.75"/>
    <row r="13771" ht="12.75"/>
    <row r="13772" ht="12.75"/>
    <row r="13773" ht="12.75"/>
    <row r="13774" ht="12.75"/>
    <row r="13775" ht="12.75"/>
    <row r="13776" ht="12.75"/>
    <row r="13777" ht="12.75"/>
    <row r="13778" ht="12.75"/>
    <row r="13779" ht="12.75"/>
    <row r="13780" ht="12.75"/>
    <row r="13781" ht="12.75"/>
    <row r="13782" ht="12.75"/>
    <row r="13783" ht="12.75"/>
    <row r="13784" ht="12.75"/>
    <row r="13785" ht="12.75"/>
    <row r="13786" ht="12.75"/>
    <row r="13787" ht="12.75"/>
    <row r="13788" ht="12.75"/>
    <row r="13789" ht="12.75"/>
    <row r="13790" ht="12.75"/>
    <row r="13791" ht="12.75"/>
    <row r="13792" ht="12.75"/>
    <row r="13793" ht="12.75"/>
    <row r="13794" ht="12.75"/>
    <row r="13795" ht="12.75"/>
    <row r="13796" ht="12.75"/>
    <row r="13797" ht="12.75"/>
    <row r="13798" ht="12.75"/>
    <row r="13799" ht="12.75"/>
    <row r="13800" ht="12.75"/>
    <row r="13801" ht="12.75"/>
    <row r="13802" ht="12.75"/>
    <row r="13803" ht="12.75"/>
    <row r="13804" ht="12.75"/>
    <row r="13805" ht="12.75"/>
    <row r="13806" ht="12.75"/>
    <row r="13807" ht="12.75"/>
    <row r="13808" ht="12.75"/>
    <row r="13809" ht="12.75"/>
    <row r="13810" ht="12.75"/>
    <row r="13811" ht="12.75"/>
    <row r="13812" ht="12.75"/>
    <row r="13813" ht="12.75"/>
    <row r="13814" ht="12.75"/>
    <row r="13815" ht="12.75"/>
    <row r="13816" ht="12.75"/>
    <row r="13817" ht="12.75"/>
    <row r="13818" ht="12.75"/>
    <row r="13819" ht="12.75"/>
    <row r="13820" ht="12.75"/>
    <row r="13821" ht="12.75"/>
    <row r="13822" ht="12.75"/>
    <row r="13823" ht="12.75"/>
    <row r="13824" ht="12.75"/>
    <row r="13825" ht="12.75"/>
    <row r="13826" ht="12.75"/>
    <row r="13827" ht="12.75"/>
    <row r="13828" ht="12.75"/>
    <row r="13829" ht="12.75"/>
    <row r="13830" ht="12.75"/>
    <row r="13831" ht="12.75"/>
    <row r="13832" ht="12.75"/>
    <row r="13833" ht="12.75"/>
    <row r="13834" ht="12.75"/>
    <row r="13835" ht="12.75"/>
    <row r="13836" ht="12.75"/>
    <row r="13837" ht="12.75"/>
    <row r="13838" ht="12.75"/>
    <row r="13839" ht="12.75"/>
    <row r="13840" ht="12.75"/>
    <row r="13841" ht="12.75"/>
    <row r="13842" ht="12.75"/>
    <row r="13843" ht="12.75"/>
    <row r="13844" ht="12.75"/>
    <row r="13845" ht="12.75"/>
    <row r="13846" ht="12.75"/>
    <row r="13847" ht="12.75"/>
    <row r="13848" ht="12.75"/>
    <row r="13849" ht="12.75"/>
    <row r="13850" ht="12.75"/>
    <row r="13851" ht="12.75"/>
    <row r="13852" ht="12.75"/>
    <row r="13853" ht="12.75"/>
    <row r="13854" ht="12.75"/>
    <row r="13855" ht="12.75"/>
    <row r="13856" ht="12.75"/>
    <row r="13857" ht="12.75"/>
    <row r="13858" ht="12.75"/>
    <row r="13859" ht="12.75"/>
    <row r="13860" ht="12.75"/>
    <row r="13861" ht="12.75"/>
    <row r="13862" ht="12.75"/>
    <row r="13863" ht="12.75"/>
    <row r="13864" ht="12.75"/>
    <row r="13865" ht="12.75"/>
    <row r="13866" ht="12.75"/>
    <row r="13867" ht="12.75"/>
    <row r="13868" ht="12.75"/>
    <row r="13869" ht="12.75"/>
    <row r="13870" ht="12.75"/>
    <row r="13871" ht="12.75"/>
    <row r="13872" ht="12.75"/>
    <row r="13873" ht="12.75"/>
    <row r="13874" ht="12.75"/>
    <row r="13875" ht="12.75"/>
    <row r="13876" ht="12.75"/>
    <row r="13877" ht="12.75"/>
    <row r="13878" ht="12.75"/>
    <row r="13879" ht="12.75"/>
    <row r="13880" ht="12.75"/>
    <row r="13881" ht="12.75"/>
    <row r="13882" ht="12.75"/>
    <row r="13883" ht="12.75"/>
    <row r="13884" ht="12.75"/>
    <row r="13885" ht="12.75"/>
    <row r="13886" ht="12.75"/>
    <row r="13887" ht="12.75"/>
    <row r="13888" ht="12.75"/>
    <row r="13889" ht="12.75"/>
    <row r="13890" ht="12.75"/>
    <row r="13891" ht="12.75"/>
    <row r="13892" ht="12.75"/>
    <row r="13893" ht="12.75"/>
    <row r="13894" ht="12.75"/>
    <row r="13895" ht="12.75"/>
    <row r="13896" ht="12.75"/>
    <row r="13897" ht="12.75"/>
    <row r="13898" ht="12.75"/>
    <row r="13899" ht="12.75"/>
    <row r="13900" ht="12.75"/>
    <row r="13901" ht="12.75"/>
    <row r="13902" ht="12.75"/>
    <row r="13903" ht="12.75"/>
    <row r="13904" ht="12.75"/>
    <row r="13905" ht="12.75"/>
    <row r="13906" ht="12.75"/>
    <row r="13907" ht="12.75"/>
    <row r="13908" ht="12.75"/>
    <row r="13909" ht="12.75"/>
    <row r="13910" ht="12.75"/>
    <row r="13911" ht="12.75"/>
    <row r="13912" ht="12.75"/>
    <row r="13913" ht="12.75"/>
    <row r="13914" ht="12.75"/>
    <row r="13915" ht="12.75"/>
    <row r="13916" ht="12.75"/>
    <row r="13917" ht="12.75"/>
    <row r="13918" ht="12.75"/>
    <row r="13919" ht="12.75"/>
    <row r="13920" ht="12.75"/>
    <row r="13921" ht="12.75"/>
    <row r="13922" ht="12.75"/>
    <row r="13923" ht="12.75"/>
    <row r="13924" ht="12.75"/>
    <row r="13925" ht="12.75"/>
    <row r="13926" ht="12.75"/>
    <row r="13927" ht="12.75"/>
    <row r="13928" ht="12.75"/>
    <row r="13929" ht="12.75"/>
    <row r="13930" ht="12.75"/>
    <row r="13931" ht="12.75"/>
    <row r="13932" ht="12.75"/>
    <row r="13933" ht="12.75"/>
    <row r="13934" ht="12.75"/>
    <row r="13935" ht="12.75"/>
    <row r="13936" ht="12.75"/>
    <row r="13937" ht="12.75"/>
    <row r="13938" ht="12.75"/>
    <row r="13939" ht="12.75"/>
    <row r="13940" ht="12.75"/>
    <row r="13941" ht="12.75"/>
    <row r="13942" ht="12.75"/>
    <row r="13943" ht="12.75"/>
    <row r="13944" ht="12.75"/>
    <row r="13945" ht="12.75"/>
    <row r="13946" ht="12.75"/>
    <row r="13947" ht="12.75"/>
    <row r="13948" ht="12.75"/>
    <row r="13949" ht="12.75"/>
    <row r="13950" ht="12.75"/>
    <row r="13951" ht="12.75"/>
    <row r="13952" ht="12.75"/>
    <row r="13953" ht="12.75"/>
    <row r="13954" ht="12.75"/>
    <row r="13955" ht="12.75"/>
    <row r="13956" ht="12.75"/>
    <row r="13957" ht="12.75"/>
    <row r="13958" ht="12.75"/>
    <row r="13959" ht="12.75"/>
    <row r="13960" ht="12.75"/>
    <row r="13961" ht="12.75"/>
    <row r="13962" ht="12.75"/>
    <row r="13963" ht="12.75"/>
    <row r="13964" ht="12.75"/>
    <row r="13965" ht="12.75"/>
    <row r="13966" ht="12.75"/>
    <row r="13967" ht="12.75"/>
    <row r="13968" ht="12.75"/>
    <row r="13969" ht="12.75"/>
    <row r="13970" ht="12.75"/>
    <row r="13971" ht="12.75"/>
    <row r="13972" ht="12.75"/>
    <row r="13973" ht="12.75"/>
    <row r="13974" ht="12.75"/>
    <row r="13975" ht="12.75"/>
    <row r="13976" ht="12.75"/>
    <row r="13977" ht="12.75"/>
    <row r="13978" ht="12.75"/>
    <row r="13979" ht="12.75"/>
    <row r="13980" ht="12.75"/>
    <row r="13981" ht="12.75"/>
    <row r="13982" ht="12.75"/>
    <row r="13983" ht="12.75"/>
    <row r="13984" ht="12.75"/>
    <row r="13985" ht="12.75"/>
    <row r="13986" ht="12.75"/>
    <row r="13987" ht="12.75"/>
    <row r="13988" ht="12.75"/>
    <row r="13989" ht="12.75"/>
    <row r="13990" ht="12.75"/>
    <row r="13991" ht="12.75"/>
    <row r="13992" ht="12.75"/>
    <row r="13993" ht="12.75"/>
    <row r="13994" ht="12.75"/>
    <row r="13995" ht="12.75"/>
    <row r="13996" ht="12.75"/>
    <row r="13997" ht="12.75"/>
    <row r="13998" ht="12.75"/>
    <row r="13999" ht="12.75"/>
    <row r="14000" ht="12.75"/>
    <row r="14001" ht="12.75"/>
    <row r="14002" ht="12.75"/>
    <row r="14003" ht="12.75"/>
    <row r="14004" ht="12.75"/>
    <row r="14005" ht="12.75"/>
    <row r="14006" ht="12.75"/>
    <row r="14007" ht="12.75"/>
    <row r="14008" ht="12.75"/>
    <row r="14009" ht="12.75"/>
    <row r="14010" ht="12.75"/>
    <row r="14011" ht="12.75"/>
    <row r="14012" ht="12.75"/>
    <row r="14013" ht="12.75"/>
    <row r="14014" ht="12.75"/>
    <row r="14015" ht="12.75"/>
    <row r="14016" ht="12.75"/>
    <row r="14017" ht="12.75"/>
    <row r="14018" ht="12.75"/>
    <row r="14019" ht="12.75"/>
    <row r="14020" ht="12.75"/>
    <row r="14021" ht="12.75"/>
    <row r="14022" ht="12.75"/>
    <row r="14023" ht="12.75"/>
    <row r="14024" ht="12.75"/>
    <row r="14025" ht="12.75"/>
    <row r="14026" ht="12.75"/>
    <row r="14027" ht="12.75"/>
    <row r="14028" ht="12.75"/>
    <row r="14029" ht="12.75"/>
    <row r="14030" ht="12.75"/>
    <row r="14031" ht="12.75"/>
    <row r="14032" ht="12.75"/>
    <row r="14033" ht="12.75"/>
    <row r="14034" ht="12.75"/>
    <row r="14035" ht="12.75"/>
    <row r="14036" ht="12.75"/>
    <row r="14037" ht="12.75"/>
    <row r="14038" ht="12.75"/>
    <row r="14039" ht="12.75"/>
    <row r="14040" ht="12.75"/>
    <row r="14041" ht="12.75"/>
    <row r="14042" ht="12.75"/>
    <row r="14043" ht="12.75"/>
    <row r="14044" ht="12.75"/>
    <row r="14045" ht="12.75"/>
    <row r="14046" ht="12.75"/>
    <row r="14047" ht="12.75"/>
    <row r="14048" ht="12.75"/>
    <row r="14049" ht="12.75"/>
    <row r="14050" ht="12.75"/>
    <row r="14051" ht="12.75"/>
    <row r="14052" ht="12.75"/>
    <row r="14053" ht="12.75"/>
    <row r="14054" ht="12.75"/>
    <row r="14055" ht="12.75"/>
    <row r="14056" ht="12.75"/>
    <row r="14057" ht="12.75"/>
    <row r="14058" ht="12.75"/>
    <row r="14059" ht="12.75"/>
    <row r="14060" ht="12.75"/>
    <row r="14061" ht="12.75"/>
    <row r="14062" ht="12.75"/>
    <row r="14063" ht="12.75"/>
    <row r="14064" ht="12.75"/>
    <row r="14065" ht="12.75"/>
    <row r="14066" ht="12.75"/>
    <row r="14067" ht="12.75"/>
    <row r="14068" ht="12.75"/>
    <row r="14069" ht="12.75"/>
    <row r="14070" ht="12.75"/>
    <row r="14071" ht="12.75"/>
    <row r="14072" ht="12.75"/>
    <row r="14073" ht="12.75"/>
    <row r="14074" ht="12.75"/>
    <row r="14075" ht="12.75"/>
    <row r="14076" ht="12.75"/>
    <row r="14077" ht="12.75"/>
    <row r="14078" ht="12.75"/>
    <row r="14079" ht="12.75"/>
    <row r="14080" ht="12.75"/>
    <row r="14081" ht="12.75"/>
    <row r="14082" ht="12.75"/>
    <row r="14083" ht="12.75"/>
    <row r="14084" ht="12.75"/>
    <row r="14085" ht="12.75"/>
    <row r="14086" ht="12.75"/>
    <row r="14087" ht="12.75"/>
    <row r="14088" ht="12.75"/>
    <row r="14089" ht="12.75"/>
    <row r="14090" ht="12.75"/>
    <row r="14091" ht="12.75"/>
    <row r="14092" ht="12.75"/>
    <row r="14093" ht="12.75"/>
    <row r="14094" ht="12.75"/>
    <row r="14095" ht="12.75"/>
    <row r="14096" ht="12.75"/>
    <row r="14097" ht="12.75"/>
    <row r="14098" ht="12.75"/>
    <row r="14099" ht="12.75"/>
    <row r="14100" ht="12.75"/>
    <row r="14101" ht="12.75"/>
    <row r="14102" ht="12.75"/>
    <row r="14103" ht="12.75"/>
    <row r="14104" ht="12.75"/>
    <row r="14105" ht="12.75"/>
    <row r="14106" ht="12.75"/>
    <row r="14107" ht="12.75"/>
    <row r="14108" ht="12.75"/>
    <row r="14109" ht="12.75"/>
    <row r="14110" ht="12.75"/>
    <row r="14111" ht="12.75"/>
    <row r="14112" ht="12.75"/>
    <row r="14113" ht="12.75"/>
    <row r="14114" ht="12.75"/>
    <row r="14115" ht="12.75"/>
    <row r="14116" ht="12.75"/>
    <row r="14117" ht="12.75"/>
    <row r="14118" ht="12.75"/>
    <row r="14119" ht="12.75"/>
    <row r="14120" ht="12.75"/>
    <row r="14121" ht="12.75"/>
    <row r="14122" ht="12.75"/>
    <row r="14123" ht="12.75"/>
    <row r="14124" ht="12.75"/>
    <row r="14125" ht="12.75"/>
    <row r="14126" ht="12.75"/>
    <row r="14127" ht="12.75"/>
    <row r="14128" ht="12.75"/>
    <row r="14129" ht="12.75"/>
    <row r="14130" ht="12.75"/>
    <row r="14131" ht="12.75"/>
    <row r="14132" ht="12.75"/>
    <row r="14133" ht="12.75"/>
    <row r="14134" ht="12.75"/>
    <row r="14135" ht="12.75"/>
    <row r="14136" ht="12.75"/>
    <row r="14137" ht="12.75"/>
    <row r="14138" ht="12.75"/>
    <row r="14139" ht="12.75"/>
    <row r="14140" ht="12.75"/>
    <row r="14141" ht="12.75"/>
    <row r="14142" ht="12.75"/>
    <row r="14143" ht="12.75"/>
    <row r="14144" ht="12.75"/>
    <row r="14145" ht="12.75"/>
    <row r="14146" ht="12.75"/>
    <row r="14147" ht="12.75"/>
    <row r="14148" ht="12.75"/>
    <row r="14149" ht="12.75"/>
    <row r="14150" ht="12.75"/>
    <row r="14151" ht="12.75"/>
    <row r="14152" ht="12.75"/>
    <row r="14153" ht="12.75"/>
    <row r="14154" ht="12.75"/>
    <row r="14155" ht="12.75"/>
    <row r="14156" ht="12.75"/>
    <row r="14157" ht="12.75"/>
    <row r="14158" ht="12.75"/>
    <row r="14159" ht="12.75"/>
    <row r="14160" ht="12.75"/>
    <row r="14161" ht="12.75"/>
    <row r="14162" ht="12.75"/>
    <row r="14163" ht="12.75"/>
    <row r="14164" ht="12.75"/>
    <row r="14165" ht="12.75"/>
    <row r="14166" ht="12.75"/>
    <row r="14167" ht="12.75"/>
    <row r="14168" ht="12.75"/>
    <row r="14169" ht="12.75"/>
    <row r="14170" ht="12.75"/>
    <row r="14171" ht="12.75"/>
    <row r="14172" ht="12.75"/>
    <row r="14173" ht="12.75"/>
    <row r="14174" ht="12.75"/>
    <row r="14175" ht="12.75"/>
    <row r="14176" ht="12.75"/>
    <row r="14177" ht="12.75"/>
    <row r="14178" ht="12.75"/>
    <row r="14179" ht="12.75"/>
    <row r="14180" ht="12.75"/>
    <row r="14181" ht="12.75"/>
    <row r="14182" ht="12.75"/>
    <row r="14183" ht="12.75"/>
    <row r="14184" ht="12.75"/>
    <row r="14185" ht="12.75"/>
    <row r="14186" ht="12.75"/>
    <row r="14187" ht="12.75"/>
    <row r="14188" ht="12.75"/>
    <row r="14189" ht="12.75"/>
    <row r="14190" ht="12.75"/>
    <row r="14191" ht="12.75"/>
    <row r="14192" ht="12.75"/>
    <row r="14193" ht="12.75"/>
    <row r="14194" ht="12.75"/>
    <row r="14195" ht="12.75"/>
    <row r="14196" ht="12.75"/>
    <row r="14197" ht="12.75"/>
    <row r="14198" ht="12.75"/>
    <row r="14199" ht="12.75"/>
    <row r="14200" ht="12.75"/>
    <row r="14201" ht="12.75"/>
    <row r="14202" ht="12.75"/>
    <row r="14203" ht="12.75"/>
    <row r="14204" ht="12.75"/>
    <row r="14205" ht="12.75"/>
    <row r="14206" ht="12.75"/>
    <row r="14207" ht="12.75"/>
    <row r="14208" ht="12.75"/>
    <row r="14209" ht="12.75"/>
    <row r="14210" ht="12.75"/>
    <row r="14211" ht="12.75"/>
    <row r="14212" ht="12.75"/>
    <row r="14213" ht="12.75"/>
    <row r="14214" ht="12.75"/>
    <row r="14215" ht="12.75"/>
    <row r="14216" ht="12.75"/>
    <row r="14217" ht="12.75"/>
    <row r="14218" ht="12.75"/>
    <row r="14219" ht="12.75"/>
    <row r="14220" ht="12.75"/>
    <row r="14221" ht="12.75"/>
    <row r="14222" ht="12.75"/>
    <row r="14223" ht="12.75"/>
    <row r="14224" ht="12.75"/>
    <row r="14225" ht="12.75"/>
    <row r="14226" ht="12.75"/>
    <row r="14227" ht="12.75"/>
    <row r="14228" ht="12.75"/>
    <row r="14229" ht="12.75"/>
    <row r="14230" ht="12.75"/>
    <row r="14231" ht="12.75"/>
    <row r="14232" ht="12.75"/>
    <row r="14233" ht="12.75"/>
    <row r="14234" ht="12.75"/>
    <row r="14235" ht="12.75"/>
    <row r="14236" ht="12.75"/>
    <row r="14237" ht="12.75"/>
    <row r="14238" ht="12.75"/>
    <row r="14239" ht="12.75"/>
    <row r="14240" ht="12.75"/>
    <row r="14241" ht="12.75"/>
    <row r="14242" ht="12.75"/>
    <row r="14243" ht="12.75"/>
    <row r="14244" ht="12.75"/>
    <row r="14245" ht="12.75"/>
    <row r="14246" ht="12.75"/>
    <row r="14247" ht="12.75"/>
    <row r="14248" ht="12.75"/>
    <row r="14249" ht="12.75"/>
    <row r="14250" ht="12.75"/>
    <row r="14251" ht="12.75"/>
    <row r="14252" ht="12.75"/>
    <row r="14253" ht="12.75"/>
    <row r="14254" ht="12.75"/>
    <row r="14255" ht="12.75"/>
    <row r="14256" ht="12.75"/>
    <row r="14257" ht="12.75"/>
    <row r="14258" ht="12.75"/>
    <row r="14259" ht="12.75"/>
    <row r="14260" ht="12.75"/>
    <row r="14261" ht="12.75"/>
    <row r="14262" ht="12.75"/>
    <row r="14263" ht="12.75"/>
    <row r="14264" ht="12.75"/>
    <row r="14265" ht="12.75"/>
    <row r="14266" ht="12.75"/>
    <row r="14267" ht="12.75"/>
    <row r="14268" ht="12.75"/>
    <row r="14269" ht="12.75"/>
    <row r="14270" ht="12.75"/>
    <row r="14271" ht="12.75"/>
    <row r="14272" ht="12.75"/>
    <row r="14273" ht="12.75"/>
    <row r="14274" ht="12.75"/>
    <row r="14275" ht="12.75"/>
    <row r="14276" ht="12.75"/>
    <row r="14277" ht="12.75"/>
    <row r="14278" ht="12.75"/>
    <row r="14279" ht="12.75"/>
    <row r="14280" ht="12.75"/>
    <row r="14281" ht="12.75"/>
    <row r="14282" ht="12.75"/>
    <row r="14283" ht="12.75"/>
    <row r="14284" ht="12.75"/>
    <row r="14285" ht="12.75"/>
    <row r="14286" ht="12.75"/>
    <row r="14287" ht="12.75"/>
    <row r="14288" ht="12.75"/>
    <row r="14289" ht="12.75"/>
    <row r="14290" ht="12.75"/>
    <row r="14291" ht="12.75"/>
    <row r="14292" ht="12.75"/>
    <row r="14293" ht="12.75"/>
    <row r="14294" ht="12.75"/>
    <row r="14295" ht="12.75"/>
    <row r="14296" ht="12.75"/>
    <row r="14297" ht="12.75"/>
    <row r="14298" ht="12.75"/>
    <row r="14299" ht="12.75"/>
    <row r="14300" ht="12.75"/>
    <row r="14301" ht="12.75"/>
    <row r="14302" ht="12.75"/>
    <row r="14303" ht="12.75"/>
    <row r="14304" ht="12.75"/>
    <row r="14305" ht="12.75"/>
    <row r="14306" ht="12.75"/>
    <row r="14307" ht="12.75"/>
    <row r="14308" ht="12.75"/>
    <row r="14309" ht="12.75"/>
    <row r="14310" ht="12.75"/>
    <row r="14311" ht="12.75"/>
    <row r="14312" ht="12.75"/>
    <row r="14313" ht="12.75"/>
    <row r="14314" ht="12.75"/>
    <row r="14315" ht="12.75"/>
    <row r="14316" ht="12.75"/>
    <row r="14317" ht="12.75"/>
    <row r="14318" ht="12.75"/>
    <row r="14319" ht="12.75"/>
    <row r="14320" ht="12.75"/>
    <row r="14321" ht="12.75"/>
    <row r="14322" ht="12.75"/>
    <row r="14323" ht="12.75"/>
    <row r="14324" ht="12.75"/>
    <row r="14325" ht="12.75"/>
    <row r="14326" ht="12.75"/>
    <row r="14327" ht="12.75"/>
    <row r="14328" ht="12.75"/>
    <row r="14329" ht="12.75"/>
    <row r="14330" ht="12.75"/>
    <row r="14331" ht="12.75"/>
    <row r="14332" ht="12.75"/>
    <row r="14333" ht="12.75"/>
    <row r="14334" ht="12.75"/>
    <row r="14335" ht="12.75"/>
    <row r="14336" ht="12.75"/>
    <row r="14337" ht="12.75"/>
    <row r="14338" ht="12.75"/>
    <row r="14339" ht="12.75"/>
    <row r="14340" ht="12.75"/>
    <row r="14341" ht="12.75"/>
    <row r="14342" ht="12.75"/>
    <row r="14343" ht="12.75"/>
    <row r="14344" ht="12.75"/>
    <row r="14345" ht="12.75"/>
    <row r="14346" ht="12.75"/>
    <row r="14347" ht="12.75"/>
    <row r="14348" ht="12.75"/>
    <row r="14349" ht="12.75"/>
    <row r="14350" ht="12.75"/>
    <row r="14351" ht="12.75"/>
    <row r="14352" ht="12.75"/>
    <row r="14353" ht="12.75"/>
    <row r="14354" ht="12.75"/>
    <row r="14355" ht="12.75"/>
    <row r="14356" ht="12.75"/>
    <row r="14357" ht="12.75"/>
    <row r="14358" ht="12.75"/>
    <row r="14359" ht="12.75"/>
    <row r="14360" ht="12.75"/>
    <row r="14361" ht="12.75"/>
    <row r="14362" ht="12.75"/>
    <row r="14363" ht="12.75"/>
    <row r="14364" ht="12.75"/>
    <row r="14365" ht="12.75"/>
    <row r="14366" ht="12.75"/>
    <row r="14367" ht="12.75"/>
    <row r="14368" ht="12.75"/>
    <row r="14369" ht="12.75"/>
    <row r="14370" ht="12.75"/>
    <row r="14371" ht="12.75"/>
    <row r="14372" ht="12.75"/>
    <row r="14373" ht="12.75"/>
    <row r="14374" ht="12.75"/>
    <row r="14375" ht="12.75"/>
    <row r="14376" ht="12.75"/>
    <row r="14377" ht="12.75"/>
    <row r="14378" ht="12.75"/>
    <row r="14379" ht="12.75"/>
    <row r="14380" ht="12.75"/>
    <row r="14381" ht="12.75"/>
    <row r="14382" ht="12.75"/>
    <row r="14383" ht="12.75"/>
    <row r="14384" ht="12.75"/>
    <row r="14385" ht="12.75"/>
    <row r="14386" ht="12.75"/>
    <row r="14387" ht="12.75"/>
    <row r="14388" ht="12.75"/>
    <row r="14389" ht="12.75"/>
    <row r="14390" ht="12.75"/>
    <row r="14391" ht="12.75"/>
    <row r="14392" ht="12.75"/>
    <row r="14393" ht="12.75"/>
    <row r="14394" ht="12.75"/>
    <row r="14395" ht="12.75"/>
    <row r="14396" ht="12.75"/>
    <row r="14397" ht="12.75"/>
    <row r="14398" ht="12.75"/>
    <row r="14399" ht="12.75"/>
    <row r="14400" ht="12.75"/>
    <row r="14401" ht="12.75"/>
    <row r="14402" ht="12.75"/>
    <row r="14403" ht="12.75"/>
    <row r="14404" ht="12.75"/>
    <row r="14405" ht="12.75"/>
    <row r="14406" ht="12.75"/>
    <row r="14407" ht="12.75"/>
    <row r="14408" ht="12.75"/>
    <row r="14409" ht="12.75"/>
    <row r="14410" ht="12.75"/>
    <row r="14411" ht="12.75"/>
    <row r="14412" ht="12.75"/>
    <row r="14413" ht="12.75"/>
    <row r="14414" ht="12.75"/>
    <row r="14415" ht="12.75"/>
    <row r="14416" ht="12.75"/>
    <row r="14417" ht="12.75"/>
    <row r="14418" ht="12.75"/>
    <row r="14419" ht="12.75"/>
    <row r="14420" ht="12.75"/>
    <row r="14421" ht="12.75"/>
    <row r="14422" ht="12.75"/>
    <row r="14423" ht="12.75"/>
    <row r="14424" ht="12.75"/>
    <row r="14425" ht="12.75"/>
    <row r="14426" ht="12.75"/>
    <row r="14427" ht="12.75"/>
    <row r="14428" ht="12.75"/>
    <row r="14429" ht="12.75"/>
    <row r="14430" ht="12.75"/>
    <row r="14431" ht="12.75"/>
    <row r="14432" ht="12.75"/>
    <row r="14433" ht="12.75"/>
    <row r="14434" ht="12.75"/>
    <row r="14435" ht="12.75"/>
    <row r="14436" ht="12.75"/>
    <row r="14437" ht="12.75"/>
    <row r="14438" ht="12.75"/>
    <row r="14439" ht="12.75"/>
    <row r="14440" ht="12.75"/>
    <row r="14441" ht="12.75"/>
    <row r="14442" ht="12.75"/>
    <row r="14443" ht="12.75"/>
    <row r="14444" ht="12.75"/>
    <row r="14445" ht="12.75"/>
    <row r="14446" ht="12.75"/>
    <row r="14447" ht="12.75"/>
    <row r="14448" ht="12.75"/>
    <row r="14449" ht="12.75"/>
    <row r="14450" ht="12.75"/>
    <row r="14451" ht="12.75"/>
    <row r="14452" ht="12.75"/>
    <row r="14453" ht="12.75"/>
    <row r="14454" ht="12.75"/>
    <row r="14455" ht="12.75"/>
    <row r="14456" ht="12.75"/>
    <row r="14457" ht="12.75"/>
    <row r="14458" ht="12.75"/>
    <row r="14459" ht="12.75"/>
    <row r="14460" ht="12.75"/>
    <row r="14461" ht="12.75"/>
    <row r="14462" ht="12.75"/>
    <row r="14463" ht="12.75"/>
    <row r="14464" ht="12.75"/>
    <row r="14465" ht="12.75"/>
    <row r="14466" ht="12.75"/>
    <row r="14467" ht="12.75"/>
    <row r="14468" ht="12.75"/>
    <row r="14469" ht="12.75"/>
    <row r="14470" ht="12.75"/>
    <row r="14471" ht="12.75"/>
    <row r="14472" ht="12.75"/>
    <row r="14473" ht="12.75"/>
    <row r="14474" ht="12.75"/>
    <row r="14475" ht="12.75"/>
    <row r="14476" ht="12.75"/>
    <row r="14477" ht="12.75"/>
    <row r="14478" ht="12.75"/>
    <row r="14479" ht="12.75"/>
    <row r="14480" ht="12.75"/>
    <row r="14481" ht="12.75"/>
    <row r="14482" ht="12.75"/>
    <row r="14483" ht="12.75"/>
    <row r="14484" ht="12.75"/>
    <row r="14485" ht="12.75"/>
    <row r="14486" ht="12.75"/>
    <row r="14487" ht="12.75"/>
    <row r="14488" ht="12.75"/>
    <row r="14489" ht="12.75"/>
    <row r="14490" ht="12.75"/>
    <row r="14491" ht="12.75"/>
    <row r="14492" ht="12.75"/>
    <row r="14493" ht="12.75"/>
    <row r="14494" ht="12.75"/>
    <row r="14495" ht="12.75"/>
    <row r="14496" ht="12.75"/>
    <row r="14497" ht="12.75"/>
    <row r="14498" ht="12.75"/>
    <row r="14499" ht="12.75"/>
    <row r="14500" ht="12.75"/>
    <row r="14501" ht="12.75"/>
    <row r="14502" ht="12.75"/>
    <row r="14503" ht="12.75"/>
    <row r="14504" ht="12.75"/>
    <row r="14505" ht="12.75"/>
    <row r="14506" ht="12.75"/>
    <row r="14507" ht="12.75"/>
    <row r="14508" ht="12.75"/>
    <row r="14509" ht="12.75"/>
    <row r="14510" ht="12.75"/>
    <row r="14511" ht="12.75"/>
    <row r="14512" ht="12.75"/>
    <row r="14513" ht="12.75"/>
    <row r="14514" ht="12.75"/>
    <row r="14515" ht="12.75"/>
    <row r="14516" ht="12.75"/>
    <row r="14517" ht="12.75"/>
    <row r="14518" ht="12.75"/>
    <row r="14519" ht="12.75"/>
    <row r="14520" ht="12.75"/>
    <row r="14521" ht="12.75"/>
    <row r="14522" ht="12.75"/>
    <row r="14523" ht="12.75"/>
    <row r="14524" ht="12.75"/>
    <row r="14525" ht="12.75"/>
    <row r="14526" ht="12.75"/>
    <row r="14527" ht="12.75"/>
    <row r="14528" ht="12.75"/>
    <row r="14529" ht="12.75"/>
    <row r="14530" ht="12.75"/>
    <row r="14531" ht="12.75"/>
    <row r="14532" ht="12.75"/>
    <row r="14533" ht="12.75"/>
    <row r="14534" ht="12.75"/>
    <row r="14535" ht="12.75"/>
    <row r="14536" ht="12.75"/>
    <row r="14537" ht="12.75"/>
    <row r="14538" ht="12.75"/>
    <row r="14539" ht="12.75"/>
    <row r="14540" ht="12.75"/>
    <row r="14541" ht="12.75"/>
    <row r="14542" ht="12.75"/>
    <row r="14543" ht="12.75"/>
    <row r="14544" ht="12.75"/>
    <row r="14545" ht="12.75"/>
    <row r="14546" ht="12.75"/>
    <row r="14547" ht="12.75"/>
    <row r="14548" ht="12.75"/>
    <row r="14549" ht="12.75"/>
    <row r="14550" ht="12.75"/>
    <row r="14551" ht="12.75"/>
    <row r="14552" ht="12.75"/>
    <row r="14553" ht="12.75"/>
    <row r="14554" ht="12.75"/>
    <row r="14555" ht="12.75"/>
    <row r="14556" ht="12.75"/>
    <row r="14557" ht="12.75"/>
    <row r="14558" ht="12.75"/>
    <row r="14559" ht="12.75"/>
    <row r="14560" ht="12.75"/>
    <row r="14561" ht="12.75"/>
    <row r="14562" ht="12.75"/>
    <row r="14563" ht="12.75"/>
    <row r="14564" ht="12.75"/>
    <row r="14565" ht="12.75"/>
    <row r="14566" ht="12.75"/>
    <row r="14567" ht="12.75"/>
    <row r="14568" ht="12.75"/>
    <row r="14569" ht="12.75"/>
    <row r="14570" ht="12.75"/>
    <row r="14571" ht="12.75"/>
    <row r="14572" ht="12.75"/>
    <row r="14573" ht="12.75"/>
    <row r="14574" ht="12.75"/>
    <row r="14575" ht="12.75"/>
    <row r="14576" ht="12.75"/>
    <row r="14577" ht="12.75"/>
    <row r="14578" ht="12.75"/>
    <row r="14579" ht="12.75"/>
    <row r="14580" ht="12.75"/>
    <row r="14581" ht="12.75"/>
    <row r="14582" ht="12.75"/>
    <row r="14583" ht="12.75"/>
    <row r="14584" ht="12.75"/>
    <row r="14585" ht="12.75"/>
    <row r="14586" ht="12.75"/>
    <row r="14587" ht="12.75"/>
    <row r="14588" ht="12.75"/>
    <row r="14589" ht="12.75"/>
    <row r="14590" ht="12.75"/>
    <row r="14591" ht="12.75"/>
    <row r="14592" ht="12.75"/>
    <row r="14593" ht="12.75"/>
    <row r="14594" ht="12.75"/>
    <row r="14595" ht="12.75"/>
    <row r="14596" ht="12.75"/>
    <row r="14597" ht="12.75"/>
    <row r="14598" ht="12.75"/>
    <row r="14599" ht="12.75"/>
    <row r="14600" ht="12.75"/>
    <row r="14601" ht="12.75"/>
    <row r="14602" ht="12.75"/>
    <row r="14603" ht="12.75"/>
    <row r="14604" ht="12.75"/>
    <row r="14605" ht="12.75"/>
    <row r="14606" ht="12.75"/>
    <row r="14607" ht="12.75"/>
    <row r="14608" ht="12.75"/>
    <row r="14609" ht="12.75"/>
    <row r="14610" ht="12.75"/>
    <row r="14611" ht="12.75"/>
    <row r="14612" ht="12.75"/>
    <row r="14613" ht="12.75"/>
    <row r="14614" ht="12.75"/>
    <row r="14615" ht="12.75"/>
    <row r="14616" ht="12.75"/>
    <row r="14617" ht="12.75"/>
    <row r="14618" ht="12.75"/>
    <row r="14619" ht="12.75"/>
    <row r="14620" ht="12.75"/>
    <row r="14621" ht="12.75"/>
    <row r="14622" ht="12.75"/>
    <row r="14623" ht="12.75"/>
    <row r="14624" ht="12.75"/>
    <row r="14625" ht="12.75"/>
    <row r="14626" ht="12.75"/>
    <row r="14627" ht="12.75"/>
    <row r="14628" ht="12.75"/>
    <row r="14629" ht="12.75"/>
    <row r="14630" ht="12.75"/>
    <row r="14631" ht="12.75"/>
    <row r="14632" ht="12.75"/>
    <row r="14633" ht="12.75"/>
    <row r="14634" ht="12.75"/>
    <row r="14635" ht="12.75"/>
    <row r="14636" ht="12.75"/>
    <row r="14637" ht="12.75"/>
    <row r="14638" ht="12.75"/>
    <row r="14639" ht="12.75"/>
    <row r="14640" ht="12.75"/>
    <row r="14641" ht="12.75"/>
    <row r="14642" ht="12.75"/>
    <row r="14643" ht="12.75"/>
    <row r="14644" ht="12.75"/>
    <row r="14645" ht="12.75"/>
    <row r="14646" ht="12.75"/>
    <row r="14647" ht="12.75"/>
    <row r="14648" ht="12.75"/>
    <row r="14649" ht="12.75"/>
    <row r="14650" ht="12.75"/>
    <row r="14651" ht="12.75"/>
    <row r="14652" ht="12.75"/>
    <row r="14653" ht="12.75"/>
    <row r="14654" ht="12.75"/>
    <row r="14655" ht="12.75"/>
    <row r="14656" ht="12.75"/>
    <row r="14657" ht="12.75"/>
    <row r="14658" ht="12.75"/>
    <row r="14659" ht="12.75"/>
    <row r="14660" ht="12.75"/>
    <row r="14661" ht="12.75"/>
    <row r="14662" ht="12.75"/>
    <row r="14663" ht="12.75"/>
    <row r="14664" ht="12.75"/>
    <row r="14665" ht="12.75"/>
    <row r="14666" ht="12.75"/>
    <row r="14667" ht="12.75"/>
    <row r="14668" ht="12.75"/>
    <row r="14669" ht="12.75"/>
    <row r="14670" ht="12.75"/>
    <row r="14671" ht="12.75"/>
    <row r="14672" ht="12.75"/>
    <row r="14673" ht="12.75"/>
    <row r="14674" ht="12.75"/>
    <row r="14675" ht="12.75"/>
    <row r="14676" ht="12.75"/>
    <row r="14677" ht="12.75"/>
    <row r="14678" ht="12.75"/>
    <row r="14679" ht="12.75"/>
    <row r="14680" ht="12.75"/>
    <row r="14681" ht="12.75"/>
    <row r="14682" ht="12.75"/>
    <row r="14683" ht="12.75"/>
    <row r="14684" ht="12.75"/>
    <row r="14685" ht="12.75"/>
    <row r="14686" ht="12.75"/>
    <row r="14687" ht="12.75"/>
    <row r="14688" ht="12.75"/>
    <row r="14689" ht="12.75"/>
    <row r="14690" ht="12.75"/>
    <row r="14691" ht="12.75"/>
    <row r="14692" ht="12.75"/>
    <row r="14693" ht="12.75"/>
    <row r="14694" ht="12.75"/>
    <row r="14695" ht="12.75"/>
    <row r="14696" ht="12.75"/>
    <row r="14697" ht="12.75"/>
    <row r="14698" ht="12.75"/>
    <row r="14699" ht="12.75"/>
    <row r="14700" ht="12.75"/>
    <row r="14701" ht="12.75"/>
    <row r="14702" ht="12.75"/>
    <row r="14703" ht="12.75"/>
    <row r="14704" ht="12.75"/>
    <row r="14705" ht="12.75"/>
    <row r="14706" ht="12.75"/>
    <row r="14707" ht="12.75"/>
    <row r="14708" ht="12.75"/>
    <row r="14709" ht="12.75"/>
    <row r="14710" ht="12.75"/>
    <row r="14711" ht="12.75"/>
    <row r="14712" ht="12.75"/>
    <row r="14713" ht="12.75"/>
    <row r="14714" ht="12.75"/>
    <row r="14715" ht="12.75"/>
    <row r="14716" ht="12.75"/>
    <row r="14717" ht="12.75"/>
    <row r="14718" ht="12.75"/>
    <row r="14719" ht="12.75"/>
    <row r="14720" ht="12.75"/>
    <row r="14721" ht="12.75"/>
    <row r="14722" ht="12.75"/>
    <row r="14723" ht="12.75"/>
    <row r="14724" ht="12.75"/>
    <row r="14725" ht="12.75"/>
    <row r="14726" ht="12.75"/>
    <row r="14727" ht="12.75"/>
    <row r="14728" ht="12.75"/>
    <row r="14729" ht="12.75"/>
    <row r="14730" ht="12.75"/>
    <row r="14731" ht="12.75"/>
    <row r="14732" ht="12.75"/>
    <row r="14733" ht="12.75"/>
    <row r="14734" ht="12.75"/>
    <row r="14735" ht="12.75"/>
    <row r="14736" ht="12.75"/>
    <row r="14737" ht="12.75"/>
    <row r="14738" ht="12.75"/>
    <row r="14739" ht="12.75"/>
    <row r="14740" ht="12.75"/>
    <row r="14741" ht="12.75"/>
    <row r="14742" ht="12.75"/>
    <row r="14743" ht="12.75"/>
    <row r="14744" ht="12.75"/>
    <row r="14745" ht="12.75"/>
    <row r="14746" ht="12.75"/>
    <row r="14747" ht="12.75"/>
    <row r="14748" ht="12.75"/>
    <row r="14749" ht="12.75"/>
    <row r="14750" ht="12.75"/>
    <row r="14751" ht="12.75"/>
    <row r="14752" ht="12.75"/>
    <row r="14753" ht="12.75"/>
    <row r="14754" ht="12.75"/>
    <row r="14755" ht="12.75"/>
    <row r="14756" ht="12.75"/>
    <row r="14757" ht="12.75"/>
    <row r="14758" ht="12.75"/>
    <row r="14759" ht="12.75"/>
    <row r="14760" ht="12.75"/>
    <row r="14761" ht="12.75"/>
    <row r="14762" ht="12.75"/>
    <row r="14763" ht="12.75"/>
    <row r="14764" ht="12.75"/>
    <row r="14765" ht="12.75"/>
    <row r="14766" ht="12.75"/>
    <row r="14767" ht="12.75"/>
    <row r="14768" ht="12.75"/>
    <row r="14769" ht="12.75"/>
    <row r="14770" ht="12.75"/>
    <row r="14771" ht="12.75"/>
    <row r="14772" ht="12.75"/>
    <row r="14773" ht="12.75"/>
    <row r="14774" ht="12.75"/>
    <row r="14775" ht="12.75"/>
    <row r="14776" ht="12.75"/>
    <row r="14777" ht="12.75"/>
    <row r="14778" ht="12.75"/>
    <row r="14779" ht="12.75"/>
    <row r="14780" ht="12.75"/>
    <row r="14781" ht="12.75"/>
    <row r="14782" ht="12.75"/>
    <row r="14783" ht="12.75"/>
    <row r="14784" ht="12.75"/>
    <row r="14785" ht="12.75"/>
    <row r="14786" ht="12.75"/>
    <row r="14787" ht="12.75"/>
    <row r="14788" ht="12.75"/>
    <row r="14789" ht="12.75"/>
    <row r="14790" ht="12.75"/>
    <row r="14791" ht="12.75"/>
    <row r="14792" ht="12.75"/>
    <row r="14793" ht="12.75"/>
    <row r="14794" ht="12.75"/>
    <row r="14795" ht="12.75"/>
    <row r="14796" ht="12.75"/>
    <row r="14797" ht="12.75"/>
    <row r="14798" ht="12.75"/>
    <row r="14799" ht="12.75"/>
    <row r="14800" ht="12.75"/>
    <row r="14801" ht="12.75"/>
    <row r="14802" ht="12.75"/>
    <row r="14803" ht="12.75"/>
    <row r="14804" ht="12.75"/>
    <row r="14805" ht="12.75"/>
    <row r="14806" ht="12.75"/>
    <row r="14807" ht="12.75"/>
    <row r="14808" ht="12.75"/>
    <row r="14809" ht="12.75"/>
    <row r="14810" ht="12.75"/>
    <row r="14811" ht="12.75"/>
    <row r="14812" ht="12.75"/>
    <row r="14813" ht="12.75"/>
    <row r="14814" ht="12.75"/>
    <row r="14815" ht="12.75"/>
    <row r="14816" ht="12.75"/>
    <row r="14817" ht="12.75"/>
    <row r="14818" ht="12.75"/>
    <row r="14819" ht="12.75"/>
    <row r="14820" ht="12.75"/>
    <row r="14821" ht="12.75"/>
    <row r="14822" ht="12.75"/>
    <row r="14823" ht="12.75"/>
    <row r="14824" ht="12.75"/>
    <row r="14825" ht="12.75"/>
    <row r="14826" ht="12.75"/>
    <row r="14827" ht="12.75"/>
    <row r="14828" ht="12.75"/>
    <row r="14829" ht="12.75"/>
    <row r="14830" ht="12.75"/>
    <row r="14831" ht="12.75"/>
    <row r="14832" ht="12.75"/>
    <row r="14833" ht="12.75"/>
    <row r="14834" ht="12.75"/>
    <row r="14835" ht="12.75"/>
    <row r="14836" ht="12.75"/>
    <row r="14837" ht="12.75"/>
    <row r="14838" ht="12.75"/>
    <row r="14839" ht="12.75"/>
    <row r="14840" ht="12.75"/>
    <row r="14841" ht="12.75"/>
    <row r="14842" ht="12.75"/>
    <row r="14843" ht="12.75"/>
    <row r="14844" ht="12.75"/>
    <row r="14845" ht="12.75"/>
    <row r="14846" ht="12.75"/>
    <row r="14847" ht="12.75"/>
    <row r="14848" ht="12.75"/>
    <row r="14849" ht="12.75"/>
    <row r="14850" ht="12.75"/>
    <row r="14851" ht="12.75"/>
    <row r="14852" ht="12.75"/>
    <row r="14853" ht="12.75"/>
    <row r="14854" ht="12.75"/>
    <row r="14855" ht="12.75"/>
    <row r="14856" ht="12.75"/>
    <row r="14857" ht="12.75"/>
    <row r="14858" ht="12.75"/>
    <row r="14859" ht="12.75"/>
    <row r="14860" ht="12.75"/>
    <row r="14861" ht="12.75"/>
    <row r="14862" ht="12.75"/>
    <row r="14863" ht="12.75"/>
    <row r="14864" ht="12.75"/>
    <row r="14865" ht="12.75"/>
    <row r="14866" ht="12.75"/>
    <row r="14867" ht="12.75"/>
    <row r="14868" ht="12.75"/>
    <row r="14869" ht="12.75"/>
    <row r="14870" ht="12.75"/>
    <row r="14871" ht="12.75"/>
    <row r="14872" ht="12.75"/>
    <row r="14873" ht="12.75"/>
    <row r="14874" ht="12.75"/>
    <row r="14875" ht="12.75"/>
    <row r="14876" ht="12.75"/>
    <row r="14877" ht="12.75"/>
    <row r="14878" ht="12.75"/>
    <row r="14879" ht="12.75"/>
    <row r="14880" ht="12.75"/>
    <row r="14881" ht="12.75"/>
    <row r="14882" ht="12.75"/>
    <row r="14883" ht="12.75"/>
    <row r="14884" ht="12.75"/>
    <row r="14885" ht="12.75"/>
    <row r="14886" ht="12.75"/>
    <row r="14887" ht="12.75"/>
    <row r="14888" ht="12.75"/>
    <row r="14889" ht="12.75"/>
    <row r="14890" ht="12.75"/>
    <row r="14891" ht="12.75"/>
    <row r="14892" ht="12.75"/>
    <row r="14893" ht="12.75"/>
    <row r="14894" ht="12.75"/>
    <row r="14895" ht="12.75"/>
    <row r="14896" ht="12.75"/>
    <row r="14897" ht="12.75"/>
    <row r="14898" ht="12.75"/>
    <row r="14899" ht="12.75"/>
    <row r="14900" ht="12.75"/>
    <row r="14901" ht="12.75"/>
    <row r="14902" ht="12.75"/>
    <row r="14903" ht="12.75"/>
    <row r="14904" ht="12.75"/>
    <row r="14905" ht="12.75"/>
    <row r="14906" ht="12.75"/>
    <row r="14907" ht="12.75"/>
    <row r="14908" ht="12.75"/>
    <row r="14909" ht="12.75"/>
    <row r="14910" ht="12.75"/>
    <row r="14911" ht="12.75"/>
    <row r="14912" ht="12.75"/>
    <row r="14913" ht="12.75"/>
    <row r="14914" ht="12.75"/>
    <row r="14915" ht="12.75"/>
    <row r="14916" ht="12.75"/>
    <row r="14917" ht="12.75"/>
    <row r="14918" ht="12.75"/>
    <row r="14919" ht="12.75"/>
    <row r="14920" ht="12.75"/>
    <row r="14921" ht="12.75"/>
    <row r="14922" ht="12.75"/>
    <row r="14923" ht="12.75"/>
    <row r="14924" ht="12.75"/>
    <row r="14925" ht="12.75"/>
    <row r="14926" ht="12.75"/>
    <row r="14927" ht="12.75"/>
    <row r="14928" ht="12.75"/>
    <row r="14929" ht="12.75"/>
    <row r="14930" ht="12.75"/>
    <row r="14931" ht="12.75"/>
    <row r="14932" ht="12.75"/>
    <row r="14933" ht="12.75"/>
    <row r="14934" ht="12.75"/>
    <row r="14935" ht="12.75"/>
    <row r="14936" ht="12.75"/>
    <row r="14937" ht="12.75"/>
    <row r="14938" ht="12.75"/>
    <row r="14939" ht="12.75"/>
    <row r="14940" ht="12.75"/>
    <row r="14941" ht="12.75"/>
    <row r="14942" ht="12.75"/>
    <row r="14943" ht="12.75"/>
    <row r="14944" ht="12.75"/>
    <row r="14945" ht="12.75"/>
    <row r="14946" ht="12.75"/>
    <row r="14947" ht="12.75"/>
    <row r="14948" ht="12.75"/>
    <row r="14949" ht="12.75"/>
    <row r="14950" ht="12.75"/>
    <row r="14951" ht="12.75"/>
    <row r="14952" ht="12.75"/>
    <row r="14953" ht="12.75"/>
    <row r="14954" ht="12.75"/>
    <row r="14955" ht="12.75"/>
    <row r="14956" ht="12.75"/>
    <row r="14957" ht="12.75"/>
    <row r="14958" ht="12.75"/>
    <row r="14959" ht="12.75"/>
    <row r="14960" ht="12.75"/>
    <row r="14961" ht="12.75"/>
    <row r="14962" ht="12.75"/>
    <row r="14963" ht="12.75"/>
    <row r="14964" ht="12.75"/>
    <row r="14965" ht="12.75"/>
    <row r="14966" ht="12.75"/>
    <row r="14967" ht="12.75"/>
    <row r="14968" ht="12.75"/>
    <row r="14969" ht="12.75"/>
    <row r="14970" ht="12.75"/>
    <row r="14971" ht="12.75"/>
    <row r="14972" ht="12.75"/>
    <row r="14973" ht="12.75"/>
    <row r="14974" ht="12.75"/>
    <row r="14975" ht="12.75"/>
    <row r="14976" ht="12.75"/>
    <row r="14977" ht="12.75"/>
    <row r="14978" ht="12.75"/>
    <row r="14979" ht="12.75"/>
    <row r="14980" ht="12.75"/>
    <row r="14981" ht="12.75"/>
    <row r="14982" ht="12.75"/>
    <row r="14983" ht="12.75"/>
    <row r="14984" ht="12.75"/>
    <row r="14985" ht="12.75"/>
    <row r="14986" ht="12.75"/>
    <row r="14987" ht="12.75"/>
    <row r="14988" ht="12.75"/>
    <row r="14989" ht="12.75"/>
    <row r="14990" ht="12.75"/>
    <row r="14991" ht="12.75"/>
    <row r="14992" ht="12.75"/>
    <row r="14993" ht="12.75"/>
    <row r="14994" ht="12.75"/>
    <row r="14995" ht="12.75"/>
    <row r="14996" ht="12.75"/>
    <row r="14997" ht="12.75"/>
    <row r="14998" ht="12.75"/>
    <row r="14999" ht="12.75"/>
    <row r="15000" ht="12.75"/>
    <row r="15001" ht="12.75"/>
    <row r="15002" ht="12.75"/>
    <row r="15003" ht="12.75"/>
    <row r="15004" ht="12.75"/>
    <row r="15005" ht="12.75"/>
    <row r="15006" ht="12.75"/>
    <row r="15007" ht="12.75"/>
    <row r="15008" ht="12.75"/>
    <row r="15009" ht="12.75"/>
    <row r="15010" ht="12.75"/>
    <row r="15011" ht="12.75"/>
    <row r="15012" ht="12.75"/>
    <row r="15013" ht="12.75"/>
    <row r="15014" ht="12.75"/>
    <row r="15015" ht="12.75"/>
    <row r="15016" ht="12.75"/>
    <row r="15017" ht="12.75"/>
    <row r="15018" ht="12.75"/>
    <row r="15019" ht="12.75"/>
    <row r="15020" ht="12.75"/>
    <row r="15021" ht="12.75"/>
    <row r="15022" ht="12.75"/>
    <row r="15023" ht="12.75"/>
    <row r="15024" ht="12.75"/>
    <row r="15025" ht="12.75"/>
    <row r="15026" ht="12.75"/>
    <row r="15027" ht="12.75"/>
    <row r="15028" ht="12.75"/>
    <row r="15029" ht="12.75"/>
    <row r="15030" ht="12.75"/>
    <row r="15031" ht="12.75"/>
    <row r="15032" ht="12.75"/>
    <row r="15033" ht="12.75"/>
    <row r="15034" ht="12.75"/>
    <row r="15035" ht="12.75"/>
    <row r="15036" ht="12.75"/>
    <row r="15037" ht="12.75"/>
    <row r="15038" ht="12.75"/>
    <row r="15039" ht="12.75"/>
    <row r="15040" ht="12.75"/>
    <row r="15041" ht="12.75"/>
    <row r="15042" ht="12.75"/>
    <row r="15043" ht="12.75"/>
    <row r="15044" ht="12.75"/>
    <row r="15045" ht="12.75"/>
    <row r="15046" ht="12.75"/>
    <row r="15047" ht="12.75"/>
    <row r="15048" ht="12.75"/>
    <row r="15049" ht="12.75"/>
    <row r="15050" ht="12.75"/>
    <row r="15051" ht="12.75"/>
    <row r="15052" ht="12.75"/>
    <row r="15053" ht="12.75"/>
    <row r="15054" ht="12.75"/>
    <row r="15055" ht="12.75"/>
    <row r="15056" ht="12.75"/>
    <row r="15057" ht="12.75"/>
    <row r="15058" ht="12.75"/>
    <row r="15059" ht="12.75"/>
    <row r="15060" ht="12.75"/>
    <row r="15061" ht="12.75"/>
    <row r="15062" ht="12.75"/>
    <row r="15063" ht="12.75"/>
    <row r="15064" ht="12.75"/>
    <row r="15065" ht="12.75"/>
    <row r="15066" ht="12.75"/>
    <row r="15067" ht="12.75"/>
    <row r="15068" ht="12.75"/>
    <row r="15069" ht="12.75"/>
    <row r="15070" ht="12.75"/>
    <row r="15071" ht="12.75"/>
    <row r="15072" ht="12.75"/>
    <row r="15073" ht="12.75"/>
    <row r="15074" ht="12.75"/>
    <row r="15075" ht="12.75"/>
    <row r="15076" ht="12.75"/>
    <row r="15077" ht="12.75"/>
    <row r="15078" ht="12.75"/>
    <row r="15079" ht="12.75"/>
    <row r="15080" ht="12.75"/>
    <row r="15081" ht="12.75"/>
    <row r="15082" ht="12.75"/>
    <row r="15083" ht="12.75"/>
    <row r="15084" ht="12.75"/>
    <row r="15085" ht="12.75"/>
    <row r="15086" ht="12.75"/>
    <row r="15087" ht="12.75"/>
    <row r="15088" ht="12.75"/>
    <row r="15089" ht="12.75"/>
    <row r="15090" ht="12.75"/>
    <row r="15091" ht="12.75"/>
    <row r="15092" ht="12.75"/>
    <row r="15093" ht="12.75"/>
    <row r="15094" ht="12.75"/>
    <row r="15095" ht="12.75"/>
    <row r="15096" ht="12.75"/>
    <row r="15097" ht="12.75"/>
    <row r="15098" ht="12.75"/>
    <row r="15099" ht="12.75"/>
    <row r="15100" ht="12.75"/>
    <row r="15101" ht="12.75"/>
    <row r="15102" ht="12.75"/>
    <row r="15103" ht="12.75"/>
    <row r="15104" ht="12.75"/>
    <row r="15105" ht="12.75"/>
    <row r="15106" ht="12.75"/>
    <row r="15107" ht="12.75"/>
    <row r="15108" ht="12.75"/>
    <row r="15109" ht="12.75"/>
    <row r="15110" ht="12.75"/>
    <row r="15111" ht="12.75"/>
    <row r="15112" ht="12.75"/>
    <row r="15113" ht="12.75"/>
    <row r="15114" ht="12.75"/>
    <row r="15115" ht="12.75"/>
    <row r="15116" ht="12.75"/>
    <row r="15117" ht="12.75"/>
    <row r="15118" ht="12.75"/>
    <row r="15119" ht="12.75"/>
    <row r="15120" ht="12.75"/>
    <row r="15121" ht="12.75"/>
    <row r="15122" ht="12.75"/>
    <row r="15123" ht="12.75"/>
    <row r="15124" ht="12.75"/>
    <row r="15125" ht="12.75"/>
    <row r="15126" ht="12.75"/>
    <row r="15127" ht="12.75"/>
    <row r="15128" ht="12.75"/>
    <row r="15129" ht="12.75"/>
    <row r="15130" ht="12.75"/>
    <row r="15131" ht="12.75"/>
    <row r="15132" ht="12.75"/>
    <row r="15133" ht="12.75"/>
    <row r="15134" ht="12.75"/>
    <row r="15135" ht="12.75"/>
    <row r="15136" ht="12.75"/>
    <row r="15137" ht="12.75"/>
    <row r="15138" ht="12.75"/>
    <row r="15139" ht="12.75"/>
    <row r="15140" ht="12.75"/>
    <row r="15141" ht="12.75"/>
    <row r="15142" ht="12.75"/>
    <row r="15143" ht="12.75"/>
    <row r="15144" ht="12.75"/>
    <row r="15145" ht="12.75"/>
    <row r="15146" ht="12.75"/>
    <row r="15147" ht="12.75"/>
    <row r="15148" ht="12.75"/>
    <row r="15149" ht="12.75"/>
    <row r="15150" ht="12.75"/>
    <row r="15151" ht="12.75"/>
    <row r="15152" ht="12.75"/>
    <row r="15153" ht="12.75"/>
    <row r="15154" ht="12.75"/>
    <row r="15155" ht="12.75"/>
    <row r="15156" ht="12.75"/>
    <row r="15157" ht="12.75"/>
    <row r="15158" ht="12.75"/>
    <row r="15159" ht="12.75"/>
    <row r="15160" ht="12.75"/>
    <row r="15161" ht="12.75"/>
    <row r="15162" ht="12.75"/>
    <row r="15163" ht="12.75"/>
    <row r="15164" ht="12.75"/>
    <row r="15165" ht="12.75"/>
    <row r="15166" ht="12.75"/>
    <row r="15167" ht="12.75"/>
    <row r="15168" ht="12.75"/>
    <row r="15169" ht="12.75"/>
    <row r="15170" ht="12.75"/>
    <row r="15171" ht="12.75"/>
    <row r="15172" ht="12.75"/>
    <row r="15173" ht="12.75"/>
    <row r="15174" ht="12.75"/>
    <row r="15175" ht="12.75"/>
    <row r="15176" ht="12.75"/>
    <row r="15177" ht="12.75"/>
    <row r="15178" ht="12.75"/>
    <row r="15179" ht="12.75"/>
    <row r="15180" ht="12.75"/>
    <row r="15181" ht="12.75"/>
    <row r="15182" ht="12.75"/>
    <row r="15183" ht="12.75"/>
    <row r="15184" ht="12.75"/>
    <row r="15185" ht="12.75"/>
    <row r="15186" ht="12.75"/>
    <row r="15187" ht="12.75"/>
    <row r="15188" ht="12.75"/>
    <row r="15189" ht="12.75"/>
    <row r="15190" ht="12.75"/>
    <row r="15191" ht="12.75"/>
    <row r="15192" ht="12.75"/>
    <row r="15193" ht="12.75"/>
    <row r="15194" ht="12.75"/>
    <row r="15195" ht="12.75"/>
    <row r="15196" ht="12.75"/>
    <row r="15197" ht="12.75"/>
    <row r="15198" ht="12.75"/>
    <row r="15199" ht="12.75"/>
    <row r="15200" ht="12.75"/>
    <row r="15201" ht="12.75"/>
    <row r="15202" ht="12.75"/>
    <row r="15203" ht="12.75"/>
    <row r="15204" ht="12.75"/>
    <row r="15205" ht="12.75"/>
    <row r="15206" ht="12.75"/>
    <row r="15207" ht="12.75"/>
    <row r="15208" ht="12.75"/>
    <row r="15209" ht="12.75"/>
    <row r="15210" ht="12.75"/>
    <row r="15211" ht="12.75"/>
    <row r="15212" ht="12.75"/>
    <row r="15213" ht="12.75"/>
    <row r="15214" ht="12.75"/>
    <row r="15215" ht="12.75"/>
    <row r="15216" ht="12.75"/>
    <row r="15217" ht="12.75"/>
    <row r="15218" ht="12.75"/>
    <row r="15219" ht="12.75"/>
    <row r="15220" ht="12.75"/>
    <row r="15221" ht="12.75"/>
    <row r="15222" ht="12.75"/>
    <row r="15223" ht="12.75"/>
    <row r="15224" ht="12.75"/>
    <row r="15225" ht="12.75"/>
    <row r="15226" ht="12.75"/>
    <row r="15227" ht="12.75"/>
    <row r="15228" ht="12.75"/>
    <row r="15229" ht="12.75"/>
    <row r="15230" ht="12.75"/>
    <row r="15231" ht="12.75"/>
    <row r="15232" ht="12.75"/>
    <row r="15233" ht="12.75"/>
    <row r="15234" ht="12.75"/>
    <row r="15235" ht="12.75"/>
    <row r="15236" ht="12.75"/>
    <row r="15237" ht="12.75"/>
    <row r="15238" ht="12.75"/>
    <row r="15239" ht="12.75"/>
    <row r="15240" ht="12.75"/>
    <row r="15241" ht="12.75"/>
    <row r="15242" ht="12.75"/>
    <row r="15243" ht="12.75"/>
    <row r="15244" ht="12.75"/>
    <row r="15245" ht="12.75"/>
    <row r="15246" ht="12.75"/>
    <row r="15247" ht="12.75"/>
    <row r="15248" ht="12.75"/>
    <row r="15249" ht="12.75"/>
    <row r="15250" ht="12.75"/>
    <row r="15251" ht="12.75"/>
    <row r="15252" ht="12.75"/>
    <row r="15253" ht="12.75"/>
    <row r="15254" ht="12.75"/>
    <row r="15255" ht="12.75"/>
    <row r="15256" ht="12.75"/>
    <row r="15257" ht="12.75"/>
    <row r="15258" ht="12.75"/>
    <row r="15259" ht="12.75"/>
    <row r="15260" ht="12.75"/>
    <row r="15261" ht="12.75"/>
    <row r="15262" ht="12.75"/>
    <row r="15263" ht="12.75"/>
    <row r="15264" ht="12.75"/>
    <row r="15265" ht="12.75"/>
    <row r="15266" ht="12.75"/>
    <row r="15267" ht="12.75"/>
    <row r="15268" ht="12.75"/>
    <row r="15269" ht="12.75"/>
    <row r="15270" ht="12.75"/>
    <row r="15271" ht="12.75"/>
    <row r="15272" ht="12.75"/>
    <row r="15273" ht="12.75"/>
    <row r="15274" ht="12.75"/>
    <row r="15275" ht="12.75"/>
    <row r="15276" ht="12.75"/>
    <row r="15277" ht="12.75"/>
    <row r="15278" ht="12.75"/>
    <row r="15279" ht="12.75"/>
    <row r="15280" ht="12.75"/>
    <row r="15281" ht="12.75"/>
    <row r="15282" ht="12.75"/>
    <row r="15283" ht="12.75"/>
    <row r="15284" ht="12.75"/>
    <row r="15285" ht="12.75"/>
    <row r="15286" ht="12.75"/>
    <row r="15287" ht="12.75"/>
    <row r="15288" ht="12.75"/>
    <row r="15289" ht="12.75"/>
    <row r="15290" ht="12.75"/>
    <row r="15291" ht="12.75"/>
    <row r="15292" ht="12.75"/>
    <row r="15293" ht="12.75"/>
    <row r="15294" ht="12.75"/>
    <row r="15295" ht="12.75"/>
    <row r="15296" ht="12.75"/>
    <row r="15297" ht="12.75"/>
    <row r="15298" ht="12.75"/>
    <row r="15299" ht="12.75"/>
    <row r="15300" ht="12.75"/>
    <row r="15301" ht="12.75"/>
    <row r="15302" ht="12.75"/>
    <row r="15303" ht="12.75"/>
    <row r="15304" ht="12.75"/>
    <row r="15305" ht="12.75"/>
    <row r="15306" ht="12.75"/>
    <row r="15307" ht="12.75"/>
    <row r="15308" ht="12.75"/>
    <row r="15309" ht="12.75"/>
    <row r="15310" ht="12.75"/>
    <row r="15311" ht="12.75"/>
    <row r="15312" ht="12.75"/>
    <row r="15313" ht="12.75"/>
    <row r="15314" ht="12.75"/>
    <row r="15315" ht="12.75"/>
    <row r="15316" ht="12.75"/>
    <row r="15317" ht="12.75"/>
    <row r="15318" ht="12.75"/>
    <row r="15319" ht="12.75"/>
    <row r="15320" ht="12.75"/>
    <row r="15321" ht="12.75"/>
    <row r="15322" ht="12.75"/>
    <row r="15323" ht="12.75"/>
    <row r="15324" ht="12.75"/>
    <row r="15325" ht="12.75"/>
    <row r="15326" ht="12.75"/>
    <row r="15327" ht="12.75"/>
    <row r="15328" ht="12.75"/>
    <row r="15329" ht="12.75"/>
    <row r="15330" ht="12.75"/>
    <row r="15331" ht="12.75"/>
    <row r="15332" ht="12.75"/>
    <row r="15333" ht="12.75"/>
    <row r="15334" ht="12.75"/>
    <row r="15335" ht="12.75"/>
    <row r="15336" ht="12.75"/>
    <row r="15337" ht="12.75"/>
    <row r="15338" ht="12.75"/>
    <row r="15339" ht="12.75"/>
    <row r="15340" ht="12.75"/>
    <row r="15341" ht="12.75"/>
    <row r="15342" ht="12.75"/>
    <row r="15343" ht="12.75"/>
    <row r="15344" ht="12.75"/>
    <row r="15345" ht="12.75"/>
    <row r="15346" ht="12.75"/>
    <row r="15347" ht="12.75"/>
    <row r="15348" ht="12.75"/>
    <row r="15349" ht="12.75"/>
    <row r="15350" ht="12.75"/>
    <row r="15351" ht="12.75"/>
    <row r="15352" ht="12.75"/>
    <row r="15353" ht="12.75"/>
    <row r="15354" ht="12.75"/>
    <row r="15355" ht="12.75"/>
    <row r="15356" ht="12.75"/>
    <row r="15357" ht="12.75"/>
    <row r="15358" ht="12.75"/>
    <row r="15359" ht="12.75"/>
    <row r="15360" ht="12.75"/>
    <row r="15361" ht="12.75"/>
    <row r="15362" ht="12.75"/>
    <row r="15363" ht="12.75"/>
    <row r="15364" ht="12.75"/>
    <row r="15365" ht="12.75"/>
    <row r="15366" ht="12.75"/>
    <row r="15367" ht="12.75"/>
    <row r="15368" ht="12.75"/>
    <row r="15369" ht="12.75"/>
    <row r="15370" ht="12.75"/>
    <row r="15371" ht="12.75"/>
    <row r="15372" ht="12.75"/>
    <row r="15373" ht="12.75"/>
    <row r="15374" ht="12.75"/>
    <row r="15375" ht="12.75"/>
    <row r="15376" ht="12.75"/>
    <row r="15377" ht="12.75"/>
    <row r="15378" ht="12.75"/>
    <row r="15379" ht="12.75"/>
    <row r="15380" ht="12.75"/>
    <row r="15381" ht="12.75"/>
    <row r="15382" ht="12.75"/>
    <row r="15383" ht="12.75"/>
    <row r="15384" ht="12.75"/>
    <row r="15385" ht="12.75"/>
    <row r="15386" ht="12.75"/>
    <row r="15387" ht="12.75"/>
    <row r="15388" ht="12.75"/>
    <row r="15389" ht="12.75"/>
    <row r="15390" ht="12.75"/>
    <row r="15391" ht="12.75"/>
    <row r="15392" ht="12.75"/>
    <row r="15393" ht="12.75"/>
    <row r="15394" ht="12.75"/>
    <row r="15395" ht="12.75"/>
    <row r="15396" ht="12.75"/>
    <row r="15397" ht="12.75"/>
    <row r="15398" ht="12.75"/>
    <row r="15399" ht="12.75"/>
    <row r="15400" ht="12.75"/>
    <row r="15401" ht="12.75"/>
    <row r="15402" ht="12.75"/>
    <row r="15403" ht="12.75"/>
    <row r="15404" ht="12.75"/>
    <row r="15405" ht="12.75"/>
    <row r="15406" ht="12.75"/>
    <row r="15407" ht="12.75"/>
    <row r="15408" ht="12.75"/>
    <row r="15409" ht="12.75"/>
    <row r="15410" ht="12.75"/>
    <row r="15411" ht="12.75"/>
    <row r="15412" ht="12.75"/>
    <row r="15413" ht="12.75"/>
    <row r="15414" ht="12.75"/>
    <row r="15415" ht="12.75"/>
    <row r="15416" ht="12.75"/>
    <row r="15417" ht="12.75"/>
    <row r="15418" ht="12.75"/>
    <row r="15419" ht="12.75"/>
    <row r="15420" ht="12.75"/>
    <row r="15421" ht="12.75"/>
    <row r="15422" ht="12.75"/>
    <row r="15423" ht="12.75"/>
    <row r="15424" ht="12.75"/>
    <row r="15425" ht="12.75"/>
    <row r="15426" ht="12.75"/>
    <row r="15427" ht="12.75"/>
    <row r="15428" ht="12.75"/>
    <row r="15429" ht="12.75"/>
    <row r="15430" ht="12.75"/>
    <row r="15431" ht="12.75"/>
    <row r="15432" ht="12.75"/>
    <row r="15433" ht="12.75"/>
    <row r="15434" ht="12.75"/>
    <row r="15435" ht="12.75"/>
    <row r="15436" ht="12.75"/>
    <row r="15437" ht="12.75"/>
    <row r="15438" ht="12.75"/>
    <row r="15439" ht="12.75"/>
    <row r="15440" ht="12.75"/>
    <row r="15441" ht="12.75"/>
    <row r="15442" ht="12.75"/>
    <row r="15443" ht="12.75"/>
    <row r="15444" ht="12.75"/>
    <row r="15445" ht="12.75"/>
    <row r="15446" ht="12.75"/>
    <row r="15447" ht="12.75"/>
    <row r="15448" ht="12.75"/>
    <row r="15449" ht="12.75"/>
    <row r="15450" ht="12.75"/>
    <row r="15451" ht="12.75"/>
    <row r="15452" ht="12.75"/>
    <row r="15453" ht="12.75"/>
    <row r="15454" ht="12.75"/>
    <row r="15455" ht="12.75"/>
    <row r="15456" ht="12.75"/>
    <row r="15457" ht="12.75"/>
    <row r="15458" ht="12.75"/>
    <row r="15459" ht="12.75"/>
    <row r="15460" ht="12.75"/>
    <row r="15461" ht="12.75"/>
    <row r="15462" ht="12.75"/>
    <row r="15463" ht="12.75"/>
    <row r="15464" ht="12.75"/>
    <row r="15465" ht="12.75"/>
    <row r="15466" ht="12.75"/>
    <row r="15467" ht="12.75"/>
    <row r="15468" ht="12.75"/>
    <row r="15469" ht="12.75"/>
    <row r="15470" ht="12.75"/>
    <row r="15471" ht="12.75"/>
    <row r="15472" ht="12.75"/>
    <row r="15473" ht="12.75"/>
    <row r="15474" ht="12.75"/>
    <row r="15475" ht="12.75"/>
    <row r="15476" ht="12.75"/>
    <row r="15477" ht="12.75"/>
    <row r="15478" ht="12.75"/>
    <row r="15479" ht="12.75"/>
    <row r="15480" ht="12.75"/>
    <row r="15481" ht="12.75"/>
    <row r="15482" ht="12.75"/>
    <row r="15483" ht="12.75"/>
    <row r="15484" ht="12.75"/>
    <row r="15485" ht="12.75"/>
    <row r="15486" ht="12.75"/>
    <row r="15487" ht="12.75"/>
    <row r="15488" ht="12.75"/>
    <row r="15489" ht="12.75"/>
    <row r="15490" ht="12.75"/>
    <row r="15491" ht="12.75"/>
    <row r="15492" ht="12.75"/>
    <row r="15493" ht="12.75"/>
    <row r="15494" ht="12.75"/>
    <row r="15495" ht="12.75"/>
    <row r="15496" ht="12.75"/>
    <row r="15497" ht="12.75"/>
    <row r="15498" ht="12.75"/>
    <row r="15499" ht="12.75"/>
    <row r="15500" ht="12.75"/>
    <row r="15501" ht="12.75"/>
    <row r="15502" ht="12.75"/>
    <row r="15503" ht="12.75"/>
    <row r="15504" ht="12.75"/>
    <row r="15505" ht="12.75"/>
    <row r="15506" ht="12.75"/>
    <row r="15507" ht="12.75"/>
    <row r="15508" ht="12.75"/>
    <row r="15509" ht="12.75"/>
    <row r="15510" ht="12.75"/>
    <row r="15511" ht="12.75"/>
    <row r="15512" ht="12.75"/>
    <row r="15513" ht="12.75"/>
    <row r="15514" ht="12.75"/>
    <row r="15515" ht="12.75"/>
    <row r="15516" ht="12.75"/>
    <row r="15517" ht="12.75"/>
    <row r="15518" ht="12.75"/>
    <row r="15519" ht="12.75"/>
    <row r="15520" ht="12.75"/>
    <row r="15521" ht="12.75"/>
    <row r="15522" ht="12.75"/>
    <row r="15523" ht="12.75"/>
    <row r="15524" ht="12.75"/>
    <row r="15525" ht="12.75"/>
    <row r="15526" ht="12.75"/>
    <row r="15527" ht="12.75"/>
    <row r="15528" ht="12.75"/>
    <row r="15529" ht="12.75"/>
    <row r="15530" ht="12.75"/>
    <row r="15531" ht="12.75"/>
    <row r="15532" ht="12.75"/>
    <row r="15533" ht="12.75"/>
    <row r="15534" ht="12.75"/>
    <row r="15535" ht="12.75"/>
    <row r="15536" ht="12.75"/>
    <row r="15537" ht="12.75"/>
    <row r="15538" ht="12.75"/>
    <row r="15539" ht="12.75"/>
    <row r="15540" ht="12.75"/>
    <row r="15541" ht="12.75"/>
    <row r="15542" ht="12.75"/>
    <row r="15543" ht="12.75"/>
    <row r="15544" ht="12.75"/>
    <row r="15545" ht="12.75"/>
    <row r="15546" ht="12.75"/>
    <row r="15547" ht="12.75"/>
    <row r="15548" ht="12.75"/>
    <row r="15549" ht="12.75"/>
    <row r="15550" ht="12.75"/>
    <row r="15551" ht="12.75"/>
    <row r="15552" ht="12.75"/>
    <row r="15553" ht="12.75"/>
    <row r="15554" ht="12.75"/>
    <row r="15555" ht="12.75"/>
    <row r="15556" ht="12.75"/>
    <row r="15557" ht="12.75"/>
    <row r="15558" ht="12.75"/>
    <row r="15559" ht="12.75"/>
    <row r="15560" ht="12.75"/>
    <row r="15561" ht="12.75"/>
    <row r="15562" ht="12.75"/>
    <row r="15563" ht="12.75"/>
    <row r="15564" ht="12.75"/>
    <row r="15565" ht="12.75"/>
    <row r="15566" ht="12.75"/>
    <row r="15567" ht="12.75"/>
    <row r="15568" ht="12.75"/>
    <row r="15569" ht="12.75"/>
    <row r="15570" ht="12.75"/>
    <row r="15571" ht="12.75"/>
    <row r="15572" ht="12.75"/>
    <row r="15573" ht="12.75"/>
    <row r="15574" ht="12.75"/>
    <row r="15575" ht="12.75"/>
    <row r="15576" ht="12.75"/>
    <row r="15577" ht="12.75"/>
    <row r="15578" ht="12.75"/>
    <row r="15579" ht="12.75"/>
    <row r="15580" ht="12.75"/>
    <row r="15581" ht="12.75"/>
    <row r="15582" ht="12.75"/>
    <row r="15583" ht="12.75"/>
    <row r="15584" ht="12.75"/>
    <row r="15585" ht="12.75"/>
    <row r="15586" ht="12.75"/>
    <row r="15587" ht="12.75"/>
    <row r="15588" ht="12.75"/>
    <row r="15589" ht="12.75"/>
    <row r="15590" ht="12.75"/>
    <row r="15591" ht="12.75"/>
    <row r="15592" ht="12.75"/>
    <row r="15593" ht="12.75"/>
    <row r="15594" ht="12.75"/>
    <row r="15595" ht="12.75"/>
    <row r="15596" ht="12.75"/>
    <row r="15597" ht="12.75"/>
    <row r="15598" ht="12.75"/>
    <row r="15599" ht="12.75"/>
    <row r="15600" ht="12.75"/>
    <row r="15601" ht="12.75"/>
    <row r="15602" ht="12.75"/>
    <row r="15603" ht="12.75"/>
    <row r="15604" ht="12.75"/>
    <row r="15605" ht="12.75"/>
    <row r="15606" ht="12.75"/>
    <row r="15607" ht="12.75"/>
    <row r="15608" ht="12.75"/>
    <row r="15609" ht="12.75"/>
    <row r="15610" ht="12.75"/>
    <row r="15611" ht="12.75"/>
    <row r="15612" ht="12.75"/>
    <row r="15613" ht="12.75"/>
    <row r="15614" ht="12.75"/>
    <row r="15615" ht="12.75"/>
    <row r="15616" ht="12.75"/>
    <row r="15617" ht="12.75"/>
    <row r="15618" ht="12.75"/>
    <row r="15619" ht="12.75"/>
    <row r="15620" ht="12.75"/>
    <row r="15621" ht="12.75"/>
    <row r="15622" ht="12.75"/>
    <row r="15623" ht="12.75"/>
    <row r="15624" ht="12.75"/>
    <row r="15625" ht="12.75"/>
    <row r="15626" ht="12.75"/>
    <row r="15627" ht="12.75"/>
    <row r="15628" ht="12.75"/>
    <row r="15629" ht="12.75"/>
    <row r="15630" ht="12.75"/>
    <row r="15631" ht="12.75"/>
    <row r="15632" ht="12.75"/>
    <row r="15633" ht="12.75"/>
    <row r="15634" ht="12.75"/>
    <row r="15635" ht="12.75"/>
    <row r="15636" ht="12.75"/>
    <row r="15637" ht="12.75"/>
    <row r="15638" ht="12.75"/>
    <row r="15639" ht="12.75"/>
    <row r="15640" ht="12.75"/>
    <row r="15641" ht="12.75"/>
    <row r="15642" ht="12.75"/>
    <row r="15643" ht="12.75"/>
    <row r="15644" ht="12.75"/>
    <row r="15645" ht="12.75"/>
    <row r="15646" ht="12.75"/>
    <row r="15647" ht="12.75"/>
    <row r="15648" ht="12.75"/>
    <row r="15649" ht="12.75"/>
    <row r="15650" ht="12.75"/>
    <row r="15651" ht="12.75"/>
    <row r="15652" ht="12.75"/>
    <row r="15653" ht="12.75"/>
    <row r="15654" ht="12.75"/>
    <row r="15655" ht="12.75"/>
    <row r="15656" ht="12.75"/>
    <row r="15657" ht="12.75"/>
    <row r="15658" ht="12.75"/>
    <row r="15659" ht="12.75"/>
    <row r="15660" ht="12.75"/>
    <row r="15661" ht="12.75"/>
    <row r="15662" ht="12.75"/>
    <row r="15663" ht="12.75"/>
    <row r="15664" ht="12.75"/>
    <row r="15665" ht="12.75"/>
    <row r="15666" ht="12.75"/>
    <row r="15667" ht="12.75"/>
    <row r="15668" ht="12.75"/>
    <row r="15669" ht="12.75"/>
    <row r="15670" ht="12.75"/>
    <row r="15671" ht="12.75"/>
    <row r="15672" ht="12.75"/>
    <row r="15673" ht="12.75"/>
    <row r="15674" ht="12.75"/>
    <row r="15675" ht="12.75"/>
    <row r="15676" ht="12.75"/>
    <row r="15677" ht="12.75"/>
    <row r="15678" ht="12.75"/>
    <row r="15679" ht="12.75"/>
    <row r="15680" ht="12.75"/>
    <row r="15681" ht="12.75"/>
    <row r="15682" ht="12.75"/>
    <row r="15683" ht="12.75"/>
    <row r="15684" ht="12.75"/>
    <row r="15685" ht="12.75"/>
    <row r="15686" ht="12.75"/>
    <row r="15687" ht="12.75"/>
    <row r="15688" ht="12.75"/>
    <row r="15689" ht="12.75"/>
    <row r="15690" ht="12.75"/>
    <row r="15691" ht="12.75"/>
    <row r="15692" ht="12.75"/>
    <row r="15693" ht="12.75"/>
    <row r="15694" ht="12.75"/>
    <row r="15695" ht="12.75"/>
    <row r="15696" ht="12.75"/>
    <row r="15697" ht="12.75"/>
    <row r="15698" ht="12.75"/>
    <row r="15699" ht="12.75"/>
    <row r="15700" ht="12.75"/>
    <row r="15701" ht="12.75"/>
    <row r="15702" ht="12.75"/>
    <row r="15703" ht="12.75"/>
    <row r="15704" ht="12.75"/>
    <row r="15705" ht="12.75"/>
    <row r="15706" ht="12.75"/>
    <row r="15707" ht="12.75"/>
    <row r="15708" ht="12.75"/>
    <row r="15709" ht="12.75"/>
    <row r="15710" ht="12.75"/>
    <row r="15711" ht="12.75"/>
    <row r="15712" ht="12.75"/>
    <row r="15713" ht="12.75"/>
    <row r="15714" ht="12.75"/>
    <row r="15715" ht="12.75"/>
    <row r="15716" ht="12.75"/>
    <row r="15717" ht="12.75"/>
    <row r="15718" ht="12.75"/>
    <row r="15719" ht="12.75"/>
    <row r="15720" ht="12.75"/>
    <row r="15721" ht="12.75"/>
    <row r="15722" ht="12.75"/>
    <row r="15723" ht="12.75"/>
    <row r="15724" ht="12.75"/>
    <row r="15725" ht="12.75"/>
    <row r="15726" ht="12.75"/>
    <row r="15727" ht="12.75"/>
    <row r="15728" ht="12.75"/>
    <row r="15729" ht="12.75"/>
    <row r="15730" ht="12.75"/>
    <row r="15731" ht="12.75"/>
    <row r="15732" ht="12.75"/>
    <row r="15733" ht="12.75"/>
    <row r="15734" ht="12.75"/>
    <row r="15735" ht="12.75"/>
    <row r="15736" ht="12.75"/>
    <row r="15737" ht="12.75"/>
    <row r="15738" ht="12.75"/>
    <row r="15739" ht="12.75"/>
    <row r="15740" ht="12.75"/>
    <row r="15741" ht="12.75"/>
    <row r="15742" ht="12.75"/>
    <row r="15743" ht="12.75"/>
    <row r="15744" ht="12.75"/>
    <row r="15745" ht="12.75"/>
    <row r="15746" ht="12.75"/>
    <row r="15747" ht="12.75"/>
    <row r="15748" ht="12.75"/>
    <row r="15749" ht="12.75"/>
    <row r="15750" ht="12.75"/>
    <row r="15751" ht="12.75"/>
    <row r="15752" ht="12.75"/>
    <row r="15753" ht="12.75"/>
    <row r="15754" ht="12.75"/>
    <row r="15755" ht="12.75"/>
    <row r="15756" ht="12.75"/>
    <row r="15757" ht="12.75"/>
    <row r="15758" ht="12.75"/>
    <row r="15759" ht="12.75"/>
    <row r="15760" ht="12.75"/>
    <row r="15761" ht="12.75"/>
    <row r="15762" ht="12.75"/>
    <row r="15763" ht="12.75"/>
    <row r="15764" ht="12.75"/>
    <row r="15765" ht="12.75"/>
    <row r="15766" ht="12.75"/>
    <row r="15767" ht="12.75"/>
    <row r="15768" ht="12.75"/>
    <row r="15769" ht="12.75"/>
    <row r="15770" ht="12.75"/>
    <row r="15771" ht="12.75"/>
    <row r="15772" ht="12.75"/>
    <row r="15773" ht="12.75"/>
    <row r="15774" ht="12.75"/>
    <row r="15775" ht="12.75"/>
    <row r="15776" ht="12.75"/>
    <row r="15777" ht="12.75"/>
    <row r="15778" ht="12.75"/>
    <row r="15779" ht="12.75"/>
    <row r="15780" ht="12.75"/>
    <row r="15781" ht="12.75"/>
    <row r="15782" ht="12.75"/>
    <row r="15783" ht="12.75"/>
    <row r="15784" ht="12.75"/>
    <row r="15785" ht="12.75"/>
    <row r="15786" ht="12.75"/>
    <row r="15787" ht="12.75"/>
    <row r="15788" ht="12.75"/>
    <row r="15789" ht="12.75"/>
    <row r="15790" ht="12.75"/>
    <row r="15791" ht="12.75"/>
    <row r="15792" ht="12.75"/>
    <row r="15793" ht="12.75"/>
    <row r="15794" ht="12.75"/>
    <row r="15795" ht="12.75"/>
    <row r="15796" ht="12.75"/>
    <row r="15797" ht="12.75"/>
    <row r="15798" ht="12.75"/>
    <row r="15799" ht="12.75"/>
    <row r="15800" ht="12.75"/>
    <row r="15801" ht="12.75"/>
    <row r="15802" ht="12.75"/>
    <row r="15803" ht="12.75"/>
    <row r="15804" ht="12.75"/>
    <row r="15805" ht="12.75"/>
    <row r="15806" ht="12.75"/>
    <row r="15807" ht="12.75"/>
    <row r="15808" ht="12.75"/>
    <row r="15809" ht="12.75"/>
    <row r="15810" ht="12.75"/>
    <row r="15811" ht="12.75"/>
    <row r="15812" ht="12.75"/>
    <row r="15813" ht="12.75"/>
    <row r="15814" ht="12.75"/>
    <row r="15815" ht="12.75"/>
    <row r="15816" ht="12.75"/>
    <row r="15817" ht="12.75"/>
    <row r="15818" ht="12.75"/>
    <row r="15819" ht="12.75"/>
    <row r="15820" ht="12.75"/>
    <row r="15821" ht="12.75"/>
    <row r="15822" ht="12.75"/>
    <row r="15823" ht="12.75"/>
    <row r="15824" ht="12.75"/>
    <row r="15825" ht="12.75"/>
    <row r="15826" ht="12.75"/>
    <row r="15827" ht="12.75"/>
    <row r="15828" ht="12.75"/>
    <row r="15829" ht="12.75"/>
    <row r="15830" ht="12.75"/>
    <row r="15831" ht="12.75"/>
    <row r="15832" ht="12.75"/>
    <row r="15833" ht="12.75"/>
    <row r="15834" ht="12.75"/>
    <row r="15835" ht="12.75"/>
    <row r="15836" ht="12.75"/>
    <row r="15837" ht="12.75"/>
    <row r="15838" ht="12.75"/>
    <row r="15839" ht="12.75"/>
    <row r="15840" ht="12.75"/>
    <row r="15841" ht="12.75"/>
    <row r="15842" ht="12.75"/>
    <row r="15843" ht="12.75"/>
    <row r="15844" ht="12.75"/>
    <row r="15845" ht="12.75"/>
    <row r="15846" ht="12.75"/>
    <row r="15847" ht="12.75"/>
    <row r="15848" ht="12.75"/>
    <row r="15849" ht="12.75"/>
    <row r="15850" ht="12.75"/>
    <row r="15851" ht="12.75"/>
    <row r="15852" ht="12.75"/>
    <row r="15853" ht="12.75"/>
    <row r="15854" ht="12.75"/>
    <row r="15855" ht="12.75"/>
    <row r="15856" ht="12.75"/>
    <row r="15857" ht="12.75"/>
    <row r="15858" ht="12.75"/>
    <row r="15859" ht="12.75"/>
    <row r="15860" ht="12.75"/>
    <row r="15861" ht="12.75"/>
    <row r="15862" ht="12.75"/>
    <row r="15863" ht="12.75"/>
    <row r="15864" ht="12.75"/>
    <row r="15865" ht="12.75"/>
    <row r="15866" ht="12.75"/>
    <row r="15867" ht="12.75"/>
    <row r="15868" ht="12.75"/>
    <row r="15869" ht="12.75"/>
    <row r="15870" ht="12.75"/>
    <row r="15871" ht="12.75"/>
    <row r="15872" ht="12.75"/>
    <row r="15873" ht="12.75"/>
    <row r="15874" ht="12.75"/>
    <row r="15875" ht="12.75"/>
    <row r="15876" ht="12.75"/>
    <row r="15877" ht="12.75"/>
    <row r="15878" ht="12.75"/>
    <row r="15879" ht="12.75"/>
    <row r="15880" ht="12.75"/>
    <row r="15881" ht="12.75"/>
    <row r="15882" ht="12.75"/>
    <row r="15883" ht="12.75"/>
    <row r="15884" ht="12.75"/>
    <row r="15885" ht="12.75"/>
    <row r="15886" ht="12.75"/>
    <row r="15887" ht="12.75"/>
    <row r="15888" ht="12.75"/>
    <row r="15889" ht="12.75"/>
    <row r="15890" ht="12.75"/>
    <row r="15891" ht="12.75"/>
    <row r="15892" ht="12.75"/>
    <row r="15893" ht="12.75"/>
    <row r="15894" ht="12.75"/>
    <row r="15895" ht="12.75"/>
    <row r="15896" ht="12.75"/>
    <row r="15897" ht="12.75"/>
    <row r="15898" ht="12.75"/>
    <row r="15899" ht="12.75"/>
    <row r="15900" ht="12.75"/>
    <row r="15901" ht="12.75"/>
    <row r="15902" ht="12.75"/>
    <row r="15903" ht="12.75"/>
    <row r="15904" ht="12.75"/>
    <row r="15905" ht="12.75"/>
    <row r="15906" ht="12.75"/>
    <row r="15907" ht="12.75"/>
    <row r="15908" ht="12.75"/>
    <row r="15909" ht="12.75"/>
    <row r="15910" ht="12.75"/>
    <row r="15911" ht="12.75"/>
    <row r="15912" ht="12.75"/>
    <row r="15913" ht="12.75"/>
    <row r="15914" ht="12.75"/>
    <row r="15915" ht="12.75"/>
    <row r="15916" ht="12.75"/>
    <row r="15917" ht="12.75"/>
    <row r="15918" ht="12.75"/>
    <row r="15919" ht="12.75"/>
    <row r="15920" ht="12.75"/>
    <row r="15921" ht="12.75"/>
    <row r="15922" ht="12.75"/>
    <row r="15923" ht="12.75"/>
    <row r="15924" ht="12.75"/>
    <row r="15925" ht="12.75"/>
    <row r="15926" ht="12.75"/>
    <row r="15927" ht="12.75"/>
    <row r="15928" ht="12.75"/>
    <row r="15929" ht="12.75"/>
    <row r="15930" ht="12.75"/>
    <row r="15931" ht="12.75"/>
    <row r="15932" ht="12.75"/>
    <row r="15933" ht="12.75"/>
    <row r="15934" ht="12.75"/>
    <row r="15935" ht="12.75"/>
    <row r="15936" ht="12.75"/>
    <row r="15937" ht="12.75"/>
    <row r="15938" ht="12.75"/>
    <row r="15939" ht="12.75"/>
    <row r="15940" ht="12.75"/>
    <row r="15941" ht="12.75"/>
    <row r="15942" ht="12.75"/>
    <row r="15943" ht="12.75"/>
    <row r="15944" ht="12.75"/>
    <row r="15945" ht="12.75"/>
    <row r="15946" ht="12.75"/>
    <row r="15947" ht="12.75"/>
    <row r="15948" ht="12.75"/>
    <row r="15949" ht="12.75"/>
    <row r="15950" ht="12.75"/>
    <row r="15951" ht="12.75"/>
    <row r="15952" ht="12.75"/>
    <row r="15953" ht="12.75"/>
    <row r="15954" ht="12.75"/>
    <row r="15955" ht="12.75"/>
    <row r="15956" ht="12.75"/>
    <row r="15957" ht="12.75"/>
    <row r="15958" ht="12.75"/>
    <row r="15959" ht="12.75"/>
    <row r="15960" ht="12.75"/>
    <row r="15961" ht="12.75"/>
    <row r="15962" ht="12.75"/>
    <row r="15963" ht="12.75"/>
    <row r="15964" ht="12.75"/>
    <row r="15965" ht="12.75"/>
    <row r="15966" ht="12.75"/>
    <row r="15967" ht="12.75"/>
    <row r="15968" ht="12.75"/>
    <row r="15969" ht="12.75"/>
    <row r="15970" ht="12.75"/>
    <row r="15971" ht="12.75"/>
    <row r="15972" ht="12.75"/>
    <row r="15973" ht="12.75"/>
    <row r="15974" ht="12.75"/>
    <row r="15975" ht="12.75"/>
    <row r="15976" ht="12.75"/>
    <row r="15977" ht="12.75"/>
    <row r="15978" ht="12.75"/>
    <row r="15979" ht="12.75"/>
    <row r="15980" ht="12.75"/>
    <row r="15981" ht="12.75"/>
    <row r="15982" ht="12.75"/>
    <row r="15983" ht="12.75"/>
    <row r="15984" ht="12.75"/>
    <row r="15985" ht="12.75"/>
    <row r="15986" ht="12.75"/>
    <row r="15987" ht="12.75"/>
    <row r="15988" ht="12.75"/>
    <row r="15989" ht="12.75"/>
    <row r="15990" ht="12.75"/>
    <row r="15991" ht="12.75"/>
    <row r="15992" ht="12.75"/>
    <row r="15993" ht="12.75"/>
    <row r="15994" ht="12.75"/>
    <row r="15995" ht="12.75"/>
    <row r="15996" ht="12.75"/>
    <row r="15997" ht="12.75"/>
    <row r="15998" ht="12.75"/>
    <row r="15999" ht="12.75"/>
    <row r="16000" ht="12.75"/>
    <row r="16001" ht="12.75"/>
    <row r="16002" ht="12.75"/>
    <row r="16003" ht="12.75"/>
    <row r="16004" ht="12.75"/>
    <row r="16005" ht="12.75"/>
    <row r="16006" ht="12.75"/>
    <row r="16007" ht="12.75"/>
    <row r="16008" ht="12.75"/>
    <row r="16009" ht="12.75"/>
    <row r="16010" ht="12.75"/>
    <row r="16011" ht="12.75"/>
    <row r="16012" ht="12.75"/>
    <row r="16013" ht="12.75"/>
    <row r="16014" ht="12.75"/>
    <row r="16015" ht="12.75"/>
    <row r="16016" ht="12.75"/>
    <row r="16017" ht="12.75"/>
    <row r="16018" ht="12.75"/>
    <row r="16019" ht="12.75"/>
    <row r="16020" ht="12.75"/>
    <row r="16021" ht="12.75"/>
    <row r="16022" ht="12.75"/>
    <row r="16023" ht="12.75"/>
    <row r="16024" ht="12.75"/>
    <row r="16025" ht="12.75"/>
    <row r="16026" ht="12.75"/>
    <row r="16027" ht="12.75"/>
    <row r="16028" ht="12.75"/>
    <row r="16029" ht="12.75"/>
    <row r="16030" ht="12.75"/>
    <row r="16031" ht="12.75"/>
    <row r="16032" ht="12.75"/>
    <row r="16033" ht="12.75"/>
    <row r="16034" ht="12.75"/>
    <row r="16035" ht="12.75"/>
    <row r="16036" ht="12.75"/>
    <row r="16037" ht="12.75"/>
    <row r="16038" ht="12.75"/>
    <row r="16039" ht="12.75"/>
    <row r="16040" ht="12.75"/>
    <row r="16041" ht="12.75"/>
    <row r="16042" ht="12.75"/>
    <row r="16043" ht="12.75"/>
    <row r="16044" ht="12.75"/>
    <row r="16045" ht="12.75"/>
    <row r="16046" ht="12.75"/>
    <row r="16047" ht="12.75"/>
    <row r="16048" ht="12.75"/>
    <row r="16049" ht="12.75"/>
    <row r="16050" ht="12.75"/>
    <row r="16051" ht="12.75"/>
    <row r="16052" ht="12.75"/>
    <row r="16053" ht="12.75"/>
    <row r="16054" ht="12.75"/>
    <row r="16055" ht="12.75"/>
    <row r="16056" ht="12.75"/>
    <row r="16057" ht="12.75"/>
    <row r="16058" ht="12.75"/>
    <row r="16059" ht="12.75"/>
    <row r="16060" ht="12.75"/>
    <row r="16061" ht="12.75"/>
    <row r="16062" ht="12.75"/>
    <row r="16063" ht="12.75"/>
    <row r="16064" ht="12.75"/>
    <row r="16065" ht="12.75"/>
    <row r="16066" ht="12.75"/>
    <row r="16067" ht="12.75"/>
    <row r="16068" ht="12.75"/>
    <row r="16069" ht="12.75"/>
    <row r="16070" ht="12.75"/>
    <row r="16071" ht="12.75"/>
    <row r="16072" ht="12.75"/>
    <row r="16073" ht="12.75"/>
    <row r="16074" ht="12.75"/>
    <row r="16075" ht="12.75"/>
    <row r="16076" ht="12.75"/>
    <row r="16077" ht="12.75"/>
    <row r="16078" ht="12.75"/>
    <row r="16079" ht="12.75"/>
    <row r="16080" ht="12.75"/>
    <row r="16081" ht="12.75"/>
    <row r="16082" ht="12.75"/>
    <row r="16083" ht="12.75"/>
    <row r="16084" ht="12.75"/>
    <row r="16085" ht="12.75"/>
    <row r="16086" ht="12.75"/>
    <row r="16087" ht="12.75"/>
    <row r="16088" ht="12.75"/>
    <row r="16089" ht="12.75"/>
    <row r="16090" ht="12.75"/>
    <row r="16091" ht="12.75"/>
    <row r="16092" ht="12.75"/>
    <row r="16093" ht="12.75"/>
    <row r="16094" ht="12.75"/>
    <row r="16095" ht="12.75"/>
    <row r="16096" ht="12.75"/>
    <row r="16097" ht="12.75"/>
    <row r="16098" ht="12.75"/>
    <row r="16099" ht="12.75"/>
    <row r="16100" ht="12.75"/>
    <row r="16101" ht="12.75"/>
    <row r="16102" ht="12.75"/>
    <row r="16103" ht="12.75"/>
    <row r="16104" ht="12.75"/>
    <row r="16105" ht="12.75"/>
    <row r="16106" ht="12.75"/>
    <row r="16107" ht="12.75"/>
    <row r="16108" ht="12.75"/>
    <row r="16109" ht="12.75"/>
    <row r="16110" ht="12.75"/>
    <row r="16111" ht="12.75"/>
    <row r="16112" ht="12.75"/>
    <row r="16113" ht="12.75"/>
    <row r="16114" ht="12.75"/>
    <row r="16115" ht="12.75"/>
    <row r="16116" ht="12.75"/>
    <row r="16117" ht="12.75"/>
    <row r="16118" ht="12.75"/>
    <row r="16119" ht="12.75"/>
    <row r="16120" ht="12.75"/>
    <row r="16121" ht="12.75"/>
    <row r="16122" ht="12.75"/>
    <row r="16123" ht="12.75"/>
    <row r="16124" ht="12.75"/>
    <row r="16125" ht="12.75"/>
    <row r="16126" ht="12.75"/>
    <row r="16127" ht="12.75"/>
    <row r="16128" ht="12.75"/>
    <row r="16129" ht="12.75"/>
    <row r="16130" ht="12.75"/>
    <row r="16131" ht="12.75"/>
    <row r="16132" ht="12.75"/>
    <row r="16133" ht="12.75"/>
    <row r="16134" ht="12.75"/>
    <row r="16135" ht="12.75"/>
    <row r="16136" ht="12.75"/>
    <row r="16137" ht="12.75"/>
    <row r="16138" ht="12.75"/>
    <row r="16139" ht="12.75"/>
    <row r="16140" ht="12.75"/>
    <row r="16141" ht="12.75"/>
    <row r="16142" ht="12.75"/>
    <row r="16143" ht="12.75"/>
    <row r="16144" ht="12.75"/>
    <row r="16145" ht="12.75"/>
    <row r="16146" ht="12.75"/>
    <row r="16147" ht="12.75"/>
    <row r="16148" ht="12.75"/>
    <row r="16149" ht="12.75"/>
    <row r="16150" ht="12.75"/>
    <row r="16151" ht="12.75"/>
    <row r="16152" ht="12.75"/>
    <row r="16153" ht="12.75"/>
    <row r="16154" ht="12.75"/>
    <row r="16155" ht="12.75"/>
    <row r="16156" ht="12.75"/>
    <row r="16157" ht="12.75"/>
    <row r="16158" ht="12.75"/>
    <row r="16159" ht="12.75"/>
    <row r="16160" ht="12.75"/>
    <row r="16161" ht="12.75"/>
    <row r="16162" ht="12.75"/>
    <row r="16163" ht="12.75"/>
    <row r="16164" ht="12.75"/>
    <row r="16165" ht="12.75"/>
    <row r="16166" ht="12.75"/>
    <row r="16167" ht="12.75"/>
    <row r="16168" ht="12.75"/>
    <row r="16169" ht="12.75"/>
    <row r="16170" ht="12.75"/>
    <row r="16171" ht="12.75"/>
    <row r="16172" ht="12.75"/>
    <row r="16173" ht="12.75"/>
    <row r="16174" ht="12.75"/>
    <row r="16175" ht="12.75"/>
    <row r="16176" ht="12.75"/>
    <row r="16177" ht="12.75"/>
    <row r="16178" ht="12.75"/>
    <row r="16179" ht="12.75"/>
    <row r="16180" ht="12.75"/>
    <row r="16181" ht="12.75"/>
    <row r="16182" ht="12.75"/>
    <row r="16183" ht="12.75"/>
    <row r="16184" ht="12.75"/>
    <row r="16185" ht="12.75"/>
    <row r="16186" ht="12.75"/>
    <row r="16187" ht="12.75"/>
    <row r="16188" ht="12.75"/>
    <row r="16189" ht="12.75"/>
    <row r="16190" ht="12.75"/>
    <row r="16191" ht="12.75"/>
    <row r="16192" ht="12.75"/>
    <row r="16193" ht="12.75"/>
    <row r="16194" ht="12.75"/>
    <row r="16195" ht="12.75"/>
    <row r="16196" ht="12.75"/>
    <row r="16197" ht="12.75"/>
    <row r="16198" ht="12.75"/>
    <row r="16199" ht="12.75"/>
    <row r="16200" ht="12.75"/>
    <row r="16201" ht="12.75"/>
    <row r="16202" ht="12.75"/>
    <row r="16203" ht="12.75"/>
    <row r="16204" ht="12.75"/>
    <row r="16205" ht="12.75"/>
    <row r="16206" ht="12.75"/>
    <row r="16207" ht="12.75"/>
    <row r="16208" ht="12.75"/>
    <row r="16209" ht="12.75"/>
    <row r="16210" ht="12.75"/>
    <row r="16211" ht="12.75"/>
    <row r="16212" ht="12.75"/>
    <row r="16213" ht="12.75"/>
    <row r="16214" ht="12.75"/>
    <row r="16215" ht="12.75"/>
    <row r="16216" ht="12.75"/>
    <row r="16217" ht="12.75"/>
    <row r="16218" ht="12.75"/>
    <row r="16219" ht="12.75"/>
    <row r="16220" ht="12.75"/>
    <row r="16221" ht="12.75"/>
    <row r="16222" ht="12.75"/>
    <row r="16223" ht="12.75"/>
    <row r="16224" ht="12.75"/>
    <row r="16225" ht="12.75"/>
    <row r="16226" ht="12.75"/>
    <row r="16227" ht="12.75"/>
    <row r="16228" ht="12.75"/>
    <row r="16229" ht="12.75"/>
    <row r="16230" ht="12.75"/>
    <row r="16231" ht="12.75"/>
    <row r="16232" ht="12.75"/>
    <row r="16233" ht="12.75"/>
    <row r="16234" ht="12.75"/>
    <row r="16235" ht="12.75"/>
    <row r="16236" ht="12.75"/>
    <row r="16237" ht="12.75"/>
    <row r="16238" ht="12.75"/>
    <row r="16239" ht="12.75"/>
    <row r="16240" ht="12.75"/>
    <row r="16241" ht="12.75"/>
    <row r="16242" ht="12.75"/>
    <row r="16243" ht="12.75"/>
    <row r="16244" ht="12.75"/>
    <row r="16245" ht="12.75"/>
    <row r="16246" ht="12.75"/>
    <row r="16247" ht="12.75"/>
    <row r="16248" ht="12.75"/>
    <row r="16249" ht="12.75"/>
    <row r="16250" ht="12.75"/>
    <row r="16251" ht="12.75"/>
    <row r="16252" ht="12.75"/>
    <row r="16253" ht="12.75"/>
    <row r="16254" ht="12.75"/>
    <row r="16255" ht="12.75"/>
    <row r="16256" ht="12.75"/>
    <row r="16257" ht="12.75"/>
    <row r="16258" ht="12.75"/>
    <row r="16259" ht="12.75"/>
    <row r="16260" ht="12.75"/>
    <row r="16261" ht="12.75"/>
    <row r="16262" ht="12.75"/>
    <row r="16263" ht="12.75"/>
    <row r="16264" ht="12.75"/>
    <row r="16265" ht="12.75"/>
    <row r="16266" ht="12.75"/>
    <row r="16267" ht="12.75"/>
    <row r="16268" ht="12.75"/>
    <row r="16269" ht="12.75"/>
    <row r="16270" ht="12.75"/>
    <row r="16271" ht="12.75"/>
    <row r="16272" ht="12.75"/>
    <row r="16273" ht="12.75"/>
    <row r="16274" ht="12.75"/>
    <row r="16275" ht="12.75"/>
    <row r="16276" ht="12.75"/>
    <row r="16277" ht="12.75"/>
    <row r="16278" ht="12.75"/>
    <row r="16279" ht="12.75"/>
    <row r="16280" ht="12.75"/>
    <row r="16281" ht="12.75"/>
    <row r="16282" ht="12.75"/>
    <row r="16283" ht="12.75"/>
    <row r="16284" ht="12.75"/>
    <row r="16285" ht="12.75"/>
    <row r="16286" ht="12.75"/>
    <row r="16287" ht="12.75"/>
    <row r="16288" ht="12.75"/>
    <row r="16289" ht="12.75"/>
    <row r="16290" ht="12.75"/>
    <row r="16291" ht="12.75"/>
    <row r="16292" ht="12.75"/>
    <row r="16293" ht="12.75"/>
    <row r="16294" ht="12.75"/>
    <row r="16295" ht="12.75"/>
    <row r="16296" ht="12.75"/>
    <row r="16297" ht="12.75"/>
    <row r="16298" ht="12.75"/>
    <row r="16299" ht="12.75"/>
    <row r="16300" ht="12.75"/>
    <row r="16301" ht="12.75"/>
    <row r="16302" ht="12.75"/>
    <row r="16303" ht="12.75"/>
    <row r="16304" ht="12.75"/>
    <row r="16305" ht="12.75"/>
    <row r="16306" ht="12.75"/>
    <row r="16307" ht="12.75"/>
    <row r="16308" ht="12.75"/>
    <row r="16309" ht="12.75"/>
    <row r="16310" ht="12.75"/>
    <row r="16311" ht="12.75"/>
    <row r="16312" ht="12.75"/>
    <row r="16313" ht="12.75"/>
    <row r="16314" ht="12.75"/>
    <row r="16315" ht="12.75"/>
    <row r="16316" ht="12.75"/>
    <row r="16317" ht="12.75"/>
    <row r="16318" ht="12.75"/>
    <row r="16319" ht="12.75"/>
    <row r="16320" ht="12.75"/>
    <row r="16321" ht="12.75"/>
    <row r="16322" ht="12.75"/>
    <row r="16323" ht="12.75"/>
    <row r="16324" ht="12.75"/>
    <row r="16325" ht="12.75"/>
    <row r="16326" ht="12.75"/>
    <row r="16327" ht="12.75"/>
    <row r="16328" ht="12.75"/>
    <row r="16329" ht="12.75"/>
    <row r="16330" ht="12.75"/>
    <row r="16331" ht="12.75"/>
    <row r="16332" ht="12.75"/>
    <row r="16333" ht="12.75"/>
    <row r="16334" ht="12.75"/>
    <row r="16335" ht="12.75"/>
    <row r="16336" ht="12.75"/>
    <row r="16337" ht="12.75"/>
    <row r="16338" ht="12.75"/>
    <row r="16339" ht="12.75"/>
    <row r="16340" ht="12.75"/>
    <row r="16341" ht="12.75"/>
    <row r="16342" ht="12.75"/>
    <row r="16343" ht="12.75"/>
    <row r="16344" ht="12.75"/>
    <row r="16345" ht="12.75"/>
    <row r="16346" ht="12.75"/>
    <row r="16347" ht="12.75"/>
    <row r="16348" ht="12.75"/>
    <row r="16349" ht="12.75"/>
    <row r="16350" ht="12.75"/>
    <row r="16351" ht="12.75"/>
    <row r="16352" ht="12.75"/>
    <row r="16353" ht="12.75"/>
    <row r="16354" ht="12.75"/>
    <row r="16355" ht="12.75"/>
    <row r="16356" ht="12.75"/>
    <row r="16357" ht="12.75"/>
    <row r="16358" ht="12.75"/>
    <row r="16359" ht="12.75"/>
    <row r="16360" ht="12.75"/>
    <row r="16361" ht="12.75"/>
    <row r="16362" ht="12.75"/>
    <row r="16363" ht="12.75"/>
    <row r="16364" ht="12.75"/>
    <row r="16365" ht="12.75"/>
    <row r="16366" ht="12.75"/>
    <row r="16367" ht="12.75"/>
    <row r="16368" ht="12.75"/>
    <row r="16369" ht="12.75"/>
    <row r="16370" ht="12.75"/>
    <row r="16371" ht="12.75"/>
    <row r="16372" ht="12.75"/>
    <row r="16373" ht="12.75"/>
    <row r="16374" ht="12.75"/>
    <row r="16375" ht="12.75"/>
    <row r="16376" ht="12.75"/>
    <row r="16377" ht="12.75"/>
    <row r="16378" ht="12.75"/>
    <row r="16379" ht="12.75"/>
    <row r="16380" ht="12.75"/>
    <row r="16381" ht="12.75"/>
    <row r="16382" ht="12.75"/>
    <row r="16383" ht="12.75"/>
    <row r="16384" ht="12.75"/>
    <row r="16385" ht="12.75"/>
    <row r="16386" ht="12.75"/>
    <row r="16387" ht="12.75"/>
    <row r="16388" ht="12.75"/>
    <row r="16389" ht="12.75"/>
    <row r="16390" ht="12.75"/>
    <row r="16391" ht="12.75"/>
    <row r="16392" ht="12.75"/>
    <row r="16393" ht="12.75"/>
    <row r="16394" ht="12.75"/>
    <row r="16395" ht="12.75"/>
    <row r="16396" ht="12.75"/>
    <row r="16397" ht="12.75"/>
    <row r="16398" ht="12.75"/>
    <row r="16399" ht="12.75"/>
    <row r="16400" ht="12.75"/>
    <row r="16401" ht="12.75"/>
    <row r="16402" ht="12.75"/>
    <row r="16403" ht="12.75"/>
    <row r="16404" ht="12.75"/>
    <row r="16405" ht="12.75"/>
    <row r="16406" ht="12.75"/>
    <row r="16407" ht="12.75"/>
    <row r="16408" ht="12.75"/>
    <row r="16409" ht="12.75"/>
    <row r="16410" ht="12.75"/>
    <row r="16411" ht="12.75"/>
    <row r="16412" ht="12.75"/>
    <row r="16413" ht="12.75"/>
    <row r="16414" ht="12.75"/>
    <row r="16415" ht="12.75"/>
    <row r="16416" ht="12.75"/>
    <row r="16417" ht="12.75"/>
    <row r="16418" ht="12.75"/>
    <row r="16419" ht="12.75"/>
    <row r="16420" ht="12.75"/>
    <row r="16421" ht="12.75"/>
    <row r="16422" ht="12.75"/>
    <row r="16423" ht="12.75"/>
    <row r="16424" ht="12.75"/>
    <row r="16425" ht="12.75"/>
    <row r="16426" ht="12.75"/>
    <row r="16427" ht="12.75"/>
    <row r="16428" ht="12.75"/>
    <row r="16429" ht="12.75"/>
    <row r="16430" ht="12.75"/>
    <row r="16431" ht="12.75"/>
    <row r="16432" ht="12.75"/>
    <row r="16433" ht="12.75"/>
    <row r="16434" ht="12.75"/>
    <row r="16435" ht="12.75"/>
    <row r="16436" ht="12.75"/>
    <row r="16437" ht="12.75"/>
    <row r="16438" ht="12.75"/>
    <row r="16439" ht="12.75"/>
    <row r="16440" ht="12.75"/>
    <row r="16441" ht="12.75"/>
    <row r="16442" ht="12.75"/>
    <row r="16443" ht="12.75"/>
    <row r="16444" ht="12.75"/>
    <row r="16445" ht="12.75"/>
    <row r="16446" ht="12.75"/>
    <row r="16447" ht="12.75"/>
    <row r="16448" ht="12.75"/>
    <row r="16449" ht="12.75"/>
    <row r="16450" ht="12.75"/>
    <row r="16451" ht="12.75"/>
    <row r="16452" ht="12.75"/>
    <row r="16453" ht="12.75"/>
    <row r="16454" ht="12.75"/>
    <row r="16455" ht="12.75"/>
    <row r="16456" ht="12.75"/>
    <row r="16457" ht="12.75"/>
    <row r="16458" ht="12.75"/>
    <row r="16459" ht="12.75"/>
    <row r="16460" ht="12.75"/>
    <row r="16461" ht="12.75"/>
    <row r="16462" ht="12.75"/>
    <row r="16463" ht="12.75"/>
    <row r="16464" ht="12.75"/>
    <row r="16465" ht="12.75"/>
    <row r="16466" ht="12.75"/>
    <row r="16467" ht="12.75"/>
    <row r="16468" ht="12.75"/>
    <row r="16469" ht="12.75"/>
    <row r="16470" ht="12.75"/>
    <row r="16471" ht="12.75"/>
    <row r="16472" ht="12.75"/>
    <row r="16473" ht="12.75"/>
    <row r="16474" ht="12.75"/>
    <row r="16475" ht="12.75"/>
    <row r="16476" ht="12.75"/>
    <row r="16477" ht="12.75"/>
    <row r="16478" ht="12.75"/>
    <row r="16479" ht="12.75"/>
    <row r="16480" ht="12.75"/>
    <row r="16481" ht="12.75"/>
    <row r="16482" ht="12.75"/>
    <row r="16483" ht="12.75"/>
    <row r="16484" ht="12.75"/>
    <row r="16485" ht="12.75"/>
    <row r="16486" ht="12.75"/>
    <row r="16487" ht="12.75"/>
    <row r="16488" ht="12.75"/>
    <row r="16489" ht="12.75"/>
    <row r="16490" ht="12.75"/>
    <row r="16491" ht="12.75"/>
    <row r="16492" ht="12.75"/>
    <row r="16493" ht="12.75"/>
    <row r="16494" ht="12.75"/>
    <row r="16495" ht="12.75"/>
    <row r="16496" ht="12.75"/>
    <row r="16497" ht="12.75"/>
    <row r="16498" ht="12.75"/>
    <row r="16499" ht="12.75"/>
    <row r="16500" ht="12.75"/>
    <row r="16501" ht="12.75"/>
    <row r="16502" ht="12.75"/>
    <row r="16503" ht="12.75"/>
    <row r="16504" ht="12.75"/>
    <row r="16505" ht="12.75"/>
    <row r="16506" ht="12.75"/>
    <row r="16507" ht="12.75"/>
    <row r="16508" ht="12.75"/>
    <row r="16509" ht="12.75"/>
    <row r="16510" ht="12.75"/>
    <row r="16511" ht="12.75"/>
    <row r="16512" ht="12.75"/>
    <row r="16513" ht="12.75"/>
    <row r="16514" ht="12.75"/>
    <row r="16515" ht="12.75"/>
    <row r="16516" ht="12.75"/>
    <row r="16517" ht="12.75"/>
    <row r="16518" ht="12.75"/>
    <row r="16519" ht="12.75"/>
    <row r="16520" ht="12.75"/>
    <row r="16521" ht="12.75"/>
    <row r="16522" ht="12.75"/>
    <row r="16523" ht="12.75"/>
    <row r="16524" ht="12.75"/>
    <row r="16525" ht="12.75"/>
    <row r="16526" ht="12.75"/>
    <row r="16527" ht="12.75"/>
    <row r="16528" ht="12.75"/>
    <row r="16529" ht="12.75"/>
    <row r="16530" ht="12.75"/>
    <row r="16531" ht="12.75"/>
    <row r="16532" ht="12.75"/>
    <row r="16533" ht="12.75"/>
    <row r="16534" ht="12.75"/>
    <row r="16535" ht="12.75"/>
    <row r="16536" ht="12.75"/>
    <row r="16537" ht="12.75"/>
    <row r="16538" ht="12.75"/>
    <row r="16539" ht="12.75"/>
    <row r="16540" ht="12.75"/>
    <row r="16541" ht="12.75"/>
    <row r="16542" ht="12.75"/>
    <row r="16543" ht="12.75"/>
    <row r="16544" ht="12.75"/>
    <row r="16545" ht="12.75"/>
    <row r="16546" ht="12.75"/>
    <row r="16547" ht="12.75"/>
    <row r="16548" ht="12.75"/>
    <row r="16549" ht="12.75"/>
    <row r="16550" ht="12.75"/>
    <row r="16551" ht="12.75"/>
    <row r="16552" ht="12.75"/>
    <row r="16553" ht="12.75"/>
    <row r="16554" ht="12.75"/>
    <row r="16555" ht="12.75"/>
    <row r="16556" ht="12.75"/>
    <row r="16557" ht="12.75"/>
    <row r="16558" ht="12.75"/>
    <row r="16559" ht="12.75"/>
    <row r="16560" ht="12.75"/>
    <row r="16561" ht="12.75"/>
    <row r="16562" ht="12.75"/>
    <row r="16563" ht="12.75"/>
    <row r="16564" ht="12.75"/>
    <row r="16565" ht="12.75"/>
    <row r="16566" ht="12.75"/>
    <row r="16567" ht="12.75"/>
    <row r="16568" ht="12.75"/>
    <row r="16569" ht="12.75"/>
    <row r="16570" ht="12.75"/>
    <row r="16571" ht="12.75"/>
    <row r="16572" ht="12.75"/>
    <row r="16573" ht="12.75"/>
    <row r="16574" ht="12.75"/>
    <row r="16575" ht="12.75"/>
    <row r="16576" ht="12.75"/>
    <row r="16577" ht="12.75"/>
    <row r="16578" ht="12.75"/>
    <row r="16579" ht="12.75"/>
    <row r="16580" ht="12.75"/>
    <row r="16581" ht="12.75"/>
    <row r="16582" ht="12.75"/>
    <row r="16583" ht="12.75"/>
    <row r="16584" ht="12.75"/>
    <row r="16585" ht="12.75"/>
    <row r="16586" ht="12.75"/>
    <row r="16587" ht="12.75"/>
    <row r="16588" ht="12.75"/>
    <row r="16589" ht="12.75"/>
    <row r="16590" ht="12.75"/>
    <row r="16591" ht="12.75"/>
    <row r="16592" ht="12.75"/>
    <row r="16593" ht="12.75"/>
    <row r="16594" ht="12.75"/>
    <row r="16595" ht="12.75"/>
    <row r="16596" ht="12.75"/>
    <row r="16597" ht="12.75"/>
    <row r="16598" ht="12.75"/>
    <row r="16599" ht="12.75"/>
    <row r="16600" ht="12.75"/>
    <row r="16601" ht="12.75"/>
    <row r="16602" ht="12.75"/>
    <row r="16603" ht="12.75"/>
    <row r="16604" ht="12.75"/>
    <row r="16605" ht="12.75"/>
    <row r="16606" ht="12.75"/>
    <row r="16607" ht="12.75"/>
    <row r="16608" ht="12.75"/>
    <row r="16609" ht="12.75"/>
    <row r="16610" ht="12.75"/>
    <row r="16611" ht="12.75"/>
    <row r="16612" ht="12.75"/>
    <row r="16613" ht="12.75"/>
    <row r="16614" ht="12.75"/>
    <row r="16615" ht="12.75"/>
    <row r="16616" ht="12.75"/>
    <row r="16617" ht="12.75"/>
    <row r="16618" ht="12.75"/>
    <row r="16619" ht="12.75"/>
    <row r="16620" ht="12.75"/>
    <row r="16621" ht="12.75"/>
    <row r="16622" ht="12.75"/>
    <row r="16623" ht="12.75"/>
    <row r="16624" ht="12.75"/>
    <row r="16625" ht="12.75"/>
    <row r="16626" ht="12.75"/>
    <row r="16627" ht="12.75"/>
    <row r="16628" ht="12.75"/>
    <row r="16629" ht="12.75"/>
    <row r="16630" ht="12.75"/>
    <row r="16631" ht="12.75"/>
    <row r="16632" ht="12.75"/>
    <row r="16633" ht="12.75"/>
    <row r="16634" ht="12.75"/>
    <row r="16635" ht="12.75"/>
    <row r="16636" ht="12.75"/>
    <row r="16637" ht="12.75"/>
    <row r="16638" ht="12.75"/>
    <row r="16639" ht="12.75"/>
    <row r="16640" ht="12.75"/>
    <row r="16641" ht="12.75"/>
    <row r="16642" ht="12.75"/>
    <row r="16643" ht="12.75"/>
    <row r="16644" ht="12.75"/>
    <row r="16645" ht="12.75"/>
    <row r="16646" ht="12.75"/>
    <row r="16647" ht="12.75"/>
    <row r="16648" ht="12.75"/>
    <row r="16649" ht="12.75"/>
    <row r="16650" ht="12.75"/>
    <row r="16651" ht="12.75"/>
    <row r="16652" ht="12.75"/>
    <row r="16653" ht="12.75"/>
    <row r="16654" ht="12.75"/>
    <row r="16655" ht="12.75"/>
    <row r="16656" ht="12.75"/>
    <row r="16657" ht="12.75"/>
    <row r="16658" ht="12.75"/>
    <row r="16659" ht="12.75"/>
    <row r="16660" ht="12.75"/>
    <row r="16661" ht="12.75"/>
    <row r="16662" ht="12.75"/>
    <row r="16663" ht="12.75"/>
    <row r="16664" ht="12.75"/>
    <row r="16665" ht="12.75"/>
    <row r="16666" ht="12.75"/>
    <row r="16667" ht="12.75"/>
    <row r="16668" ht="12.75"/>
    <row r="16669" ht="12.75"/>
    <row r="16670" ht="12.75"/>
    <row r="16671" ht="12.75"/>
    <row r="16672" ht="12.75"/>
    <row r="16673" ht="12.75"/>
    <row r="16674" ht="12.75"/>
    <row r="16675" ht="12.75"/>
    <row r="16676" ht="12.75"/>
    <row r="16677" ht="12.75"/>
    <row r="16678" ht="12.75"/>
    <row r="16679" ht="12.75"/>
    <row r="16680" ht="12.75"/>
    <row r="16681" ht="12.75"/>
    <row r="16682" ht="12.75"/>
    <row r="16683" ht="12.75"/>
    <row r="16684" ht="12.75"/>
    <row r="16685" ht="12.75"/>
    <row r="16686" ht="12.75"/>
    <row r="16687" ht="12.75"/>
    <row r="16688" ht="12.75"/>
    <row r="16689" ht="12.75"/>
    <row r="16690" ht="12.75"/>
    <row r="16691" ht="12.75"/>
    <row r="16692" ht="12.75"/>
    <row r="16693" ht="12.75"/>
    <row r="16694" ht="12.75"/>
    <row r="16695" ht="12.75"/>
    <row r="16696" ht="12.75"/>
    <row r="16697" ht="12.75"/>
    <row r="16698" ht="12.75"/>
    <row r="16699" ht="12.75"/>
    <row r="16700" ht="12.75"/>
    <row r="16701" ht="12.75"/>
    <row r="16702" ht="12.75"/>
    <row r="16703" ht="12.75"/>
    <row r="16704" ht="12.75"/>
    <row r="16705" ht="12.75"/>
    <row r="16706" ht="12.75"/>
    <row r="16707" ht="12.75"/>
    <row r="16708" ht="12.75"/>
    <row r="16709" ht="12.75"/>
    <row r="16710" ht="12.75"/>
    <row r="16711" ht="12.75"/>
    <row r="16712" ht="12.75"/>
    <row r="16713" ht="12.75"/>
    <row r="16714" ht="12.75"/>
    <row r="16715" ht="12.75"/>
    <row r="16716" ht="12.75"/>
    <row r="16717" ht="12.75"/>
    <row r="16718" ht="12.75"/>
    <row r="16719" ht="12.75"/>
    <row r="16720" ht="12.75"/>
    <row r="16721" ht="12.75"/>
    <row r="16722" ht="12.75"/>
    <row r="16723" ht="12.75"/>
    <row r="16724" ht="12.75"/>
    <row r="16725" ht="12.75"/>
    <row r="16726" ht="12.75"/>
    <row r="16727" ht="12.75"/>
    <row r="16728" ht="12.75"/>
    <row r="16729" ht="12.75"/>
    <row r="16730" ht="12.75"/>
    <row r="16731" ht="12.75"/>
    <row r="16732" ht="12.75"/>
    <row r="16733" ht="12.75"/>
    <row r="16734" ht="12.75"/>
    <row r="16735" ht="12.75"/>
    <row r="16736" ht="12.75"/>
    <row r="16737" ht="12.75"/>
    <row r="16738" ht="12.75"/>
    <row r="16739" ht="12.75"/>
    <row r="16740" ht="12.75"/>
    <row r="16741" ht="12.75"/>
    <row r="16742" ht="12.75"/>
    <row r="16743" ht="12.75"/>
    <row r="16744" ht="12.75"/>
    <row r="16745" ht="12.75"/>
    <row r="16746" ht="12.75"/>
    <row r="16747" ht="12.75"/>
    <row r="16748" ht="12.75"/>
    <row r="16749" ht="12.75"/>
    <row r="16750" ht="12.75"/>
    <row r="16751" ht="12.75"/>
    <row r="16752" ht="12.75"/>
    <row r="16753" ht="12.75"/>
    <row r="16754" ht="12.75"/>
    <row r="16755" ht="12.75"/>
    <row r="16756" ht="12.75"/>
    <row r="16757" ht="12.75"/>
    <row r="16758" ht="12.75"/>
    <row r="16759" ht="12.75"/>
    <row r="16760" ht="12.75"/>
    <row r="16761" ht="12.75"/>
    <row r="16762" ht="12.75"/>
    <row r="16763" ht="12.75"/>
    <row r="16764" ht="12.75"/>
    <row r="16765" ht="12.75"/>
    <row r="16766" ht="12.75"/>
    <row r="16767" ht="12.75"/>
    <row r="16768" ht="12.75"/>
    <row r="16769" ht="12.75"/>
    <row r="16770" ht="12.75"/>
    <row r="16771" ht="12.75"/>
    <row r="16772" ht="12.75"/>
    <row r="16773" ht="12.75"/>
    <row r="16774" ht="12.75"/>
    <row r="16775" ht="12.75"/>
    <row r="16776" ht="12.75"/>
    <row r="16777" ht="12.75"/>
    <row r="16778" ht="12.75"/>
    <row r="16779" ht="12.75"/>
    <row r="16780" ht="12.75"/>
    <row r="16781" ht="12.75"/>
    <row r="16782" ht="12.75"/>
    <row r="16783" ht="12.75"/>
    <row r="16784" ht="12.75"/>
    <row r="16785" ht="12.75"/>
    <row r="16786" ht="12.75"/>
    <row r="16787" ht="12.75"/>
    <row r="16788" ht="12.75"/>
    <row r="16789" ht="12.75"/>
    <row r="16790" ht="12.75"/>
    <row r="16791" ht="12.75"/>
    <row r="16792" ht="12.75"/>
    <row r="16793" ht="12.75"/>
    <row r="16794" ht="12.75"/>
    <row r="16795" ht="12.75"/>
    <row r="16796" ht="12.75"/>
    <row r="16797" ht="12.75"/>
    <row r="16798" ht="12.75"/>
    <row r="16799" ht="12.75"/>
    <row r="16800" ht="12.75"/>
    <row r="16801" ht="12.75"/>
    <row r="16802" ht="12.75"/>
    <row r="16803" ht="12.75"/>
    <row r="16804" ht="12.75"/>
    <row r="16805" ht="12.75"/>
    <row r="16806" ht="12.75"/>
    <row r="16807" ht="12.75"/>
    <row r="16808" ht="12.75"/>
    <row r="16809" ht="12.75"/>
    <row r="16810" ht="12.75"/>
    <row r="16811" ht="12.75"/>
    <row r="16812" ht="12.75"/>
    <row r="16813" ht="12.75"/>
    <row r="16814" ht="12.75"/>
    <row r="16815" ht="12.75"/>
    <row r="16816" ht="12.75"/>
    <row r="16817" ht="12.75"/>
    <row r="16818" ht="12.75"/>
    <row r="16819" ht="12.75"/>
    <row r="16820" ht="12.75"/>
    <row r="16821" ht="12.75"/>
    <row r="16822" ht="12.75"/>
    <row r="16823" ht="12.75"/>
    <row r="16824" ht="12.75"/>
    <row r="16825" ht="12.75"/>
    <row r="16826" ht="12.75"/>
    <row r="16827" ht="12.75"/>
    <row r="16828" ht="12.75"/>
    <row r="16829" ht="12.75"/>
    <row r="16830" ht="12.75"/>
    <row r="16831" ht="12.75"/>
    <row r="16832" ht="12.75"/>
    <row r="16833" ht="12.75"/>
    <row r="16834" ht="12.75"/>
    <row r="16835" ht="12.75"/>
    <row r="16836" ht="12.75"/>
    <row r="16837" ht="12.75"/>
    <row r="16838" ht="12.75"/>
    <row r="16839" ht="12.75"/>
    <row r="16840" ht="12.75"/>
    <row r="16841" ht="12.75"/>
    <row r="16842" ht="12.75"/>
    <row r="16843" ht="12.75"/>
    <row r="16844" ht="12.75"/>
    <row r="16845" ht="12.75"/>
    <row r="16846" ht="12.75"/>
    <row r="16847" ht="12.75"/>
    <row r="16848" ht="12.75"/>
    <row r="16849" ht="12.75"/>
    <row r="16850" ht="12.75"/>
    <row r="16851" ht="12.75"/>
    <row r="16852" ht="12.75"/>
    <row r="16853" ht="12.75"/>
    <row r="16854" ht="12.75"/>
    <row r="16855" ht="12.75"/>
    <row r="16856" ht="12.75"/>
    <row r="16857" ht="12.75"/>
    <row r="16858" ht="12.75"/>
    <row r="16859" ht="12.75"/>
    <row r="16860" ht="12.75"/>
    <row r="16861" ht="12.75"/>
    <row r="16862" ht="12.75"/>
    <row r="16863" ht="12.75"/>
    <row r="16864" ht="12.75"/>
    <row r="16865" ht="12.75"/>
    <row r="16866" ht="12.75"/>
    <row r="16867" ht="12.75"/>
    <row r="16868" ht="12.75"/>
    <row r="16869" ht="12.75"/>
    <row r="16870" ht="12.75"/>
    <row r="16871" ht="12.75"/>
    <row r="16872" ht="12.75"/>
    <row r="16873" ht="12.75"/>
    <row r="16874" ht="12.75"/>
    <row r="16875" ht="12.75"/>
    <row r="16876" ht="12.75"/>
    <row r="16877" ht="12.75"/>
    <row r="16878" ht="12.75"/>
    <row r="16879" ht="12.75"/>
    <row r="16880" ht="12.75"/>
    <row r="16881" ht="12.75"/>
    <row r="16882" ht="12.75"/>
    <row r="16883" ht="12.75"/>
    <row r="16884" ht="12.75"/>
    <row r="16885" ht="12.75"/>
    <row r="16886" ht="12.75"/>
    <row r="16887" ht="12.75"/>
    <row r="16888" ht="12.75"/>
    <row r="16889" ht="12.75"/>
    <row r="16890" ht="12.75"/>
    <row r="16891" ht="12.75"/>
    <row r="16892" ht="12.75"/>
    <row r="16893" ht="12.75"/>
    <row r="16894" ht="12.75"/>
    <row r="16895" ht="12.75"/>
    <row r="16896" ht="12.75"/>
    <row r="16897" ht="12.75"/>
    <row r="16898" ht="12.75"/>
    <row r="16899" ht="12.75"/>
    <row r="16900" ht="12.75"/>
    <row r="16901" ht="12.75"/>
    <row r="16902" ht="12.75"/>
    <row r="16903" ht="12.75"/>
    <row r="16904" ht="12.75"/>
    <row r="16905" ht="12.75"/>
    <row r="16906" ht="12.75"/>
    <row r="16907" ht="12.75"/>
    <row r="16908" ht="12.75"/>
    <row r="16909" ht="12.75"/>
    <row r="16910" ht="12.75"/>
    <row r="16911" ht="12.75"/>
    <row r="16912" ht="12.75"/>
    <row r="16913" ht="12.75"/>
    <row r="16914" ht="12.75"/>
    <row r="16915" ht="12.75"/>
    <row r="16916" ht="12.75"/>
    <row r="16917" ht="12.75"/>
    <row r="16918" ht="12.75"/>
    <row r="16919" ht="12.75"/>
    <row r="16920" ht="12.75"/>
    <row r="16921" ht="12.75"/>
    <row r="16922" ht="12.75"/>
    <row r="16923" ht="12.75"/>
    <row r="16924" ht="12.75"/>
    <row r="16925" ht="12.75"/>
    <row r="16926" ht="12.75"/>
    <row r="16927" ht="12.75"/>
    <row r="16928" ht="12.75"/>
    <row r="16929" ht="12.75"/>
    <row r="16930" ht="12.75"/>
    <row r="16931" ht="12.75"/>
    <row r="16932" ht="12.75"/>
    <row r="16933" ht="12.75"/>
    <row r="16934" ht="12.75"/>
    <row r="16935" ht="12.75"/>
    <row r="16936" ht="12.75"/>
    <row r="16937" ht="12.75"/>
    <row r="16938" ht="12.75"/>
    <row r="16939" ht="12.75"/>
    <row r="16940" ht="12.75"/>
    <row r="16941" ht="12.75"/>
    <row r="16942" ht="12.75"/>
    <row r="16943" ht="12.75"/>
    <row r="16944" ht="12.75"/>
    <row r="16945" ht="12.75"/>
    <row r="16946" ht="12.75"/>
    <row r="16947" ht="12.75"/>
    <row r="16948" ht="12.75"/>
    <row r="16949" ht="12.75"/>
    <row r="16950" ht="12.75"/>
    <row r="16951" ht="12.75"/>
    <row r="16952" ht="12.75"/>
    <row r="16953" ht="12.75"/>
    <row r="16954" ht="12.75"/>
    <row r="16955" ht="12.75"/>
    <row r="16956" ht="12.75"/>
    <row r="16957" ht="12.75"/>
    <row r="16958" ht="12.75"/>
    <row r="16959" ht="12.75"/>
    <row r="16960" ht="12.75"/>
    <row r="16961" ht="12.75"/>
    <row r="16962" ht="12.75"/>
    <row r="16963" ht="12.75"/>
    <row r="16964" ht="12.75"/>
    <row r="16965" ht="12.75"/>
    <row r="16966" ht="12.75"/>
    <row r="16967" ht="12.75"/>
    <row r="16968" ht="12.75"/>
    <row r="16969" ht="12.75"/>
    <row r="16970" ht="12.75"/>
    <row r="16971" ht="12.75"/>
    <row r="16972" ht="12.75"/>
    <row r="16973" ht="12.75"/>
    <row r="16974" ht="12.75"/>
    <row r="16975" ht="12.75"/>
    <row r="16976" ht="12.75"/>
    <row r="16977" ht="12.75"/>
    <row r="16978" ht="12.75"/>
    <row r="16979" ht="12.75"/>
    <row r="16980" ht="12.75"/>
    <row r="16981" ht="12.75"/>
    <row r="16982" ht="12.75"/>
    <row r="16983" ht="12.75"/>
    <row r="16984" ht="12.75"/>
    <row r="16985" ht="12.75"/>
    <row r="16986" ht="12.75"/>
    <row r="16987" ht="12.75"/>
    <row r="16988" ht="12.75"/>
    <row r="16989" ht="12.75"/>
    <row r="16990" ht="12.75"/>
    <row r="16991" ht="12.75"/>
    <row r="16992" ht="12.75"/>
    <row r="16993" ht="12.75"/>
    <row r="16994" ht="12.75"/>
    <row r="16995" ht="12.75"/>
    <row r="16996" ht="12.75"/>
    <row r="16997" ht="12.75"/>
    <row r="16998" ht="12.75"/>
    <row r="16999" ht="12.75"/>
    <row r="17000" ht="12.75"/>
    <row r="17001" ht="12.75"/>
    <row r="17002" ht="12.75"/>
    <row r="17003" ht="12.75"/>
    <row r="17004" ht="12.75"/>
    <row r="17005" ht="12.75"/>
    <row r="17006" ht="12.75"/>
    <row r="17007" ht="12.75"/>
    <row r="17008" ht="12.75"/>
    <row r="17009" ht="12.75"/>
    <row r="17010" ht="12.75"/>
    <row r="17011" ht="12.75"/>
    <row r="17012" ht="12.75"/>
    <row r="17013" ht="12.75"/>
    <row r="17014" ht="12.75"/>
    <row r="17015" ht="12.75"/>
    <row r="17016" ht="12.75"/>
    <row r="17017" ht="12.75"/>
    <row r="17018" ht="12.75"/>
    <row r="17019" ht="12.75"/>
    <row r="17020" ht="12.75"/>
    <row r="17021" ht="12.75"/>
    <row r="17022" ht="12.75"/>
    <row r="17023" ht="12.75"/>
    <row r="17024" ht="12.75"/>
    <row r="17025" ht="12.75"/>
    <row r="17026" ht="12.75"/>
    <row r="17027" ht="12.75"/>
    <row r="17028" ht="12.75"/>
    <row r="17029" ht="12.75"/>
    <row r="17030" ht="12.75"/>
    <row r="17031" ht="12.75"/>
    <row r="17032" ht="12.75"/>
    <row r="17033" ht="12.75"/>
    <row r="17034" ht="12.75"/>
    <row r="17035" ht="12.75"/>
    <row r="17036" ht="12.75"/>
    <row r="17037" ht="12.75"/>
    <row r="17038" ht="12.75"/>
    <row r="17039" ht="12.75"/>
    <row r="17040" ht="12.75"/>
    <row r="17041" ht="12.75"/>
    <row r="17042" ht="12.75"/>
    <row r="17043" ht="12.75"/>
    <row r="17044" ht="12.75"/>
    <row r="17045" ht="12.75"/>
    <row r="17046" ht="12.75"/>
    <row r="17047" ht="12.75"/>
    <row r="17048" ht="12.75"/>
    <row r="17049" ht="12.75"/>
    <row r="17050" ht="12.75"/>
    <row r="17051" ht="12.75"/>
    <row r="17052" ht="12.75"/>
    <row r="17053" ht="12.75"/>
    <row r="17054" ht="12.75"/>
    <row r="17055" ht="12.75"/>
    <row r="17056" ht="12.75"/>
    <row r="17057" ht="12.75"/>
    <row r="17058" ht="12.75"/>
    <row r="17059" ht="12.75"/>
    <row r="17060" ht="12.75"/>
    <row r="17061" ht="12.75"/>
    <row r="17062" ht="12.75"/>
    <row r="17063" ht="12.75"/>
    <row r="17064" ht="12.75"/>
    <row r="17065" ht="12.75"/>
    <row r="17066" ht="12.75"/>
    <row r="17067" ht="12.75"/>
    <row r="17068" ht="12.75"/>
    <row r="17069" ht="12.75"/>
    <row r="17070" ht="12.75"/>
    <row r="17071" ht="12.75"/>
    <row r="17072" ht="12.75"/>
    <row r="17073" ht="12.75"/>
    <row r="17074" ht="12.75"/>
    <row r="17075" ht="12.75"/>
    <row r="17076" ht="12.75"/>
    <row r="17077" ht="12.75"/>
    <row r="17078" ht="12.75"/>
    <row r="17079" ht="12.75"/>
    <row r="17080" ht="12.75"/>
    <row r="17081" ht="12.75"/>
    <row r="17082" ht="12.75"/>
    <row r="17083" ht="12.75"/>
    <row r="17084" ht="12.75"/>
    <row r="17085" ht="12.75"/>
    <row r="17086" ht="12.75"/>
    <row r="17087" ht="12.75"/>
    <row r="17088" ht="12.75"/>
    <row r="17089" ht="12.75"/>
    <row r="17090" ht="12.75"/>
    <row r="17091" ht="12.75"/>
    <row r="17092" ht="12.75"/>
    <row r="17093" ht="12.75"/>
    <row r="17094" ht="12.75"/>
    <row r="17095" ht="12.75"/>
    <row r="17096" ht="12.75"/>
    <row r="17097" ht="12.75"/>
    <row r="17098" ht="12.75"/>
    <row r="17099" ht="12.75"/>
    <row r="17100" ht="12.75"/>
    <row r="17101" ht="12.75"/>
    <row r="17102" ht="12.75"/>
    <row r="17103" ht="12.75"/>
    <row r="17104" ht="12.75"/>
    <row r="17105" ht="12.75"/>
    <row r="17106" ht="12.75"/>
    <row r="17107" ht="12.75"/>
    <row r="17108" ht="12.75"/>
    <row r="17109" ht="12.75"/>
    <row r="17110" ht="12.75"/>
    <row r="17111" ht="12.75"/>
    <row r="17112" ht="12.75"/>
    <row r="17113" ht="12.75"/>
    <row r="17114" ht="12.75"/>
    <row r="17115" ht="12.75"/>
    <row r="17116" ht="12.75"/>
    <row r="17117" ht="12.75"/>
    <row r="17118" ht="12.75"/>
    <row r="17119" ht="12.75"/>
    <row r="17120" ht="12.75"/>
    <row r="17121" ht="12.75"/>
    <row r="17122" ht="12.75"/>
    <row r="17123" ht="12.75"/>
    <row r="17124" ht="12.75"/>
    <row r="17125" ht="12.75"/>
    <row r="17126" ht="12.75"/>
    <row r="17127" ht="12.75"/>
    <row r="17128" ht="12.75"/>
    <row r="17129" ht="12.75"/>
    <row r="17130" ht="12.75"/>
    <row r="17131" ht="12.75"/>
    <row r="17132" ht="12.75"/>
    <row r="17133" ht="12.75"/>
    <row r="17134" ht="12.75"/>
    <row r="17135" ht="12.75"/>
    <row r="17136" ht="12.75"/>
    <row r="17137" ht="12.75"/>
    <row r="17138" ht="12.75"/>
    <row r="17139" ht="12.75"/>
    <row r="17140" ht="12.75"/>
    <row r="17141" ht="12.75"/>
    <row r="17142" ht="12.75"/>
    <row r="17143" ht="12.75"/>
    <row r="17144" ht="12.75"/>
    <row r="17145" ht="12.75"/>
    <row r="17146" ht="12.75"/>
    <row r="17147" ht="12.75"/>
    <row r="17148" ht="12.75"/>
    <row r="17149" ht="12.75"/>
    <row r="17150" ht="12.75"/>
    <row r="17151" ht="12.75"/>
    <row r="17152" ht="12.75"/>
    <row r="17153" ht="12.75"/>
    <row r="17154" ht="12.75"/>
    <row r="17155" ht="12.75"/>
    <row r="17156" ht="12.75"/>
    <row r="17157" ht="12.75"/>
    <row r="17158" ht="12.75"/>
    <row r="17159" ht="12.75"/>
    <row r="17160" ht="12.75"/>
    <row r="17161" ht="12.75"/>
    <row r="17162" ht="12.75"/>
    <row r="17163" ht="12.75"/>
    <row r="17164" ht="12.75"/>
    <row r="17165" ht="12.75"/>
    <row r="17166" ht="12.75"/>
    <row r="17167" ht="12.75"/>
    <row r="17168" ht="12.75"/>
    <row r="17169" ht="12.75"/>
    <row r="17170" ht="12.75"/>
    <row r="17171" ht="12.75"/>
    <row r="17172" ht="12.75"/>
    <row r="17173" ht="12.75"/>
    <row r="17174" ht="12.75"/>
    <row r="17175" ht="12.75"/>
    <row r="17176" ht="12.75"/>
    <row r="17177" ht="12.75"/>
    <row r="17178" ht="12.75"/>
    <row r="17179" ht="12.75"/>
    <row r="17180" ht="12.75"/>
    <row r="17181" ht="12.75"/>
    <row r="17182" ht="12.75"/>
    <row r="17183" ht="12.75"/>
    <row r="17184" ht="12.75"/>
    <row r="17185" ht="12.75"/>
    <row r="17186" ht="12.75"/>
    <row r="17187" ht="12.75"/>
    <row r="17188" ht="12.75"/>
    <row r="17189" ht="12.75"/>
    <row r="17190" ht="12.75"/>
    <row r="17191" ht="12.75"/>
    <row r="17192" ht="12.75"/>
    <row r="17193" ht="12.75"/>
    <row r="17194" ht="12.75"/>
    <row r="17195" ht="12.75"/>
    <row r="17196" ht="12.75"/>
    <row r="17197" ht="12.75"/>
    <row r="17198" ht="12.75"/>
    <row r="17199" ht="12.75"/>
    <row r="17200" ht="12.75"/>
    <row r="17201" ht="12.75"/>
    <row r="17202" ht="12.75"/>
    <row r="17203" ht="12.75"/>
    <row r="17204" ht="12.75"/>
    <row r="17205" ht="12.75"/>
    <row r="17206" ht="12.75"/>
    <row r="17207" ht="12.75"/>
    <row r="17208" ht="12.75"/>
    <row r="17209" ht="12.75"/>
    <row r="17210" ht="12.75"/>
    <row r="17211" ht="12.75"/>
    <row r="17212" ht="12.75"/>
    <row r="17213" ht="12.75"/>
    <row r="17214" ht="12.75"/>
    <row r="17215" ht="12.75"/>
    <row r="17216" ht="12.75"/>
    <row r="17217" ht="12.75"/>
    <row r="17218" ht="12.75"/>
    <row r="17219" ht="12.75"/>
    <row r="17220" ht="12.75"/>
    <row r="17221" ht="12.75"/>
    <row r="17222" ht="12.75"/>
    <row r="17223" ht="12.75"/>
    <row r="17224" ht="12.75"/>
    <row r="17225" ht="12.75"/>
    <row r="17226" ht="12.75"/>
    <row r="17227" ht="12.75"/>
    <row r="17228" ht="12.75"/>
    <row r="17229" ht="12.75"/>
    <row r="17230" ht="12.75"/>
    <row r="17231" ht="12.75"/>
    <row r="17232" ht="12.75"/>
    <row r="17233" ht="12.75"/>
    <row r="17234" ht="12.75"/>
    <row r="17235" ht="12.75"/>
    <row r="17236" ht="12.75"/>
    <row r="17237" ht="12.75"/>
    <row r="17238" ht="12.75"/>
    <row r="17239" ht="12.75"/>
    <row r="17240" ht="12.75"/>
    <row r="17241" ht="12.75"/>
    <row r="17242" ht="12.75"/>
    <row r="17243" ht="12.75"/>
    <row r="17244" ht="12.75"/>
    <row r="17245" ht="12.75"/>
    <row r="17246" ht="12.75"/>
    <row r="17247" ht="12.75"/>
    <row r="17248" ht="12.75"/>
    <row r="17249" ht="12.75"/>
    <row r="17250" ht="12.75"/>
    <row r="17251" ht="12.75"/>
    <row r="17252" ht="12.75"/>
    <row r="17253" ht="12.75"/>
    <row r="17254" ht="12.75"/>
    <row r="17255" ht="12.75"/>
    <row r="17256" ht="12.75"/>
    <row r="17257" ht="12.75"/>
    <row r="17258" ht="12.75"/>
    <row r="17259" ht="12.75"/>
    <row r="17260" ht="12.75"/>
    <row r="17261" ht="12.75"/>
    <row r="17262" ht="12.75"/>
    <row r="17263" ht="12.75"/>
    <row r="17264" ht="12.75"/>
    <row r="17265" ht="12.75"/>
    <row r="17266" ht="12.75"/>
    <row r="17267" ht="12.75"/>
    <row r="17268" ht="12.75"/>
    <row r="17269" ht="12.75"/>
    <row r="17270" ht="12.75"/>
    <row r="17271" ht="12.75"/>
    <row r="17272" ht="12.75"/>
    <row r="17273" ht="12.75"/>
    <row r="17274" ht="12.75"/>
    <row r="17275" ht="12.75"/>
    <row r="17276" ht="12.75"/>
    <row r="17277" ht="12.75"/>
    <row r="17278" ht="12.75"/>
    <row r="17279" ht="12.75"/>
    <row r="17280" ht="12.75"/>
    <row r="17281" ht="12.75"/>
    <row r="17282" ht="12.75"/>
    <row r="17283" ht="12.75"/>
    <row r="17284" ht="12.75"/>
    <row r="17285" ht="12.75"/>
    <row r="17286" ht="12.75"/>
    <row r="17287" ht="12.75"/>
    <row r="17288" ht="12.75"/>
    <row r="17289" ht="12.75"/>
    <row r="17290" ht="12.75"/>
    <row r="17291" ht="12.75"/>
    <row r="17292" ht="12.75"/>
    <row r="17293" ht="12.75"/>
    <row r="17294" ht="12.75"/>
    <row r="17295" ht="12.75"/>
    <row r="17296" ht="12.75"/>
    <row r="17297" ht="12.75"/>
    <row r="17298" ht="12.75"/>
    <row r="17299" ht="12.75"/>
    <row r="17300" ht="12.75"/>
    <row r="17301" ht="12.75"/>
    <row r="17302" ht="12.75"/>
    <row r="17303" ht="12.75"/>
    <row r="17304" ht="12.75"/>
    <row r="17305" ht="12.75"/>
    <row r="17306" ht="12.75"/>
    <row r="17307" ht="12.75"/>
    <row r="17308" ht="12.75"/>
    <row r="17309" ht="12.75"/>
    <row r="17310" ht="12.75"/>
    <row r="17311" ht="12.75"/>
    <row r="17312" ht="12.75"/>
    <row r="17313" ht="12.75"/>
    <row r="17314" ht="12.75"/>
    <row r="17315" ht="12.75"/>
    <row r="17316" ht="12.75"/>
    <row r="17317" ht="12.75"/>
    <row r="17318" ht="12.75"/>
    <row r="17319" ht="12.75"/>
    <row r="17320" ht="12.75"/>
    <row r="17321" ht="12.75"/>
    <row r="17322" ht="12.75"/>
    <row r="17323" ht="12.75"/>
    <row r="17324" ht="12.75"/>
    <row r="17325" ht="12.75"/>
    <row r="17326" ht="12.75"/>
    <row r="17327" ht="12.75"/>
    <row r="17328" ht="12.75"/>
    <row r="17329" ht="12.75"/>
    <row r="17330" ht="12.75"/>
    <row r="17331" ht="12.75"/>
    <row r="17332" ht="12.75"/>
    <row r="17333" ht="12.75"/>
    <row r="17334" ht="12.75"/>
    <row r="17335" ht="12.75"/>
    <row r="17336" ht="12.75"/>
    <row r="17337" ht="12.75"/>
    <row r="17338" ht="12.75"/>
    <row r="17339" ht="12.75"/>
    <row r="17340" ht="12.75"/>
    <row r="17341" ht="12.75"/>
    <row r="17342" ht="12.75"/>
    <row r="17343" ht="12.75"/>
    <row r="17344" ht="12.75"/>
    <row r="17345" ht="12.75"/>
    <row r="17346" ht="12.75"/>
    <row r="17347" ht="12.75"/>
    <row r="17348" ht="12.75"/>
    <row r="17349" ht="12.75"/>
    <row r="17350" ht="12.75"/>
    <row r="17351" ht="12.75"/>
    <row r="17352" ht="12.75"/>
    <row r="17353" ht="12.75"/>
    <row r="17354" ht="12.75"/>
    <row r="17355" ht="12.75"/>
    <row r="17356" ht="12.75"/>
    <row r="17357" ht="12.75"/>
    <row r="17358" ht="12.75"/>
    <row r="17359" ht="12.75"/>
    <row r="17360" ht="12.75"/>
    <row r="17361" ht="12.75"/>
    <row r="17362" ht="12.75"/>
    <row r="17363" ht="12.75"/>
    <row r="17364" ht="12.75"/>
    <row r="17365" ht="12.75"/>
    <row r="17366" ht="12.75"/>
    <row r="17367" ht="12.75"/>
    <row r="17368" ht="12.75"/>
    <row r="17369" ht="12.75"/>
    <row r="17370" ht="12.75"/>
    <row r="17371" ht="12.75"/>
    <row r="17372" ht="12.75"/>
    <row r="17373" ht="12.75"/>
    <row r="17374" ht="12.75"/>
    <row r="17375" ht="12.75"/>
    <row r="17376" ht="12.75"/>
    <row r="17377" ht="12.75"/>
    <row r="17378" ht="12.75"/>
    <row r="17379" ht="12.75"/>
    <row r="17380" ht="12.75"/>
    <row r="17381" ht="12.75"/>
    <row r="17382" ht="12.75"/>
    <row r="17383" ht="12.75"/>
    <row r="17384" ht="12.75"/>
    <row r="17385" ht="12.75"/>
    <row r="17386" ht="12.75"/>
    <row r="17387" ht="12.75"/>
    <row r="17388" ht="12.75"/>
    <row r="17389" ht="12.75"/>
    <row r="17390" ht="12.75"/>
    <row r="17391" ht="12.75"/>
    <row r="17392" ht="12.75"/>
    <row r="17393" ht="12.75"/>
    <row r="17394" ht="12.75"/>
    <row r="17395" ht="12.75"/>
    <row r="17396" ht="12.75"/>
    <row r="17397" ht="12.75"/>
    <row r="17398" ht="12.75"/>
    <row r="17399" ht="12.75"/>
    <row r="17400" ht="12.75"/>
    <row r="17401" ht="12.75"/>
    <row r="17402" ht="12.75"/>
    <row r="17403" ht="12.75"/>
    <row r="17404" ht="12.75"/>
    <row r="17405" ht="12.75"/>
    <row r="17406" ht="12.75"/>
    <row r="17407" ht="12.75"/>
    <row r="17408" ht="12.75"/>
    <row r="17409" ht="12.75"/>
    <row r="17410" ht="12.75"/>
    <row r="17411" ht="12.75"/>
    <row r="17412" ht="12.75"/>
    <row r="17413" ht="12.75"/>
    <row r="17414" ht="12.75"/>
    <row r="17415" ht="12.75"/>
    <row r="17416" ht="12.75"/>
    <row r="17417" ht="12.75"/>
    <row r="17418" ht="12.75"/>
    <row r="17419" ht="12.75"/>
    <row r="17420" ht="12.75"/>
    <row r="17421" ht="12.75"/>
    <row r="17422" ht="12.75"/>
    <row r="17423" ht="12.75"/>
    <row r="17424" ht="12.75"/>
    <row r="17425" ht="12.75"/>
    <row r="17426" ht="12.75"/>
    <row r="17427" ht="12.75"/>
    <row r="17428" ht="12.75"/>
    <row r="17429" ht="12.75"/>
    <row r="17430" ht="12.75"/>
    <row r="17431" ht="12.75"/>
    <row r="17432" ht="12.75"/>
    <row r="17433" ht="12.75"/>
    <row r="17434" ht="12.75"/>
    <row r="17435" ht="12.75"/>
    <row r="17436" ht="12.75"/>
    <row r="17437" ht="12.75"/>
    <row r="17438" ht="12.75"/>
    <row r="17439" ht="12.75"/>
    <row r="17440" ht="12.75"/>
    <row r="17441" ht="12.75"/>
    <row r="17442" ht="12.75"/>
    <row r="17443" ht="12.75"/>
    <row r="17444" ht="12.75"/>
    <row r="17445" ht="12.75"/>
    <row r="17446" ht="12.75"/>
    <row r="17447" ht="12.75"/>
    <row r="17448" ht="12.75"/>
    <row r="17449" ht="12.75"/>
    <row r="17450" ht="12.75"/>
    <row r="17451" ht="12.75"/>
    <row r="17452" ht="12.75"/>
    <row r="17453" ht="12.75"/>
    <row r="17454" ht="12.75"/>
    <row r="17455" ht="12.75"/>
    <row r="17456" ht="12.75"/>
    <row r="17457" ht="12.75"/>
    <row r="17458" ht="12.75"/>
    <row r="17459" ht="12.75"/>
    <row r="17460" ht="12.75"/>
    <row r="17461" ht="12.75"/>
    <row r="17462" ht="12.75"/>
    <row r="17463" ht="12.75"/>
    <row r="17464" ht="12.75"/>
    <row r="17465" ht="12.75"/>
    <row r="17466" ht="12.75"/>
    <row r="17467" ht="12.75"/>
    <row r="17468" ht="12.75"/>
    <row r="17469" ht="12.75"/>
    <row r="17470" ht="12.75"/>
    <row r="17471" ht="12.75"/>
    <row r="17472" ht="12.75"/>
    <row r="17473" ht="12.75"/>
    <row r="17474" ht="12.75"/>
    <row r="17475" ht="12.75"/>
    <row r="17476" ht="12.75"/>
    <row r="17477" ht="12.75"/>
    <row r="17478" ht="12.75"/>
    <row r="17479" ht="12.75"/>
    <row r="17480" ht="12.75"/>
    <row r="17481" ht="12.75"/>
    <row r="17482" ht="12.75"/>
    <row r="17483" ht="12.75"/>
    <row r="17484" ht="12.75"/>
    <row r="17485" ht="12.75"/>
    <row r="17486" ht="12.75"/>
    <row r="17487" ht="12.75"/>
    <row r="17488" ht="12.75"/>
    <row r="17489" ht="12.75"/>
    <row r="17490" ht="12.75"/>
    <row r="17491" ht="12.75"/>
    <row r="17492" ht="12.75"/>
    <row r="17493" ht="12.75"/>
    <row r="17494" ht="12.75"/>
    <row r="17495" ht="12.75"/>
    <row r="17496" ht="12.75"/>
    <row r="17497" ht="12.75"/>
    <row r="17498" ht="12.75"/>
    <row r="17499" ht="12.75"/>
    <row r="17500" ht="12.75"/>
    <row r="17501" ht="12.75"/>
    <row r="17502" ht="12.75"/>
    <row r="17503" ht="12.75"/>
    <row r="17504" ht="12.75"/>
    <row r="17505" ht="12.75"/>
    <row r="17506" ht="12.75"/>
    <row r="17507" ht="12.75"/>
    <row r="17508" ht="12.75"/>
    <row r="17509" ht="12.75"/>
    <row r="17510" ht="12.75"/>
    <row r="17511" ht="12.75"/>
    <row r="17512" ht="12.75"/>
    <row r="17513" ht="12.75"/>
    <row r="17514" ht="12.75"/>
    <row r="17515" ht="12.75"/>
    <row r="17516" ht="12.75"/>
    <row r="17517" ht="12.75"/>
    <row r="17518" ht="12.75"/>
    <row r="17519" ht="12.75"/>
    <row r="17520" ht="12.75"/>
    <row r="17521" ht="12.75"/>
    <row r="17522" ht="12.75"/>
    <row r="17523" ht="12.75"/>
    <row r="17524" ht="12.75"/>
    <row r="17525" ht="12.75"/>
    <row r="17526" ht="12.75"/>
    <row r="17527" ht="12.75"/>
    <row r="17528" ht="12.75"/>
    <row r="17529" ht="12.75"/>
    <row r="17530" ht="12.75"/>
    <row r="17531" ht="12.75"/>
    <row r="17532" ht="12.75"/>
    <row r="17533" ht="12.75"/>
    <row r="17534" ht="12.75"/>
    <row r="17535" ht="12.75"/>
    <row r="17536" ht="12.75"/>
    <row r="17537" ht="12.75"/>
    <row r="17538" ht="12.75"/>
    <row r="17539" ht="12.75"/>
    <row r="17540" ht="12.75"/>
    <row r="17541" ht="12.75"/>
    <row r="17542" ht="12.75"/>
    <row r="17543" ht="12.75"/>
    <row r="17544" ht="12.75"/>
    <row r="17545" ht="12.75"/>
    <row r="17546" ht="12.75"/>
    <row r="17547" ht="12.75"/>
    <row r="17548" ht="12.75"/>
    <row r="17549" ht="12.75"/>
    <row r="17550" ht="12.75"/>
    <row r="17551" ht="12.75"/>
    <row r="17552" ht="12.75"/>
    <row r="17553" ht="12.75"/>
    <row r="17554" ht="12.75"/>
    <row r="17555" ht="12.75"/>
    <row r="17556" ht="12.75"/>
    <row r="17557" ht="12.75"/>
    <row r="17558" ht="12.75"/>
    <row r="17559" ht="12.75"/>
    <row r="17560" ht="12.75"/>
    <row r="17561" ht="12.75"/>
    <row r="17562" ht="12.75"/>
    <row r="17563" ht="12.75"/>
    <row r="17564" ht="12.75"/>
    <row r="17565" ht="12.75"/>
    <row r="17566" ht="12.75"/>
    <row r="17567" ht="12.75"/>
    <row r="17568" ht="12.75"/>
    <row r="17569" ht="12.75"/>
    <row r="17570" ht="12.75"/>
    <row r="17571" ht="12.75"/>
    <row r="17572" ht="12.75"/>
    <row r="17573" ht="12.75"/>
    <row r="17574" ht="12.75"/>
    <row r="17575" ht="12.75"/>
    <row r="17576" ht="12.75"/>
    <row r="17577" ht="12.75"/>
    <row r="17578" ht="12.75"/>
    <row r="17579" ht="12.75"/>
    <row r="17580" ht="12.75"/>
    <row r="17581" ht="12.75"/>
    <row r="17582" ht="12.75"/>
    <row r="17583" ht="12.75"/>
    <row r="17584" ht="12.75"/>
    <row r="17585" ht="12.75"/>
    <row r="17586" ht="12.75"/>
    <row r="17587" ht="12.75"/>
    <row r="17588" ht="12.75"/>
    <row r="17589" ht="12.75"/>
    <row r="17590" ht="12.75"/>
    <row r="17591" ht="12.75"/>
    <row r="17592" ht="12.75"/>
    <row r="17593" ht="12.75"/>
    <row r="17594" ht="12.75"/>
    <row r="17595" ht="12.75"/>
    <row r="17596" ht="12.75"/>
    <row r="17597" ht="12.75"/>
    <row r="17598" ht="12.75"/>
    <row r="17599" ht="12.75"/>
    <row r="17600" ht="12.75"/>
    <row r="17601" ht="12.75"/>
    <row r="17602" ht="12.75"/>
    <row r="17603" ht="12.75"/>
    <row r="17604" ht="12.75"/>
    <row r="17605" ht="12.75"/>
    <row r="17606" ht="12.75"/>
    <row r="17607" ht="12.75"/>
    <row r="17608" ht="12.75"/>
    <row r="17609" ht="12.75"/>
    <row r="17610" ht="12.75"/>
    <row r="17611" ht="12.75"/>
    <row r="17612" ht="12.75"/>
    <row r="17613" ht="12.75"/>
    <row r="17614" ht="12.75"/>
    <row r="17615" ht="12.75"/>
    <row r="17616" ht="12.75"/>
    <row r="17617" ht="12.75"/>
    <row r="17618" ht="12.75"/>
    <row r="17619" ht="12.75"/>
    <row r="17620" ht="12.75"/>
    <row r="17621" ht="12.75"/>
    <row r="17622" ht="12.75"/>
    <row r="17623" ht="12.75"/>
    <row r="17624" ht="12.75"/>
    <row r="17625" ht="12.75"/>
    <row r="17626" ht="12.75"/>
    <row r="17627" ht="12.75"/>
    <row r="17628" ht="12.75"/>
    <row r="17629" ht="12.75"/>
    <row r="17630" ht="12.75"/>
    <row r="17631" ht="12.75"/>
    <row r="17632" ht="12.75"/>
    <row r="17633" ht="12.75"/>
    <row r="17634" ht="12.75"/>
    <row r="17635" ht="12.75"/>
    <row r="17636" ht="12.75"/>
    <row r="17637" ht="12.75"/>
    <row r="17638" ht="12.75"/>
    <row r="17639" ht="12.75"/>
    <row r="17640" ht="12.75"/>
    <row r="17641" ht="12.75"/>
    <row r="17642" ht="12.75"/>
    <row r="17643" ht="12.75"/>
    <row r="17644" ht="12.75"/>
    <row r="17645" ht="12.75"/>
    <row r="17646" ht="12.75"/>
    <row r="17647" ht="12.75"/>
    <row r="17648" ht="12.75"/>
    <row r="17649" ht="12.75"/>
    <row r="17650" ht="12.75"/>
    <row r="17651" ht="12.75"/>
    <row r="17652" ht="12.75"/>
    <row r="17653" ht="12.75"/>
    <row r="17654" ht="12.75"/>
    <row r="17655" ht="12.75"/>
    <row r="17656" ht="12.75"/>
    <row r="17657" ht="12.75"/>
    <row r="17658" ht="12.75"/>
    <row r="17659" ht="12.75"/>
    <row r="17660" ht="12.75"/>
    <row r="17661" ht="12.75"/>
    <row r="17662" ht="12.75"/>
    <row r="17663" ht="12.75"/>
    <row r="17664" ht="12.75"/>
    <row r="17665" ht="12.75"/>
    <row r="17666" ht="12.75"/>
    <row r="17667" ht="12.75"/>
    <row r="17668" ht="12.75"/>
    <row r="17669" ht="12.75"/>
    <row r="17670" ht="12.75"/>
    <row r="17671" ht="12.75"/>
    <row r="17672" ht="12.75"/>
    <row r="17673" ht="12.75"/>
    <row r="17674" ht="12.75"/>
    <row r="17675" ht="12.75"/>
    <row r="17676" ht="12.75"/>
    <row r="17677" ht="12.75"/>
    <row r="17678" ht="12.75"/>
    <row r="17679" ht="12.75"/>
    <row r="17680" ht="12.75"/>
    <row r="17681" ht="12.75"/>
    <row r="17682" ht="12.75"/>
    <row r="17683" ht="12.75"/>
    <row r="17684" ht="12.75"/>
    <row r="17685" ht="12.75"/>
    <row r="17686" ht="12.75"/>
    <row r="17687" ht="12.75"/>
    <row r="17688" ht="12.75"/>
    <row r="17689" ht="12.75"/>
    <row r="17690" ht="12.75"/>
    <row r="17691" ht="12.75"/>
    <row r="17692" ht="12.75"/>
    <row r="17693" ht="12.75"/>
    <row r="17694" ht="12.75"/>
    <row r="17695" ht="12.75"/>
    <row r="17696" ht="12.75"/>
    <row r="17697" ht="12.75"/>
    <row r="17698" ht="12.75"/>
    <row r="17699" ht="12.75"/>
    <row r="17700" ht="12.75"/>
    <row r="17701" ht="12.75"/>
    <row r="17702" ht="12.75"/>
    <row r="17703" ht="12.75"/>
    <row r="17704" ht="12.75"/>
    <row r="17705" ht="12.75"/>
    <row r="17706" ht="12.75"/>
    <row r="17707" ht="12.75"/>
    <row r="17708" ht="12.75"/>
    <row r="17709" ht="12.75"/>
    <row r="17710" ht="12.75"/>
    <row r="17711" ht="12.75"/>
    <row r="17712" ht="12.75"/>
    <row r="17713" ht="12.75"/>
    <row r="17714" ht="12.75"/>
    <row r="17715" ht="12.75"/>
    <row r="17716" ht="12.75"/>
    <row r="17717" ht="12.75"/>
    <row r="17718" ht="12.75"/>
    <row r="17719" ht="12.75"/>
    <row r="17720" ht="12.75"/>
    <row r="17721" ht="12.75"/>
    <row r="17722" ht="12.75"/>
    <row r="17723" ht="12.75"/>
    <row r="17724" ht="12.75"/>
    <row r="17725" ht="12.75"/>
    <row r="17726" ht="12.75"/>
    <row r="17727" ht="12.75"/>
    <row r="17728" ht="12.75"/>
    <row r="17729" ht="12.75"/>
    <row r="17730" ht="12.75"/>
    <row r="17731" ht="12.75"/>
    <row r="17732" ht="12.75"/>
    <row r="17733" ht="12.75"/>
    <row r="17734" ht="12.75"/>
    <row r="17735" ht="12.75"/>
    <row r="17736" ht="12.75"/>
    <row r="17737" ht="12.75"/>
    <row r="17738" ht="12.75"/>
    <row r="17739" ht="12.75"/>
    <row r="17740" ht="12.75"/>
    <row r="17741" ht="12.75"/>
    <row r="17742" ht="12.75"/>
    <row r="17743" ht="12.75"/>
    <row r="17744" ht="12.75"/>
    <row r="17745" ht="12.75"/>
    <row r="17746" ht="12.75"/>
    <row r="17747" ht="12.75"/>
    <row r="17748" ht="12.75"/>
    <row r="17749" ht="12.75"/>
    <row r="17750" ht="12.75"/>
    <row r="17751" ht="12.75"/>
    <row r="17752" ht="12.75"/>
    <row r="17753" ht="12.75"/>
    <row r="17754" ht="12.75"/>
    <row r="17755" ht="12.75"/>
    <row r="17756" ht="12.75"/>
    <row r="17757" ht="12.75"/>
    <row r="17758" ht="12.75"/>
    <row r="17759" ht="12.75"/>
    <row r="17760" ht="12.75"/>
    <row r="17761" ht="12.75"/>
    <row r="17762" ht="12.75"/>
    <row r="17763" ht="12.75"/>
    <row r="17764" ht="12.75"/>
    <row r="17765" ht="12.75"/>
    <row r="17766" ht="12.75"/>
    <row r="17767" ht="12.75"/>
    <row r="17768" ht="12.75"/>
    <row r="17769" ht="12.75"/>
    <row r="17770" ht="12.75"/>
    <row r="17771" ht="12.75"/>
    <row r="17772" ht="12.75"/>
    <row r="17773" ht="12.75"/>
    <row r="17774" ht="12.75"/>
    <row r="17775" ht="12.75"/>
    <row r="17776" ht="12.75"/>
    <row r="17777" ht="12.75"/>
    <row r="17778" ht="12.75"/>
    <row r="17779" ht="12.75"/>
    <row r="17780" ht="12.75"/>
    <row r="17781" ht="12.75"/>
    <row r="17782" ht="12.75"/>
    <row r="17783" ht="12.75"/>
    <row r="17784" ht="12.75"/>
    <row r="17785" ht="12.75"/>
    <row r="17786" ht="12.75"/>
    <row r="17787" ht="12.75"/>
    <row r="17788" ht="12.75"/>
    <row r="17789" ht="12.75"/>
    <row r="17790" ht="12.75"/>
    <row r="17791" ht="12.75"/>
    <row r="17792" ht="12.75"/>
    <row r="17793" ht="12.75"/>
    <row r="17794" ht="12.75"/>
    <row r="17795" ht="12.75"/>
    <row r="17796" ht="12.75"/>
    <row r="17797" ht="12.75"/>
    <row r="17798" ht="12.75"/>
    <row r="17799" ht="12.75"/>
    <row r="17800" ht="12.75"/>
    <row r="17801" ht="12.75"/>
    <row r="17802" ht="12.75"/>
    <row r="17803" ht="12.75"/>
    <row r="17804" ht="12.75"/>
    <row r="17805" ht="12.75"/>
    <row r="17806" ht="12.75"/>
    <row r="17807" ht="12.75"/>
    <row r="17808" ht="12.75"/>
    <row r="17809" ht="12.75"/>
    <row r="17810" ht="12.75"/>
    <row r="17811" ht="12.75"/>
    <row r="17812" ht="12.75"/>
    <row r="17813" ht="12.75"/>
    <row r="17814" ht="12.75"/>
    <row r="17815" ht="12.75"/>
    <row r="17816" ht="12.75"/>
    <row r="17817" ht="12.75"/>
    <row r="17818" ht="12.75"/>
    <row r="17819" ht="12.75"/>
    <row r="17820" ht="12.75"/>
    <row r="17821" ht="12.75"/>
    <row r="17822" ht="12.75"/>
    <row r="17823" ht="12.75"/>
    <row r="17824" ht="12.75"/>
    <row r="17825" ht="12.75"/>
    <row r="17826" ht="12.75"/>
    <row r="17827" ht="12.75"/>
    <row r="17828" ht="12.75"/>
    <row r="17829" ht="12.75"/>
    <row r="17830" ht="12.75"/>
    <row r="17831" ht="12.75"/>
    <row r="17832" ht="12.75"/>
    <row r="17833" ht="12.75"/>
    <row r="17834" ht="12.75"/>
    <row r="17835" ht="12.75"/>
    <row r="17836" ht="12.75"/>
    <row r="17837" ht="12.75"/>
    <row r="17838" ht="12.75"/>
    <row r="17839" ht="12.75"/>
    <row r="17840" ht="12.75"/>
    <row r="17841" ht="12.75"/>
    <row r="17842" ht="12.75"/>
    <row r="17843" ht="12.75"/>
    <row r="17844" ht="12.75"/>
    <row r="17845" ht="12.75"/>
    <row r="17846" ht="12.75"/>
    <row r="17847" ht="12.75"/>
    <row r="17848" ht="12.75"/>
    <row r="17849" ht="12.75"/>
    <row r="17850" ht="12.75"/>
    <row r="17851" ht="12.75"/>
    <row r="17852" ht="12.75"/>
    <row r="17853" ht="12.75"/>
    <row r="17854" ht="12.75"/>
    <row r="17855" ht="12.75"/>
    <row r="17856" ht="12.75"/>
    <row r="17857" ht="12.75"/>
    <row r="17858" ht="12.75"/>
    <row r="17859" ht="12.75"/>
    <row r="17860" ht="12.75"/>
    <row r="17861" ht="12.75"/>
    <row r="17862" ht="12.75"/>
    <row r="17863" ht="12.75"/>
    <row r="17864" ht="12.75"/>
    <row r="17865" ht="12.75"/>
    <row r="17866" ht="12.75"/>
    <row r="17867" ht="12.75"/>
    <row r="17868" ht="12.75"/>
    <row r="17869" ht="12.75"/>
    <row r="17870" ht="12.75"/>
    <row r="17871" ht="12.75"/>
    <row r="17872" ht="12.75"/>
    <row r="17873" ht="12.75"/>
    <row r="17874" ht="12.75"/>
    <row r="17875" ht="12.75"/>
    <row r="17876" ht="12.75"/>
    <row r="17877" ht="12.75"/>
    <row r="17878" ht="12.75"/>
    <row r="17879" ht="12.75"/>
    <row r="17880" ht="12.75"/>
    <row r="17881" ht="12.75"/>
    <row r="17882" ht="12.75"/>
    <row r="17883" ht="12.75"/>
    <row r="17884" ht="12.75"/>
    <row r="17885" ht="12.75"/>
    <row r="17886" ht="12.75"/>
    <row r="17887" ht="12.75"/>
    <row r="17888" ht="12.75"/>
    <row r="17889" ht="12.75"/>
    <row r="17890" ht="12.75"/>
    <row r="17891" ht="12.75"/>
    <row r="17892" ht="12.75"/>
    <row r="17893" ht="12.75"/>
    <row r="17894" ht="12.75"/>
    <row r="17895" ht="12.75"/>
    <row r="17896" ht="12.75"/>
    <row r="17897" ht="12.75"/>
    <row r="17898" ht="12.75"/>
    <row r="17899" ht="12.75"/>
    <row r="17900" ht="12.75"/>
    <row r="17901" ht="12.75"/>
    <row r="17902" ht="12.75"/>
    <row r="17903" ht="12.75"/>
    <row r="17904" ht="12.75"/>
    <row r="17905" ht="12.75"/>
    <row r="17906" ht="12.75"/>
    <row r="17907" ht="12.75"/>
    <row r="17908" ht="12.75"/>
    <row r="17909" ht="12.75"/>
    <row r="17910" ht="12.75"/>
    <row r="17911" ht="12.75"/>
    <row r="17912" ht="12.75"/>
    <row r="17913" ht="12.75"/>
    <row r="17914" ht="12.75"/>
    <row r="17915" ht="12.75"/>
    <row r="17916" ht="12.75"/>
    <row r="17917" ht="12.75"/>
    <row r="17918" ht="12.75"/>
    <row r="17919" ht="12.75"/>
    <row r="17920" ht="12.75"/>
    <row r="17921" ht="12.75"/>
    <row r="17922" ht="12.75"/>
    <row r="17923" ht="12.75"/>
    <row r="17924" ht="12.75"/>
    <row r="17925" ht="12.75"/>
    <row r="17926" ht="12.75"/>
    <row r="17927" ht="12.75"/>
    <row r="17928" ht="12.75"/>
    <row r="17929" ht="12.75"/>
    <row r="17930" ht="12.75"/>
    <row r="17931" ht="12.75"/>
    <row r="17932" ht="12.75"/>
    <row r="17933" ht="12.75"/>
    <row r="17934" ht="12.75"/>
    <row r="17935" ht="12.75"/>
    <row r="17936" ht="12.75"/>
    <row r="17937" ht="12.75"/>
    <row r="17938" ht="12.75"/>
    <row r="17939" ht="12.75"/>
    <row r="17940" ht="12.75"/>
    <row r="17941" ht="12.75"/>
    <row r="17942" ht="12.75"/>
    <row r="17943" ht="12.75"/>
    <row r="17944" ht="12.75"/>
    <row r="17945" ht="12.75"/>
    <row r="17946" ht="12.75"/>
    <row r="17947" ht="12.75"/>
    <row r="17948" ht="12.75"/>
    <row r="17949" ht="12.75"/>
    <row r="17950" ht="12.75"/>
    <row r="17951" ht="12.75"/>
    <row r="17952" ht="12.75"/>
    <row r="17953" ht="12.75"/>
    <row r="17954" ht="12.75"/>
    <row r="17955" ht="12.75"/>
    <row r="17956" ht="12.75"/>
    <row r="17957" ht="12.75"/>
    <row r="17958" ht="12.75"/>
    <row r="17959" ht="12.75"/>
    <row r="17960" ht="12.75"/>
    <row r="17961" ht="12.75"/>
    <row r="17962" ht="12.75"/>
    <row r="17963" ht="12.75"/>
    <row r="17964" ht="12.75"/>
    <row r="17965" ht="12.75"/>
    <row r="17966" ht="12.75"/>
    <row r="17967" ht="12.75"/>
    <row r="17968" ht="12.75"/>
    <row r="17969" ht="12.75"/>
    <row r="17970" ht="12.75"/>
    <row r="17971" ht="12.75"/>
    <row r="17972" ht="12.75"/>
    <row r="17973" ht="12.75"/>
    <row r="17974" ht="12.75"/>
    <row r="17975" ht="12.75"/>
    <row r="17976" ht="12.75"/>
    <row r="17977" ht="12.75"/>
    <row r="17978" ht="12.75"/>
    <row r="17979" ht="12.75"/>
    <row r="17980" ht="12.75"/>
    <row r="17981" ht="12.75"/>
    <row r="17982" ht="12.75"/>
    <row r="17983" ht="12.75"/>
    <row r="17984" ht="12.75"/>
    <row r="17985" ht="12.75"/>
    <row r="17986" ht="12.75"/>
    <row r="17987" ht="12.75"/>
    <row r="17988" ht="12.75"/>
    <row r="17989" ht="12.75"/>
    <row r="17990" ht="12.75"/>
    <row r="17991" ht="12.75"/>
    <row r="17992" ht="12.75"/>
    <row r="17993" ht="12.75"/>
    <row r="17994" ht="12.75"/>
    <row r="17995" ht="12.75"/>
    <row r="17996" ht="12.75"/>
    <row r="17997" ht="12.75"/>
    <row r="17998" ht="12.75"/>
    <row r="17999" ht="12.75"/>
    <row r="18000" ht="12.75"/>
    <row r="18001" ht="12.75"/>
    <row r="18002" ht="12.75"/>
    <row r="18003" ht="12.75"/>
    <row r="18004" ht="12.75"/>
    <row r="18005" ht="12.75"/>
    <row r="18006" ht="12.75"/>
    <row r="18007" ht="12.75"/>
    <row r="18008" ht="12.75"/>
    <row r="18009" ht="12.75"/>
    <row r="18010" ht="12.75"/>
    <row r="18011" ht="12.75"/>
    <row r="18012" ht="12.75"/>
    <row r="18013" ht="12.75"/>
    <row r="18014" ht="12.75"/>
    <row r="18015" ht="12.75"/>
    <row r="18016" ht="12.75"/>
    <row r="18017" ht="12.75"/>
    <row r="18018" ht="12.75"/>
    <row r="18019" ht="12.75"/>
    <row r="18020" ht="12.75"/>
    <row r="18021" ht="12.75"/>
    <row r="18022" ht="12.75"/>
    <row r="18023" ht="12.75"/>
    <row r="18024" ht="12.75"/>
    <row r="18025" ht="12.75"/>
    <row r="18026" ht="12.75"/>
    <row r="18027" ht="12.75"/>
    <row r="18028" ht="12.75"/>
    <row r="18029" ht="12.75"/>
    <row r="18030" ht="12.75"/>
    <row r="18031" ht="12.75"/>
    <row r="18032" ht="12.75"/>
    <row r="18033" ht="12.75"/>
    <row r="18034" ht="12.75"/>
    <row r="18035" ht="12.75"/>
    <row r="18036" ht="12.75"/>
    <row r="18037" ht="12.75"/>
    <row r="18038" ht="12.75"/>
    <row r="18039" ht="12.75"/>
    <row r="18040" ht="12.75"/>
    <row r="18041" ht="12.75"/>
    <row r="18042" ht="12.75"/>
    <row r="18043" ht="12.75"/>
    <row r="18044" ht="12.75"/>
    <row r="18045" ht="12.75"/>
    <row r="18046" ht="12.75"/>
    <row r="18047" ht="12.75"/>
    <row r="18048" ht="12.75"/>
    <row r="18049" ht="12.75"/>
    <row r="18050" ht="12.75"/>
    <row r="18051" ht="12.75"/>
    <row r="18052" ht="12.75"/>
    <row r="18053" ht="12.75"/>
    <row r="18054" ht="12.75"/>
    <row r="18055" ht="12.75"/>
    <row r="18056" ht="12.75"/>
    <row r="18057" ht="12.75"/>
    <row r="18058" ht="12.75"/>
    <row r="18059" ht="12.75"/>
    <row r="18060" ht="12.75"/>
    <row r="18061" ht="12.75"/>
    <row r="18062" ht="12.75"/>
    <row r="18063" ht="12.75"/>
    <row r="18064" ht="12.75"/>
    <row r="18065" ht="12.75"/>
    <row r="18066" ht="12.75"/>
    <row r="18067" ht="12.75"/>
    <row r="18068" ht="12.75"/>
    <row r="18069" ht="12.75"/>
    <row r="18070" ht="12.75"/>
    <row r="18071" ht="12.75"/>
    <row r="18072" ht="12.75"/>
    <row r="18073" ht="12.75"/>
    <row r="18074" ht="12.75"/>
    <row r="18075" ht="12.75"/>
    <row r="18076" ht="12.75"/>
    <row r="18077" ht="12.75"/>
    <row r="18078" ht="12.75"/>
    <row r="18079" ht="12.75"/>
    <row r="18080" ht="12.75"/>
    <row r="18081" ht="12.75"/>
    <row r="18082" ht="12.75"/>
    <row r="18083" ht="12.75"/>
    <row r="18084" ht="12.75"/>
    <row r="18085" ht="12.75"/>
    <row r="18086" ht="12.75"/>
    <row r="18087" ht="12.75"/>
    <row r="18088" ht="12.75"/>
    <row r="18089" ht="12.75"/>
    <row r="18090" ht="12.75"/>
    <row r="18091" ht="12.75"/>
    <row r="18092" ht="12.75"/>
    <row r="18093" ht="12.75"/>
    <row r="18094" ht="12.75"/>
    <row r="18095" ht="12.75"/>
    <row r="18096" ht="12.75"/>
    <row r="18097" ht="12.75"/>
    <row r="18098" ht="12.75"/>
    <row r="18099" ht="12.75"/>
    <row r="18100" ht="12.75"/>
    <row r="18101" ht="12.75"/>
    <row r="18102" ht="12.75"/>
    <row r="18103" ht="12.75"/>
    <row r="18104" ht="12.75"/>
    <row r="18105" ht="12.75"/>
    <row r="18106" ht="12.75"/>
    <row r="18107" ht="12.75"/>
    <row r="18108" ht="12.75"/>
    <row r="18109" ht="12.75"/>
    <row r="18110" ht="12.75"/>
    <row r="18111" ht="12.75"/>
    <row r="18112" ht="12.75"/>
    <row r="18113" ht="12.75"/>
    <row r="18114" ht="12.75"/>
    <row r="18115" ht="12.75"/>
    <row r="18116" ht="12.75"/>
    <row r="18117" ht="12.75"/>
    <row r="18118" ht="12.75"/>
    <row r="18119" ht="12.75"/>
    <row r="18120" ht="12.75"/>
    <row r="18121" ht="12.75"/>
    <row r="18122" ht="12.75"/>
    <row r="18123" ht="12.75"/>
    <row r="18124" ht="12.75"/>
    <row r="18125" ht="12.75"/>
    <row r="18126" ht="12.75"/>
    <row r="18127" ht="12.75"/>
    <row r="18128" ht="12.75"/>
    <row r="18129" ht="12.75"/>
    <row r="18130" ht="12.75"/>
    <row r="18131" ht="12.75"/>
    <row r="18132" ht="12.75"/>
    <row r="18133" ht="12.75"/>
    <row r="18134" ht="12.75"/>
    <row r="18135" ht="12.75"/>
    <row r="18136" ht="12.75"/>
    <row r="18137" ht="12.75"/>
    <row r="18138" ht="12.75"/>
    <row r="18139" ht="12.75"/>
    <row r="18140" ht="12.75"/>
    <row r="18141" ht="12.75"/>
    <row r="18142" ht="12.75"/>
    <row r="18143" ht="12.75"/>
    <row r="18144" ht="12.75"/>
    <row r="18145" ht="12.75"/>
    <row r="18146" ht="12.75"/>
    <row r="18147" ht="12.75"/>
    <row r="18148" ht="12.75"/>
    <row r="18149" ht="12.75"/>
    <row r="18150" ht="12.75"/>
    <row r="18151" ht="12.75"/>
    <row r="18152" ht="12.75"/>
    <row r="18153" ht="12.75"/>
    <row r="18154" ht="12.75"/>
    <row r="18155" ht="12.75"/>
    <row r="18156" ht="12.75"/>
    <row r="18157" ht="12.75"/>
    <row r="18158" ht="12.75"/>
    <row r="18159" ht="12.75"/>
    <row r="18160" ht="12.75"/>
    <row r="18161" ht="12.75"/>
    <row r="18162" ht="12.75"/>
    <row r="18163" ht="12.75"/>
    <row r="18164" ht="12.75"/>
    <row r="18165" ht="12.75"/>
    <row r="18166" ht="12.75"/>
    <row r="18167" ht="12.75"/>
    <row r="18168" ht="12.75"/>
    <row r="18169" ht="12.75"/>
    <row r="18170" ht="12.75"/>
    <row r="18171" ht="12.75"/>
    <row r="18172" ht="12.75"/>
    <row r="18173" ht="12.75"/>
    <row r="18174" ht="12.75"/>
    <row r="18175" ht="12.75"/>
    <row r="18176" ht="12.75"/>
    <row r="18177" ht="12.75"/>
    <row r="18178" ht="12.75"/>
    <row r="18179" ht="12.75"/>
    <row r="18180" ht="12.75"/>
    <row r="18181" ht="12.75"/>
    <row r="18182" ht="12.75"/>
    <row r="18183" ht="12.75"/>
    <row r="18184" ht="12.75"/>
    <row r="18185" ht="12.75"/>
    <row r="18186" ht="12.75"/>
    <row r="18187" ht="12.75"/>
    <row r="18188" ht="12.75"/>
    <row r="18189" ht="12.75"/>
    <row r="18190" ht="12.75"/>
    <row r="18191" ht="12.75"/>
    <row r="18192" ht="12.75"/>
    <row r="18193" ht="12.75"/>
    <row r="18194" ht="12.75"/>
    <row r="18195" ht="12.75"/>
    <row r="18196" ht="12.75"/>
    <row r="18197" ht="12.75"/>
    <row r="18198" ht="12.75"/>
    <row r="18199" ht="12.75"/>
    <row r="18200" ht="12.75"/>
    <row r="18201" ht="12.75"/>
    <row r="18202" ht="12.75"/>
    <row r="18203" ht="12.75"/>
    <row r="18204" ht="12.75"/>
    <row r="18205" ht="12.75"/>
    <row r="18206" ht="12.75"/>
    <row r="18207" ht="12.75"/>
    <row r="18208" ht="12.75"/>
    <row r="18209" ht="12.75"/>
    <row r="18210" ht="12.75"/>
    <row r="18211" ht="12.75"/>
    <row r="18212" ht="12.75"/>
    <row r="18213" ht="12.75"/>
    <row r="18214" ht="12.75"/>
    <row r="18215" ht="12.75"/>
    <row r="18216" ht="12.75"/>
    <row r="18217" ht="12.75"/>
    <row r="18218" ht="12.75"/>
    <row r="18219" ht="12.75"/>
    <row r="18220" ht="12.75"/>
    <row r="18221" ht="12.75"/>
    <row r="18222" ht="12.75"/>
    <row r="18223" ht="12.75"/>
    <row r="18224" ht="12.75"/>
    <row r="18225" ht="12.75"/>
    <row r="18226" ht="12.75"/>
    <row r="18227" ht="12.75"/>
    <row r="18228" ht="12.75"/>
    <row r="18229" ht="12.75"/>
    <row r="18230" ht="12.75"/>
    <row r="18231" ht="12.75"/>
    <row r="18232" ht="12.75"/>
    <row r="18233" ht="12.75"/>
    <row r="18234" ht="12.75"/>
    <row r="18235" ht="12.75"/>
    <row r="18236" ht="12.75"/>
    <row r="18237" ht="12.75"/>
    <row r="18238" ht="12.75"/>
    <row r="18239" ht="12.75"/>
    <row r="18240" ht="12.75"/>
    <row r="18241" ht="12.75"/>
    <row r="18242" ht="12.75"/>
    <row r="18243" ht="12.75"/>
    <row r="18244" ht="12.75"/>
    <row r="18245" ht="12.75"/>
    <row r="18246" ht="12.75"/>
    <row r="18247" ht="12.75"/>
    <row r="18248" ht="12.75"/>
    <row r="18249" ht="12.75"/>
    <row r="18250" ht="12.75"/>
    <row r="18251" ht="12.75"/>
    <row r="18252" ht="12.75"/>
    <row r="18253" ht="12.75"/>
    <row r="18254" ht="12.75"/>
    <row r="18255" ht="12.75"/>
    <row r="18256" ht="12.75"/>
    <row r="18257" ht="12.75"/>
    <row r="18258" ht="12.75"/>
    <row r="18259" ht="12.75"/>
    <row r="18260" ht="12.75"/>
    <row r="18261" ht="12.75"/>
    <row r="18262" ht="12.75"/>
    <row r="18263" ht="12.75"/>
    <row r="18264" ht="12.75"/>
    <row r="18265" ht="12.75"/>
    <row r="18266" ht="12.75"/>
    <row r="18267" ht="12.75"/>
    <row r="18268" ht="12.75"/>
    <row r="18269" ht="12.75"/>
    <row r="18270" ht="12.75"/>
    <row r="18271" ht="12.75"/>
    <row r="18272" ht="12.75"/>
    <row r="18273" ht="12.75"/>
    <row r="18274" ht="12.75"/>
    <row r="18275" ht="12.75"/>
    <row r="18276" ht="12.75"/>
    <row r="18277" ht="12.75"/>
    <row r="18278" ht="12.75"/>
    <row r="18279" ht="12.75"/>
    <row r="18280" ht="12.75"/>
    <row r="18281" ht="12.75"/>
    <row r="18282" ht="12.75"/>
    <row r="18283" ht="12.75"/>
    <row r="18284" ht="12.75"/>
    <row r="18285" ht="12.75"/>
    <row r="18286" ht="12.75"/>
    <row r="18287" ht="12.75"/>
    <row r="18288" ht="12.75"/>
    <row r="18289" ht="12.75"/>
    <row r="18290" ht="12.75"/>
    <row r="18291" ht="12.75"/>
    <row r="18292" ht="12.75"/>
    <row r="18293" ht="12.75"/>
    <row r="18294" ht="12.75"/>
    <row r="18295" ht="12.75"/>
    <row r="18296" ht="12.75"/>
    <row r="18297" ht="12.75"/>
    <row r="18298" ht="12.75"/>
    <row r="18299" ht="12.75"/>
    <row r="18300" ht="12.75"/>
    <row r="18301" ht="12.75"/>
    <row r="18302" ht="12.75"/>
    <row r="18303" ht="12.75"/>
    <row r="18304" ht="12.75"/>
    <row r="18305" ht="12.75"/>
    <row r="18306" ht="12.75"/>
    <row r="18307" ht="12.75"/>
    <row r="18308" ht="12.75"/>
    <row r="18309" ht="12.75"/>
    <row r="18310" ht="12.75"/>
    <row r="18311" ht="12.75"/>
    <row r="18312" ht="12.75"/>
    <row r="18313" ht="12.75"/>
    <row r="18314" ht="12.75"/>
    <row r="18315" ht="12.75"/>
    <row r="18316" ht="12.75"/>
    <row r="18317" ht="12.75"/>
    <row r="18318" ht="12.75"/>
    <row r="18319" ht="12.75"/>
    <row r="18320" ht="12.75"/>
    <row r="18321" ht="12.75"/>
    <row r="18322" ht="12.75"/>
    <row r="18323" ht="12.75"/>
    <row r="18324" ht="12.75"/>
    <row r="18325" ht="12.75"/>
    <row r="18326" ht="12.75"/>
    <row r="18327" ht="12.75"/>
    <row r="18328" ht="12.75"/>
    <row r="18329" ht="12.75"/>
    <row r="18330" ht="12.75"/>
    <row r="18331" ht="12.75"/>
    <row r="18332" ht="12.75"/>
    <row r="18333" ht="12.75"/>
    <row r="18334" ht="12.75"/>
    <row r="18335" ht="12.75"/>
    <row r="18336" ht="12.75"/>
    <row r="18337" ht="12.75"/>
    <row r="18338" ht="12.75"/>
    <row r="18339" ht="12.75"/>
    <row r="18340" ht="12.75"/>
    <row r="18341" ht="12.75"/>
    <row r="18342" ht="12.75"/>
    <row r="18343" ht="12.75"/>
    <row r="18344" ht="12.75"/>
    <row r="18345" ht="12.75"/>
    <row r="18346" ht="12.75"/>
    <row r="18347" ht="12.75"/>
    <row r="18348" ht="12.75"/>
    <row r="18349" ht="12.75"/>
    <row r="18350" ht="12.75"/>
    <row r="18351" ht="12.75"/>
    <row r="18352" ht="12.75"/>
    <row r="18353" ht="12.75"/>
    <row r="18354" ht="12.75"/>
    <row r="18355" ht="12.75"/>
    <row r="18356" ht="12.75"/>
    <row r="18357" ht="12.75"/>
    <row r="18358" ht="12.75"/>
    <row r="18359" ht="12.75"/>
    <row r="18360" ht="12.75"/>
    <row r="18361" ht="12.75"/>
    <row r="18362" ht="12.75"/>
    <row r="18363" ht="12.75"/>
    <row r="18364" ht="12.75"/>
    <row r="18365" ht="12.75"/>
    <row r="18366" ht="12.75"/>
    <row r="18367" ht="12.75"/>
    <row r="18368" ht="12.75"/>
    <row r="18369" ht="12.75"/>
    <row r="18370" ht="12.75"/>
    <row r="18371" ht="12.75"/>
    <row r="18372" ht="12.75"/>
    <row r="18373" ht="12.75"/>
    <row r="18374" ht="12.75"/>
    <row r="18375" ht="12.75"/>
    <row r="18376" ht="12.75"/>
    <row r="18377" ht="12.75"/>
    <row r="18378" ht="12.75"/>
    <row r="18379" ht="12.75"/>
    <row r="18380" ht="12.75"/>
    <row r="18381" ht="12.75"/>
    <row r="18382" ht="12.75"/>
    <row r="18383" ht="12.75"/>
    <row r="18384" ht="12.75"/>
    <row r="18385" ht="12.75"/>
    <row r="18386" ht="12.75"/>
    <row r="18387" ht="12.75"/>
    <row r="18388" ht="12.75"/>
    <row r="18389" ht="12.75"/>
    <row r="18390" ht="12.75"/>
    <row r="18391" ht="12.75"/>
    <row r="18392" ht="12.75"/>
    <row r="18393" ht="12.75"/>
    <row r="18394" ht="12.75"/>
    <row r="18395" ht="12.75"/>
    <row r="18396" ht="12.75"/>
    <row r="18397" ht="12.75"/>
    <row r="18398" ht="12.75"/>
    <row r="18399" ht="12.75"/>
    <row r="18400" ht="12.75"/>
    <row r="18401" ht="12.75"/>
    <row r="18402" ht="12.75"/>
    <row r="18403" ht="12.75"/>
    <row r="18404" ht="12.75"/>
    <row r="18405" ht="12.75"/>
    <row r="18406" ht="12.75"/>
    <row r="18407" ht="12.75"/>
    <row r="18408" ht="12.75"/>
    <row r="18409" ht="12.75"/>
    <row r="18410" ht="12.75"/>
    <row r="18411" ht="12.75"/>
    <row r="18412" ht="12.75"/>
    <row r="18413" ht="12.75"/>
    <row r="18414" ht="12.75"/>
    <row r="18415" ht="12.75"/>
    <row r="18416" ht="12.75"/>
    <row r="18417" ht="12.75"/>
    <row r="18418" ht="12.75"/>
    <row r="18419" ht="12.75"/>
    <row r="18420" ht="12.75"/>
    <row r="18421" ht="12.75"/>
    <row r="18422" ht="12.75"/>
    <row r="18423" ht="12.75"/>
    <row r="18424" ht="12.75"/>
    <row r="18425" ht="12.75"/>
    <row r="18426" ht="12.75"/>
    <row r="18427" ht="12.75"/>
    <row r="18428" ht="12.75"/>
    <row r="18429" ht="12.75"/>
    <row r="18430" ht="12.75"/>
    <row r="18431" ht="12.75"/>
    <row r="18432" ht="12.75"/>
    <row r="18433" ht="12.75"/>
    <row r="18434" ht="12.75"/>
    <row r="18435" ht="12.75"/>
    <row r="18436" ht="12.75"/>
    <row r="18437" ht="12.75"/>
    <row r="18438" ht="12.75"/>
    <row r="18439" ht="12.75"/>
    <row r="18440" ht="12.75"/>
    <row r="18441" ht="12.75"/>
    <row r="18442" ht="12.75"/>
    <row r="18443" ht="12.75"/>
    <row r="18444" ht="12.75"/>
    <row r="18445" ht="12.75"/>
    <row r="18446" ht="12.75"/>
    <row r="18447" ht="12.75"/>
    <row r="18448" ht="12.75"/>
    <row r="18449" ht="12.75"/>
    <row r="18450" ht="12.75"/>
    <row r="18451" ht="12.75"/>
    <row r="18452" ht="12.75"/>
    <row r="18453" ht="12.75"/>
    <row r="18454" ht="12.75"/>
    <row r="18455" ht="12.75"/>
    <row r="18456" ht="12.75"/>
    <row r="18457" ht="12.75"/>
    <row r="18458" ht="12.75"/>
    <row r="18459" ht="12.75"/>
    <row r="18460" ht="12.75"/>
    <row r="18461" ht="12.75"/>
    <row r="18462" ht="12.75"/>
    <row r="18463" ht="12.75"/>
    <row r="18464" ht="12.75"/>
    <row r="18465" ht="12.75"/>
    <row r="18466" ht="12.75"/>
    <row r="18467" ht="12.75"/>
    <row r="18468" ht="12.75"/>
    <row r="18469" ht="12.75"/>
    <row r="18470" ht="12.75"/>
    <row r="18471" ht="12.75"/>
    <row r="18472" ht="12.75"/>
    <row r="18473" ht="12.75"/>
    <row r="18474" ht="12.75"/>
    <row r="18475" ht="12.75"/>
    <row r="18476" ht="12.75"/>
    <row r="18477" ht="12.75"/>
    <row r="18478" ht="12.75"/>
    <row r="18479" ht="12.75"/>
    <row r="18480" ht="12.75"/>
    <row r="18481" ht="12.75"/>
    <row r="18482" ht="12.75"/>
    <row r="18483" ht="12.75"/>
    <row r="18484" ht="12.75"/>
    <row r="18485" ht="12.75"/>
    <row r="18486" ht="12.75"/>
    <row r="18487" ht="12.75"/>
    <row r="18488" ht="12.75"/>
    <row r="18489" ht="12.75"/>
    <row r="18490" ht="12.75"/>
    <row r="18491" ht="12.75"/>
    <row r="18492" ht="12.75"/>
    <row r="18493" ht="12.75"/>
    <row r="18494" ht="12.75"/>
    <row r="18495" ht="12.75"/>
    <row r="18496" ht="12.75"/>
    <row r="18497" ht="12.75"/>
    <row r="18498" ht="12.75"/>
    <row r="18499" ht="12.75"/>
    <row r="18500" ht="12.75"/>
    <row r="18501" ht="12.75"/>
    <row r="18502" ht="12.75"/>
    <row r="18503" ht="12.75"/>
    <row r="18504" ht="12.75"/>
    <row r="18505" ht="12.75"/>
    <row r="18506" ht="12.75"/>
    <row r="18507" ht="12.75"/>
    <row r="18508" ht="12.75"/>
    <row r="18509" ht="12.75"/>
    <row r="18510" ht="12.75"/>
    <row r="18511" ht="12.75"/>
    <row r="18512" ht="12.75"/>
    <row r="18513" ht="12.75"/>
    <row r="18514" ht="12.75"/>
    <row r="18515" ht="12.75"/>
    <row r="18516" ht="12.75"/>
    <row r="18517" ht="12.75"/>
    <row r="18518" ht="12.75"/>
    <row r="18519" ht="12.75"/>
    <row r="18520" ht="12.75"/>
    <row r="18521" ht="12.75"/>
    <row r="18522" ht="12.75"/>
    <row r="18523" ht="12.75"/>
    <row r="18524" ht="12.75"/>
    <row r="18525" ht="12.75"/>
    <row r="18526" ht="12.75"/>
    <row r="18527" ht="12.75"/>
    <row r="18528" ht="12.75"/>
    <row r="18529" ht="12.75"/>
    <row r="18530" ht="12.75"/>
    <row r="18531" ht="12.75"/>
    <row r="18532" ht="12.75"/>
    <row r="18533" ht="12.75"/>
    <row r="18534" ht="12.75"/>
    <row r="18535" ht="12.75"/>
    <row r="18536" ht="12.75"/>
    <row r="18537" ht="12.75"/>
    <row r="18538" ht="12.75"/>
    <row r="18539" ht="12.75"/>
    <row r="18540" ht="12.75"/>
    <row r="18541" ht="12.75"/>
    <row r="18542" ht="12.75"/>
    <row r="18543" ht="12.75"/>
    <row r="18544" ht="12.75"/>
    <row r="18545" ht="12.75"/>
    <row r="18546" ht="12.75"/>
    <row r="18547" ht="12.75"/>
    <row r="18548" ht="12.75"/>
    <row r="18549" ht="12.75"/>
    <row r="18550" ht="12.75"/>
    <row r="18551" ht="12.75"/>
    <row r="18552" ht="12.75"/>
    <row r="18553" ht="12.75"/>
    <row r="18554" ht="12.75"/>
    <row r="18555" ht="12.75"/>
    <row r="18556" ht="12.75"/>
    <row r="18557" ht="12.75"/>
    <row r="18558" ht="12.75"/>
    <row r="18559" ht="12.75"/>
    <row r="18560" ht="12.75"/>
    <row r="18561" ht="12.75"/>
    <row r="18562" ht="12.75"/>
    <row r="18563" ht="12.75"/>
    <row r="18564" ht="12.75"/>
    <row r="18565" ht="12.75"/>
    <row r="18566" ht="12.75"/>
    <row r="18567" ht="12.75"/>
    <row r="18568" ht="12.75"/>
    <row r="18569" ht="12.75"/>
    <row r="18570" ht="12.75"/>
    <row r="18571" ht="12.75"/>
    <row r="18572" ht="12.75"/>
    <row r="18573" ht="12.75"/>
    <row r="18574" ht="12.75"/>
    <row r="18575" ht="12.75"/>
    <row r="18576" ht="12.75"/>
    <row r="18577" ht="12.75"/>
    <row r="18578" ht="12.75"/>
    <row r="18579" ht="12.75"/>
    <row r="18580" ht="12.75"/>
    <row r="18581" ht="12.75"/>
    <row r="18582" ht="12.75"/>
    <row r="18583" ht="12.75"/>
    <row r="18584" ht="12.75"/>
    <row r="18585" ht="12.75"/>
    <row r="18586" ht="12.75"/>
    <row r="18587" ht="12.75"/>
    <row r="18588" ht="12.75"/>
    <row r="18589" ht="12.75"/>
    <row r="18590" ht="12.75"/>
    <row r="18591" ht="12.75"/>
    <row r="18592" ht="12.75"/>
    <row r="18593" ht="12.75"/>
    <row r="18594" ht="12.75"/>
    <row r="18595" ht="12.75"/>
    <row r="18596" ht="12.75"/>
    <row r="18597" ht="12.75"/>
    <row r="18598" ht="12.75"/>
    <row r="18599" ht="12.75"/>
    <row r="18600" ht="12.75"/>
    <row r="18601" ht="12.75"/>
    <row r="18602" ht="12.75"/>
    <row r="18603" ht="12.75"/>
    <row r="18604" ht="12.75"/>
    <row r="18605" ht="12.75"/>
    <row r="18606" ht="12.75"/>
    <row r="18607" ht="12.75"/>
    <row r="18608" ht="12.75"/>
    <row r="18609" ht="12.75"/>
    <row r="18610" ht="12.75"/>
    <row r="18611" ht="12.75"/>
    <row r="18612" ht="12.75"/>
    <row r="18613" ht="12.75"/>
    <row r="18614" ht="12.75"/>
    <row r="18615" ht="12.75"/>
    <row r="18616" ht="12.75"/>
    <row r="18617" ht="12.75"/>
    <row r="18618" ht="12.75"/>
    <row r="18619" ht="12.75"/>
    <row r="18620" ht="12.75"/>
    <row r="18621" ht="12.75"/>
    <row r="18622" ht="12.75"/>
    <row r="18623" ht="12.75"/>
    <row r="18624" ht="12.75"/>
    <row r="18625" ht="12.75"/>
    <row r="18626" ht="12.75"/>
    <row r="18627" ht="12.75"/>
    <row r="18628" ht="12.75"/>
    <row r="18629" ht="12.75"/>
    <row r="18630" ht="12.75"/>
    <row r="18631" ht="12.75"/>
    <row r="18632" ht="12.75"/>
    <row r="18633" ht="12.75"/>
    <row r="18634" ht="12.75"/>
    <row r="18635" ht="12.75"/>
    <row r="18636" ht="12.75"/>
    <row r="18637" ht="12.75"/>
    <row r="18638" ht="12.75"/>
    <row r="18639" ht="12.75"/>
    <row r="18640" ht="12.75"/>
    <row r="18641" ht="12.75"/>
    <row r="18642" ht="12.75"/>
    <row r="18643" ht="12.75"/>
    <row r="18644" ht="12.75"/>
    <row r="18645" ht="12.75"/>
    <row r="18646" ht="12.75"/>
    <row r="18647" ht="12.75"/>
    <row r="18648" ht="12.75"/>
    <row r="18649" ht="12.75"/>
    <row r="18650" ht="12.75"/>
    <row r="18651" ht="12.75"/>
    <row r="18652" ht="12.75"/>
    <row r="18653" ht="12.75"/>
    <row r="18654" ht="12.75"/>
    <row r="18655" ht="12.75"/>
    <row r="18656" ht="12.75"/>
    <row r="18657" ht="12.75"/>
    <row r="18658" ht="12.75"/>
    <row r="18659" ht="12.75"/>
    <row r="18660" ht="12.75"/>
    <row r="18661" ht="12.75"/>
    <row r="18662" ht="12.75"/>
    <row r="18663" ht="12.75"/>
    <row r="18664" ht="12.75"/>
    <row r="18665" ht="12.75"/>
    <row r="18666" ht="12.75"/>
    <row r="18667" ht="12.75"/>
    <row r="18668" ht="12.75"/>
    <row r="18669" ht="12.75"/>
    <row r="18670" ht="12.75"/>
    <row r="18671" ht="12.75"/>
    <row r="18672" ht="12.75"/>
    <row r="18673" ht="12.75"/>
    <row r="18674" ht="12.75"/>
    <row r="18675" ht="12.75"/>
    <row r="18676" ht="12.75"/>
    <row r="18677" ht="12.75"/>
    <row r="18678" ht="12.75"/>
    <row r="18679" ht="12.75"/>
    <row r="18680" ht="12.75"/>
    <row r="18681" ht="12.75"/>
    <row r="18682" ht="12.75"/>
    <row r="18683" ht="12.75"/>
    <row r="18684" ht="12.75"/>
    <row r="18685" ht="12.75"/>
    <row r="18686" ht="12.75"/>
    <row r="18687" ht="12.75"/>
    <row r="18688" ht="12.75"/>
    <row r="18689" ht="12.75"/>
    <row r="18690" ht="12.75"/>
    <row r="18691" ht="12.75"/>
    <row r="18692" ht="12.75"/>
    <row r="18693" ht="12.75"/>
    <row r="18694" ht="12.75"/>
    <row r="18695" ht="12.75"/>
    <row r="18696" ht="12.75"/>
    <row r="18697" ht="12.75"/>
    <row r="18698" ht="12.75"/>
    <row r="18699" ht="12.75"/>
    <row r="18700" ht="12.75"/>
    <row r="18701" ht="12.75"/>
    <row r="18702" ht="12.75"/>
    <row r="18703" ht="12.75"/>
    <row r="18704" ht="12.75"/>
    <row r="18705" ht="12.75"/>
    <row r="18706" ht="12.75"/>
    <row r="18707" ht="12.75"/>
    <row r="18708" ht="12.75"/>
    <row r="18709" ht="12.75"/>
    <row r="18710" ht="12.75"/>
    <row r="18711" ht="12.75"/>
    <row r="18712" ht="12.75"/>
    <row r="18713" ht="12.75"/>
    <row r="18714" ht="12.75"/>
    <row r="18715" ht="12.75"/>
    <row r="18716" ht="12.75"/>
    <row r="18717" ht="12.75"/>
    <row r="18718" ht="12.75"/>
    <row r="18719" ht="12.75"/>
    <row r="18720" ht="12.75"/>
    <row r="18721" ht="12.75"/>
    <row r="18722" ht="12.75"/>
    <row r="18723" ht="12.75"/>
    <row r="18724" ht="12.75"/>
    <row r="18725" ht="12.75"/>
    <row r="18726" ht="12.75"/>
    <row r="18727" ht="12.75"/>
    <row r="18728" ht="12.75"/>
    <row r="18729" ht="12.75"/>
    <row r="18730" ht="12.75"/>
    <row r="18731" ht="12.75"/>
    <row r="18732" ht="12.75"/>
    <row r="18733" ht="12.75"/>
    <row r="18734" ht="12.75"/>
    <row r="18735" ht="12.75"/>
    <row r="18736" ht="12.75"/>
    <row r="18737" ht="12.75"/>
    <row r="18738" ht="12.75"/>
    <row r="18739" ht="12.75"/>
    <row r="18740" ht="12.75"/>
    <row r="18741" ht="12.75"/>
    <row r="18742" ht="12.75"/>
    <row r="18743" ht="12.75"/>
    <row r="18744" ht="12.75"/>
    <row r="18745" ht="12.75"/>
    <row r="18746" ht="12.75"/>
    <row r="18747" ht="12.75"/>
    <row r="18748" ht="12.75"/>
    <row r="18749" ht="12.75"/>
    <row r="18750" ht="12.75"/>
    <row r="18751" ht="12.75"/>
    <row r="18752" ht="12.75"/>
    <row r="18753" ht="12.75"/>
    <row r="18754" ht="12.75"/>
    <row r="18755" ht="12.75"/>
    <row r="18756" ht="12.75"/>
    <row r="18757" ht="12.75"/>
    <row r="18758" ht="12.75"/>
    <row r="18759" ht="12.75"/>
    <row r="18760" ht="12.75"/>
    <row r="18761" ht="12.75"/>
    <row r="18762" ht="12.75"/>
    <row r="18763" ht="12.75"/>
    <row r="18764" ht="12.75"/>
    <row r="18765" ht="12.75"/>
    <row r="18766" ht="12.75"/>
    <row r="18767" ht="12.75"/>
    <row r="18768" ht="12.75"/>
    <row r="18769" ht="12.75"/>
    <row r="18770" ht="12.75"/>
    <row r="18771" ht="12.75"/>
    <row r="18772" ht="12.75"/>
    <row r="18773" ht="12.75"/>
    <row r="18774" ht="12.75"/>
    <row r="18775" ht="12.75"/>
    <row r="18776" ht="12.75"/>
    <row r="18777" ht="12.75"/>
    <row r="18778" ht="12.75"/>
    <row r="18779" ht="12.75"/>
    <row r="18780" ht="12.75"/>
    <row r="18781" ht="12.75"/>
    <row r="18782" ht="12.75"/>
    <row r="18783" ht="12.75"/>
    <row r="18784" ht="12.75"/>
    <row r="18785" ht="12.75"/>
    <row r="18786" ht="12.75"/>
    <row r="18787" ht="12.75"/>
    <row r="18788" ht="12.75"/>
    <row r="18789" ht="12.75"/>
    <row r="18790" ht="12.75"/>
    <row r="18791" ht="12.75"/>
    <row r="18792" ht="12.75"/>
    <row r="18793" ht="12.75"/>
    <row r="18794" ht="12.75"/>
    <row r="18795" ht="12.75"/>
    <row r="18796" ht="12.75"/>
    <row r="18797" ht="12.75"/>
    <row r="18798" ht="12.75"/>
    <row r="18799" ht="12.75"/>
    <row r="18800" ht="12.75"/>
    <row r="18801" ht="12.75"/>
    <row r="18802" ht="12.75"/>
    <row r="18803" ht="12.75"/>
    <row r="18804" ht="12.75"/>
    <row r="18805" ht="12.75"/>
    <row r="18806" ht="12.75"/>
    <row r="18807" ht="12.75"/>
    <row r="18808" ht="12.75"/>
    <row r="18809" ht="12.75"/>
    <row r="18810" ht="12.75"/>
    <row r="18811" ht="12.75"/>
    <row r="18812" ht="12.75"/>
    <row r="18813" ht="12.75"/>
    <row r="18814" ht="12.75"/>
    <row r="18815" ht="12.75"/>
    <row r="18816" ht="12.75"/>
    <row r="18817" ht="12.75"/>
    <row r="18818" ht="12.75"/>
    <row r="18819" ht="12.75"/>
    <row r="18820" ht="12.75"/>
    <row r="18821" ht="12.75"/>
    <row r="18822" ht="12.75"/>
    <row r="18823" ht="12.75"/>
    <row r="18824" ht="12.75"/>
    <row r="18825" ht="12.75"/>
    <row r="18826" ht="12.75"/>
    <row r="18827" ht="12.75"/>
    <row r="18828" ht="12.75"/>
    <row r="18829" ht="12.75"/>
    <row r="18830" ht="12.75"/>
    <row r="18831" ht="12.75"/>
    <row r="18832" ht="12.75"/>
    <row r="18833" ht="12.75"/>
    <row r="18834" ht="12.75"/>
    <row r="18835" ht="12.75"/>
    <row r="18836" ht="12.75"/>
    <row r="18837" ht="12.75"/>
    <row r="18838" ht="12.75"/>
    <row r="18839" ht="12.75"/>
    <row r="18840" ht="12.75"/>
    <row r="18841" ht="12.75"/>
    <row r="18842" ht="12.75"/>
    <row r="18843" ht="12.75"/>
    <row r="18844" ht="12.75"/>
    <row r="18845" ht="12.75"/>
    <row r="18846" ht="12.75"/>
    <row r="18847" ht="12.75"/>
    <row r="18848" ht="12.75"/>
    <row r="18849" ht="12.75"/>
    <row r="18850" ht="12.75"/>
    <row r="18851" ht="12.75"/>
    <row r="18852" ht="12.75"/>
    <row r="18853" ht="12.75"/>
    <row r="18854" ht="12.75"/>
    <row r="18855" ht="12.75"/>
    <row r="18856" ht="12.75"/>
    <row r="18857" ht="12.75"/>
    <row r="18858" ht="12.75"/>
    <row r="18859" ht="12.75"/>
    <row r="18860" ht="12.75"/>
    <row r="18861" ht="12.75"/>
    <row r="18862" ht="12.75"/>
    <row r="18863" ht="12.75"/>
    <row r="18864" ht="12.75"/>
    <row r="18865" ht="12.75"/>
    <row r="18866" ht="12.75"/>
    <row r="18867" ht="12.75"/>
    <row r="18868" ht="12.75"/>
    <row r="18869" ht="12.75"/>
    <row r="18870" ht="12.75"/>
    <row r="18871" ht="12.75"/>
    <row r="18872" ht="12.75"/>
    <row r="18873" ht="12.75"/>
    <row r="18874" ht="12.75"/>
    <row r="18875" ht="12.75"/>
    <row r="18876" ht="12.75"/>
    <row r="18877" ht="12.75"/>
    <row r="18878" ht="12.75"/>
    <row r="18879" ht="12.75"/>
    <row r="18880" ht="12.75"/>
    <row r="18881" ht="12.75"/>
    <row r="18882" ht="12.75"/>
    <row r="18883" ht="12.75"/>
    <row r="18884" ht="12.75"/>
    <row r="18885" ht="12.75"/>
    <row r="18886" ht="12.75"/>
    <row r="18887" ht="12.75"/>
    <row r="18888" ht="12.75"/>
    <row r="18889" ht="12.75"/>
    <row r="18890" ht="12.75"/>
    <row r="18891" ht="12.75"/>
    <row r="18892" ht="12.75"/>
    <row r="18893" ht="12.75"/>
    <row r="18894" ht="12.75"/>
    <row r="18895" ht="12.75"/>
    <row r="18896" ht="12.75"/>
    <row r="18897" ht="12.75"/>
    <row r="18898" ht="12.75"/>
    <row r="18899" ht="12.75"/>
    <row r="18900" ht="12.75"/>
    <row r="18901" ht="12.75"/>
    <row r="18902" ht="12.75"/>
    <row r="18903" ht="12.75"/>
    <row r="18904" ht="12.75"/>
    <row r="18905" ht="12.75"/>
    <row r="18906" ht="12.75"/>
    <row r="18907" ht="12.75"/>
    <row r="18908" ht="12.75"/>
    <row r="18909" ht="12.75"/>
    <row r="18910" ht="12.75"/>
    <row r="18911" ht="12.75"/>
    <row r="18912" ht="12.75"/>
    <row r="18913" ht="12.75"/>
    <row r="18914" ht="12.75"/>
    <row r="18915" ht="12.75"/>
    <row r="18916" ht="12.75"/>
    <row r="18917" ht="12.75"/>
    <row r="18918" ht="12.75"/>
    <row r="18919" ht="12.75"/>
    <row r="18920" ht="12.75"/>
    <row r="18921" ht="12.75"/>
    <row r="18922" ht="12.75"/>
    <row r="18923" ht="12.75"/>
    <row r="18924" ht="12.75"/>
    <row r="18925" ht="12.75"/>
    <row r="18926" ht="12.75"/>
    <row r="18927" ht="12.75"/>
    <row r="18928" ht="12.75"/>
    <row r="18929" ht="12.75"/>
    <row r="18930" ht="12.75"/>
    <row r="18931" ht="12.75"/>
    <row r="18932" ht="12.75"/>
    <row r="18933" ht="12.75"/>
    <row r="18934" ht="12.75"/>
    <row r="18935" ht="12.75"/>
    <row r="18936" ht="12.75"/>
    <row r="18937" ht="12.75"/>
    <row r="18938" ht="12.75"/>
    <row r="18939" ht="12.75"/>
    <row r="18940" ht="12.75"/>
    <row r="18941" ht="12.75"/>
    <row r="18942" ht="12.75"/>
    <row r="18943" ht="12.75"/>
    <row r="18944" ht="12.75"/>
    <row r="18945" ht="12.75"/>
    <row r="18946" ht="12.75"/>
    <row r="18947" ht="12.75"/>
    <row r="18948" ht="12.75"/>
    <row r="18949" ht="12.75"/>
    <row r="18950" ht="12.75"/>
    <row r="18951" ht="12.75"/>
    <row r="18952" ht="12.75"/>
    <row r="18953" ht="12.75"/>
    <row r="18954" ht="12.75"/>
    <row r="18955" ht="12.75"/>
    <row r="18956" ht="12.75"/>
    <row r="18957" ht="12.75"/>
    <row r="18958" ht="12.75"/>
    <row r="18959" ht="12.75"/>
    <row r="18960" ht="12.75"/>
    <row r="18961" ht="12.75"/>
    <row r="18962" ht="12.75"/>
    <row r="18963" ht="12.75"/>
    <row r="18964" ht="12.75"/>
    <row r="18965" ht="12.75"/>
    <row r="18966" ht="12.75"/>
    <row r="18967" ht="12.75"/>
    <row r="18968" ht="12.75"/>
    <row r="18969" ht="12.75"/>
    <row r="18970" ht="12.75"/>
    <row r="18971" ht="12.75"/>
    <row r="18972" ht="12.75"/>
    <row r="18973" ht="12.75"/>
    <row r="18974" ht="12.75"/>
    <row r="18975" ht="12.75"/>
    <row r="18976" ht="12.75"/>
    <row r="18977" ht="12.75"/>
    <row r="18978" ht="12.75"/>
    <row r="18979" ht="12.75"/>
    <row r="18980" ht="12.75"/>
    <row r="18981" ht="12.75"/>
    <row r="18982" ht="12.75"/>
    <row r="18983" ht="12.75"/>
    <row r="18984" ht="12.75"/>
    <row r="18985" ht="12.75"/>
    <row r="18986" ht="12.75"/>
    <row r="18987" ht="12.75"/>
    <row r="18988" ht="12.75"/>
    <row r="18989" ht="12.75"/>
    <row r="18990" ht="12.75"/>
    <row r="18991" ht="12.75"/>
    <row r="18992" ht="12.75"/>
    <row r="18993" ht="12.75"/>
    <row r="18994" ht="12.75"/>
    <row r="18995" ht="12.75"/>
    <row r="18996" ht="12.75"/>
    <row r="18997" ht="12.75"/>
    <row r="18998" ht="12.75"/>
    <row r="18999" ht="12.75"/>
    <row r="19000" ht="12.75"/>
    <row r="19001" ht="12.75"/>
    <row r="19002" ht="12.75"/>
    <row r="19003" ht="12.75"/>
    <row r="19004" ht="12.75"/>
    <row r="19005" ht="12.75"/>
    <row r="19006" ht="12.75"/>
    <row r="19007" ht="12.75"/>
    <row r="19008" ht="12.75"/>
    <row r="19009" ht="12.75"/>
    <row r="19010" ht="12.75"/>
    <row r="19011" ht="12.75"/>
    <row r="19012" ht="12.75"/>
    <row r="19013" ht="12.75"/>
    <row r="19014" ht="12.75"/>
    <row r="19015" ht="12.75"/>
    <row r="19016" ht="12.75"/>
    <row r="19017" ht="12.75"/>
    <row r="19018" ht="12.75"/>
    <row r="19019" ht="12.75"/>
    <row r="19020" ht="12.75"/>
    <row r="19021" ht="12.75"/>
    <row r="19022" ht="12.75"/>
    <row r="19023" ht="12.75"/>
    <row r="19024" ht="12.75"/>
    <row r="19025" ht="12.75"/>
    <row r="19026" ht="12.75"/>
    <row r="19027" ht="12.75"/>
    <row r="19028" ht="12.75"/>
    <row r="19029" ht="12.75"/>
    <row r="19030" ht="12.75"/>
    <row r="19031" ht="12.75"/>
    <row r="19032" ht="12.75"/>
    <row r="19033" ht="12.75"/>
    <row r="19034" ht="12.75"/>
    <row r="19035" ht="12.75"/>
    <row r="19036" ht="12.75"/>
    <row r="19037" ht="12.75"/>
    <row r="19038" ht="12.75"/>
    <row r="19039" ht="12.75"/>
    <row r="19040" ht="12.75"/>
    <row r="19041" ht="12.75"/>
    <row r="19042" ht="12.75"/>
    <row r="19043" ht="12.75"/>
    <row r="19044" ht="12.75"/>
    <row r="19045" ht="12.75"/>
    <row r="19046" ht="12.75"/>
    <row r="19047" ht="12.75"/>
    <row r="19048" ht="12.75"/>
    <row r="19049" ht="12.75"/>
    <row r="19050" ht="12.75"/>
    <row r="19051" ht="12.75"/>
    <row r="19052" ht="12.75"/>
    <row r="19053" ht="12.75"/>
    <row r="19054" ht="12.75"/>
    <row r="19055" ht="12.75"/>
    <row r="19056" ht="12.75"/>
    <row r="19057" ht="12.75"/>
    <row r="19058" ht="12.75"/>
    <row r="19059" ht="12.75"/>
    <row r="19060" ht="12.75"/>
    <row r="19061" ht="12.75"/>
    <row r="19062" ht="12.75"/>
    <row r="19063" ht="12.75"/>
    <row r="19064" ht="12.75"/>
    <row r="19065" ht="12.75"/>
    <row r="19066" ht="12.75"/>
    <row r="19067" ht="12.75"/>
    <row r="19068" ht="12.75"/>
    <row r="19069" ht="12.75"/>
    <row r="19070" ht="12.75"/>
    <row r="19071" ht="12.75"/>
    <row r="19072" ht="12.75"/>
    <row r="19073" ht="12.75"/>
    <row r="19074" ht="12.75"/>
    <row r="19075" ht="12.75"/>
    <row r="19076" ht="12.75"/>
    <row r="19077" ht="12.75"/>
    <row r="19078" ht="12.75"/>
    <row r="19079" ht="12.75"/>
    <row r="19080" ht="12.75"/>
    <row r="19081" ht="12.75"/>
    <row r="19082" ht="12.75"/>
    <row r="19083" ht="12.75"/>
    <row r="19084" ht="12.75"/>
    <row r="19085" ht="12.75"/>
    <row r="19086" ht="12.75"/>
    <row r="19087" ht="12.75"/>
    <row r="19088" ht="12.75"/>
    <row r="19089" ht="12.75"/>
    <row r="19090" ht="12.75"/>
    <row r="19091" ht="12.75"/>
    <row r="19092" ht="12.75"/>
    <row r="19093" ht="12.75"/>
    <row r="19094" ht="12.75"/>
    <row r="19095" ht="12.75"/>
    <row r="19096" ht="12.75"/>
    <row r="19097" ht="12.75"/>
    <row r="19098" ht="12.75"/>
    <row r="19099" ht="12.75"/>
    <row r="19100" ht="12.75"/>
    <row r="19101" ht="12.75"/>
    <row r="19102" ht="12.75"/>
    <row r="19103" ht="12.75"/>
    <row r="19104" ht="12.75"/>
    <row r="19105" ht="12.75"/>
    <row r="19106" ht="12.75"/>
    <row r="19107" ht="12.75"/>
    <row r="19108" ht="12.75"/>
    <row r="19109" ht="12.75"/>
    <row r="19110" ht="12.75"/>
    <row r="19111" ht="12.75"/>
    <row r="19112" ht="12.75"/>
    <row r="19113" ht="12.75"/>
    <row r="19114" ht="12.75"/>
    <row r="19115" ht="12.75"/>
    <row r="19116" ht="12.75"/>
    <row r="19117" ht="12.75"/>
    <row r="19118" ht="12.75"/>
    <row r="19119" ht="12.75"/>
    <row r="19120" ht="12.75"/>
    <row r="19121" ht="12.75"/>
    <row r="19122" ht="12.75"/>
    <row r="19123" ht="12.75"/>
    <row r="19124" ht="12.75"/>
    <row r="19125" ht="12.75"/>
    <row r="19126" ht="12.75"/>
    <row r="19127" ht="12.75"/>
    <row r="19128" ht="12.75"/>
    <row r="19129" ht="12.75"/>
    <row r="19130" ht="12.75"/>
    <row r="19131" ht="12.75"/>
    <row r="19132" ht="12.75"/>
    <row r="19133" ht="12.75"/>
    <row r="19134" ht="12.75"/>
    <row r="19135" ht="12.75"/>
    <row r="19136" ht="12.75"/>
    <row r="19137" ht="12.75"/>
    <row r="19138" ht="12.75"/>
    <row r="19139" ht="12.75"/>
    <row r="19140" ht="12.75"/>
    <row r="19141" ht="12.75"/>
    <row r="19142" ht="12.75"/>
    <row r="19143" ht="12.75"/>
    <row r="19144" ht="12.75"/>
    <row r="19145" ht="12.75"/>
    <row r="19146" ht="12.75"/>
    <row r="19147" ht="12.75"/>
    <row r="19148" ht="12.75"/>
    <row r="19149" ht="12.75"/>
    <row r="19150" ht="12.75"/>
    <row r="19151" ht="12.75"/>
    <row r="19152" ht="12.75"/>
    <row r="19153" ht="12.75"/>
    <row r="19154" ht="12.75"/>
    <row r="19155" ht="12.75"/>
    <row r="19156" ht="12.75"/>
    <row r="19157" ht="12.75"/>
    <row r="19158" ht="12.75"/>
    <row r="19159" ht="12.75"/>
    <row r="19160" ht="12.75"/>
    <row r="19161" ht="12.75"/>
    <row r="19162" ht="12.75"/>
    <row r="19163" ht="12.75"/>
    <row r="19164" ht="12.75"/>
    <row r="19165" ht="12.75"/>
    <row r="19166" ht="12.75"/>
    <row r="19167" ht="12.75"/>
    <row r="19168" ht="12.75"/>
    <row r="19169" ht="12.75"/>
    <row r="19170" ht="12.75"/>
    <row r="19171" ht="12.75"/>
    <row r="19172" ht="12.75"/>
    <row r="19173" ht="12.75"/>
    <row r="19174" ht="12.75"/>
    <row r="19175" ht="12.75"/>
    <row r="19176" ht="12.75"/>
    <row r="19177" ht="12.75"/>
    <row r="19178" ht="12.75"/>
    <row r="19179" ht="12.75"/>
    <row r="19180" ht="12.75"/>
    <row r="19181" ht="12.75"/>
    <row r="19182" ht="12.75"/>
    <row r="19183" ht="12.75"/>
    <row r="19184" ht="12.75"/>
    <row r="19185" ht="12.75"/>
    <row r="19186" ht="12.75"/>
    <row r="19187" ht="12.75"/>
    <row r="19188" ht="12.75"/>
    <row r="19189" ht="12.75"/>
    <row r="19190" ht="12.75"/>
    <row r="19191" ht="12.75"/>
    <row r="19192" ht="12.75"/>
    <row r="19193" ht="12.75"/>
    <row r="19194" ht="12.75"/>
    <row r="19195" ht="12.75"/>
    <row r="19196" ht="12.75"/>
    <row r="19197" ht="12.75"/>
    <row r="19198" ht="12.75"/>
    <row r="19199" ht="12.75"/>
    <row r="19200" ht="12.75"/>
    <row r="19201" ht="12.75"/>
    <row r="19202" ht="12.75"/>
    <row r="19203" ht="12.75"/>
    <row r="19204" ht="12.75"/>
    <row r="19205" ht="12.75"/>
    <row r="19206" ht="12.75"/>
    <row r="19207" ht="12.75"/>
    <row r="19208" ht="12.75"/>
    <row r="19209" ht="12.75"/>
    <row r="19210" ht="12.75"/>
    <row r="19211" ht="12.75"/>
    <row r="19212" ht="12.75"/>
    <row r="19213" ht="12.75"/>
    <row r="19214" ht="12.75"/>
    <row r="19215" ht="12.75"/>
    <row r="19216" ht="12.75"/>
    <row r="19217" ht="12.75"/>
    <row r="19218" ht="12.75"/>
    <row r="19219" ht="12.75"/>
    <row r="19220" ht="12.75"/>
    <row r="19221" ht="12.75"/>
    <row r="19222" ht="12.75"/>
    <row r="19223" ht="12.75"/>
    <row r="19224" ht="12.75"/>
    <row r="19225" ht="12.75"/>
    <row r="19226" ht="12.75"/>
    <row r="19227" ht="12.75"/>
    <row r="19228" ht="12.75"/>
    <row r="19229" ht="12.75"/>
    <row r="19230" ht="12.75"/>
    <row r="19231" ht="12.75"/>
    <row r="19232" ht="12.75"/>
    <row r="19233" ht="12.75"/>
    <row r="19234" ht="12.75"/>
    <row r="19235" ht="12.75"/>
    <row r="19236" ht="12.75"/>
    <row r="19237" ht="12.75"/>
    <row r="19238" ht="12.75"/>
    <row r="19239" ht="12.75"/>
    <row r="19240" ht="12.75"/>
    <row r="19241" ht="12.75"/>
    <row r="19242" ht="12.75"/>
    <row r="19243" ht="12.75"/>
    <row r="19244" ht="12.75"/>
    <row r="19245" ht="12.75"/>
    <row r="19246" ht="12.75"/>
    <row r="19247" ht="12.75"/>
    <row r="19248" ht="12.75"/>
    <row r="19249" ht="12.75"/>
    <row r="19250" ht="12.75"/>
    <row r="19251" ht="12.75"/>
    <row r="19252" ht="12.75"/>
    <row r="19253" ht="12.75"/>
    <row r="19254" ht="12.75"/>
    <row r="19255" ht="12.75"/>
    <row r="19256" ht="12.75"/>
    <row r="19257" ht="12.75"/>
    <row r="19258" ht="12.75"/>
    <row r="19259" ht="12.75"/>
    <row r="19260" ht="12.75"/>
    <row r="19261" ht="12.75"/>
    <row r="19262" ht="12.75"/>
    <row r="19263" ht="12.75"/>
    <row r="19264" ht="12.75"/>
    <row r="19265" ht="12.75"/>
    <row r="19266" ht="12.75"/>
    <row r="19267" ht="12.75"/>
    <row r="19268" ht="12.75"/>
    <row r="19269" ht="12.75"/>
    <row r="19270" ht="12.75"/>
    <row r="19271" ht="12.75"/>
    <row r="19272" ht="12.75"/>
    <row r="19273" ht="12.75"/>
    <row r="19274" ht="12.75"/>
    <row r="19275" ht="12.75"/>
    <row r="19276" ht="12.75"/>
    <row r="19277" ht="12.75"/>
    <row r="19278" ht="12.75"/>
    <row r="19279" ht="12.75"/>
    <row r="19280" ht="12.75"/>
    <row r="19281" ht="12.75"/>
    <row r="19282" ht="12.75"/>
    <row r="19283" ht="12.75"/>
    <row r="19284" ht="12.75"/>
    <row r="19285" ht="12.75"/>
    <row r="19286" ht="12.75"/>
    <row r="19287" ht="12.75"/>
    <row r="19288" ht="12.75"/>
    <row r="19289" ht="12.75"/>
    <row r="19290" ht="12.75"/>
    <row r="19291" ht="12.75"/>
    <row r="19292" ht="12.75"/>
    <row r="19293" ht="12.75"/>
    <row r="19294" ht="12.75"/>
    <row r="19295" ht="12.75"/>
    <row r="19296" ht="12.75"/>
    <row r="19297" ht="12.75"/>
    <row r="19298" ht="12.75"/>
    <row r="19299" ht="12.75"/>
    <row r="19300" ht="12.75"/>
    <row r="19301" ht="12.75"/>
    <row r="19302" ht="12.75"/>
    <row r="19303" ht="12.75"/>
    <row r="19304" ht="12.75"/>
    <row r="19305" ht="12.75"/>
    <row r="19306" ht="12.75"/>
    <row r="19307" ht="12.75"/>
    <row r="19308" ht="12.75"/>
    <row r="19309" ht="12.75"/>
    <row r="19310" ht="12.75"/>
    <row r="19311" ht="12.75"/>
    <row r="19312" ht="12.75"/>
    <row r="19313" ht="12.75"/>
    <row r="19314" ht="12.75"/>
    <row r="19315" ht="12.75"/>
    <row r="19316" ht="12.75"/>
    <row r="19317" ht="12.75"/>
    <row r="19318" ht="12.75"/>
    <row r="19319" ht="12.75"/>
    <row r="19320" ht="12.75"/>
    <row r="19321" ht="12.75"/>
    <row r="19322" ht="12.75"/>
    <row r="19323" ht="12.75"/>
    <row r="19324" ht="12.75"/>
    <row r="19325" ht="12.75"/>
    <row r="19326" ht="12.75"/>
    <row r="19327" ht="12.75"/>
    <row r="19328" ht="12.75"/>
    <row r="19329" ht="12.75"/>
    <row r="19330" ht="12.75"/>
    <row r="19331" ht="12.75"/>
    <row r="19332" ht="12.75"/>
    <row r="19333" ht="12.75"/>
    <row r="19334" ht="12.75"/>
    <row r="19335" ht="12.75"/>
    <row r="19336" ht="12.75"/>
    <row r="19337" ht="12.75"/>
    <row r="19338" ht="12.75"/>
    <row r="19339" ht="12.75"/>
    <row r="19340" ht="12.75"/>
    <row r="19341" ht="12.75"/>
    <row r="19342" ht="12.75"/>
    <row r="19343" ht="12.75"/>
    <row r="19344" ht="12.75"/>
    <row r="19345" ht="12.75"/>
    <row r="19346" ht="12.75"/>
    <row r="19347" ht="12.75"/>
    <row r="19348" ht="12.75"/>
    <row r="19349" ht="12.75"/>
    <row r="19350" ht="12.75"/>
    <row r="19351" ht="12.75"/>
    <row r="19352" ht="12.75"/>
    <row r="19353" ht="12.75"/>
    <row r="19354" ht="12.75"/>
    <row r="19355" ht="12.75"/>
    <row r="19356" ht="12.75"/>
    <row r="19357" ht="12.75"/>
    <row r="19358" ht="12.75"/>
    <row r="19359" ht="12.75"/>
    <row r="19360" ht="12.75"/>
    <row r="19361" ht="12.75"/>
    <row r="19362" ht="12.75"/>
    <row r="19363" ht="12.75"/>
    <row r="19364" ht="12.75"/>
    <row r="19365" ht="12.75"/>
    <row r="19366" ht="12.75"/>
    <row r="19367" ht="12.75"/>
    <row r="19368" ht="12.75"/>
    <row r="19369" ht="12.75"/>
    <row r="19370" ht="12.75"/>
    <row r="19371" ht="12.75"/>
    <row r="19372" ht="12.75"/>
    <row r="19373" ht="12.75"/>
    <row r="19374" ht="12.75"/>
    <row r="19375" ht="12.75"/>
    <row r="19376" ht="12.75"/>
    <row r="19377" ht="12.75"/>
    <row r="19378" ht="12.75"/>
    <row r="19379" ht="12.75"/>
    <row r="19380" ht="12.75"/>
    <row r="19381" ht="12.75"/>
    <row r="19382" ht="12.75"/>
    <row r="19383" ht="12.75"/>
    <row r="19384" ht="12.75"/>
    <row r="19385" ht="12.75"/>
    <row r="19386" ht="12.75"/>
    <row r="19387" ht="12.75"/>
    <row r="19388" ht="12.75"/>
    <row r="19389" ht="12.75"/>
    <row r="19390" ht="12.75"/>
    <row r="19391" ht="12.75"/>
    <row r="19392" ht="12.75"/>
    <row r="19393" ht="12.75"/>
    <row r="19394" ht="12.75"/>
    <row r="19395" ht="12.75"/>
    <row r="19396" ht="12.75"/>
    <row r="19397" ht="12.75"/>
    <row r="19398" ht="12.75"/>
    <row r="19399" ht="12.75"/>
    <row r="19400" ht="12.75"/>
    <row r="19401" ht="12.75"/>
    <row r="19402" ht="12.75"/>
    <row r="19403" ht="12.75"/>
    <row r="19404" ht="12.75"/>
    <row r="19405" ht="12.75"/>
    <row r="19406" ht="12.75"/>
    <row r="19407" ht="12.75"/>
    <row r="19408" ht="12.75"/>
    <row r="19409" ht="12.75"/>
    <row r="19410" ht="12.75"/>
    <row r="19411" ht="12.75"/>
    <row r="19412" ht="12.75"/>
    <row r="19413" ht="12.75"/>
    <row r="19414" ht="12.75"/>
    <row r="19415" ht="12.75"/>
    <row r="19416" ht="12.75"/>
    <row r="19417" ht="12.75"/>
    <row r="19418" ht="12.75"/>
    <row r="19419" ht="12.75"/>
    <row r="19420" ht="12.75"/>
    <row r="19421" ht="12.75"/>
    <row r="19422" ht="12.75"/>
    <row r="19423" ht="12.75"/>
    <row r="19424" ht="12.75"/>
    <row r="19425" ht="12.75"/>
    <row r="19426" ht="12.75"/>
    <row r="19427" ht="12.75"/>
    <row r="19428" ht="12.75"/>
    <row r="19429" ht="12.75"/>
    <row r="19430" ht="12.75"/>
    <row r="19431" ht="12.75"/>
    <row r="19432" ht="12.75"/>
    <row r="19433" ht="12.75"/>
    <row r="19434" ht="12.75"/>
    <row r="19435" ht="12.75"/>
    <row r="19436" ht="12.75"/>
    <row r="19437" ht="12.75"/>
    <row r="19438" ht="12.75"/>
    <row r="19439" ht="12.75"/>
    <row r="19440" ht="12.75"/>
    <row r="19441" ht="12.75"/>
    <row r="19442" ht="12.75"/>
    <row r="19443" ht="12.75"/>
    <row r="19444" ht="12.75"/>
    <row r="19445" ht="12.75"/>
    <row r="19446" ht="12.75"/>
    <row r="19447" ht="12.75"/>
    <row r="19448" ht="12.75"/>
    <row r="19449" ht="12.75"/>
    <row r="19450" ht="12.75"/>
    <row r="19451" ht="12.75"/>
    <row r="19452" ht="12.75"/>
    <row r="19453" ht="12.75"/>
    <row r="19454" ht="12.75"/>
    <row r="19455" ht="12.75"/>
    <row r="19456" ht="12.75"/>
    <row r="19457" ht="12.75"/>
    <row r="19458" ht="12.75"/>
    <row r="19459" ht="12.75"/>
    <row r="19460" ht="12.75"/>
    <row r="19461" ht="12.75"/>
    <row r="19462" ht="12.75"/>
    <row r="19463" ht="12.75"/>
    <row r="19464" ht="12.75"/>
    <row r="19465" ht="12.75"/>
    <row r="19466" ht="12.75"/>
    <row r="19467" ht="12.75"/>
    <row r="19468" ht="12.75"/>
    <row r="19469" ht="12.75"/>
    <row r="19470" ht="12.75"/>
    <row r="19471" ht="12.75"/>
    <row r="19472" ht="12.75"/>
    <row r="19473" ht="12.75"/>
    <row r="19474" ht="12.75"/>
    <row r="19475" ht="12.75"/>
    <row r="19476" ht="12.75"/>
    <row r="19477" ht="12.75"/>
    <row r="19478" ht="12.75"/>
    <row r="19479" ht="12.75"/>
    <row r="19480" ht="12.75"/>
    <row r="19481" ht="12.75"/>
    <row r="19482" ht="12.75"/>
    <row r="19483" ht="12.75"/>
    <row r="19484" ht="12.75"/>
    <row r="19485" ht="12.75"/>
    <row r="19486" ht="12.75"/>
    <row r="19487" ht="12.75"/>
    <row r="19488" ht="12.75"/>
    <row r="19489" ht="12.75"/>
    <row r="19490" ht="12.75"/>
    <row r="19491" ht="12.75"/>
    <row r="19492" ht="12.75"/>
    <row r="19493" ht="12.75"/>
    <row r="19494" ht="12.75"/>
    <row r="19495" ht="12.75"/>
    <row r="19496" ht="12.75"/>
    <row r="19497" ht="12.75"/>
    <row r="19498" ht="12.75"/>
    <row r="19499" ht="12.75"/>
    <row r="19500" ht="12.75"/>
    <row r="19501" ht="12.75"/>
    <row r="19502" ht="12.75"/>
    <row r="19503" ht="12.75"/>
    <row r="19504" ht="12.75"/>
    <row r="19505" ht="12.75"/>
    <row r="19506" ht="12.75"/>
    <row r="19507" ht="12.75"/>
    <row r="19508" ht="12.75"/>
    <row r="19509" ht="12.75"/>
    <row r="19510" ht="12.75"/>
    <row r="19511" ht="12.75"/>
    <row r="19512" ht="12.75"/>
    <row r="19513" ht="12.75"/>
    <row r="19514" ht="12.75"/>
    <row r="19515" ht="12.75"/>
    <row r="19516" ht="12.75"/>
    <row r="19517" ht="12.75"/>
    <row r="19518" ht="12.75"/>
    <row r="19519" ht="12.75"/>
    <row r="19520" ht="12.75"/>
    <row r="19521" ht="12.75"/>
    <row r="19522" ht="12.75"/>
    <row r="19523" ht="12.75"/>
    <row r="19524" ht="12.75"/>
    <row r="19525" ht="12.75"/>
    <row r="19526" ht="12.75"/>
    <row r="19527" ht="12.75"/>
    <row r="19528" ht="12.75"/>
    <row r="19529" ht="12.75"/>
    <row r="19530" ht="12.75"/>
    <row r="19531" ht="12.75"/>
    <row r="19532" ht="12.75"/>
    <row r="19533" ht="12.75"/>
    <row r="19534" ht="12.75"/>
    <row r="19535" ht="12.75"/>
    <row r="19536" ht="12.75"/>
    <row r="19537" ht="12.75"/>
    <row r="19538" ht="12.75"/>
    <row r="19539" ht="12.75"/>
    <row r="19540" ht="12.75"/>
    <row r="19541" ht="12.75"/>
    <row r="19542" ht="12.75"/>
    <row r="19543" ht="12.75"/>
    <row r="19544" ht="12.75"/>
    <row r="19545" ht="12.75"/>
    <row r="19546" ht="12.75"/>
    <row r="19547" ht="12.75"/>
    <row r="19548" ht="12.75"/>
    <row r="19549" ht="12.75"/>
    <row r="19550" ht="12.75"/>
    <row r="19551" ht="12.75"/>
    <row r="19552" ht="12.75"/>
    <row r="19553" ht="12.75"/>
    <row r="19554" ht="12.75"/>
    <row r="19555" ht="12.75"/>
    <row r="19556" ht="12.75"/>
    <row r="19557" ht="12.75"/>
    <row r="19558" ht="12.75"/>
    <row r="19559" ht="12.75"/>
    <row r="19560" ht="12.75"/>
    <row r="19561" ht="12.75"/>
    <row r="19562" ht="12.75"/>
    <row r="19563" ht="12.75"/>
    <row r="19564" ht="12.75"/>
    <row r="19565" ht="12.75"/>
    <row r="19566" ht="12.75"/>
    <row r="19567" ht="12.75"/>
    <row r="19568" ht="12.75"/>
    <row r="19569" ht="12.75"/>
    <row r="19570" ht="12.75"/>
    <row r="19571" ht="12.75"/>
    <row r="19572" ht="12.75"/>
    <row r="19573" ht="12.75"/>
    <row r="19574" ht="12.75"/>
    <row r="19575" ht="12.75"/>
    <row r="19576" ht="12.75"/>
    <row r="19577" ht="12.75"/>
    <row r="19578" ht="12.75"/>
    <row r="19579" ht="12.75"/>
    <row r="19580" ht="12.75"/>
    <row r="19581" ht="12.75"/>
    <row r="19582" ht="12.75"/>
    <row r="19583" ht="12.75"/>
    <row r="19584" ht="12.75"/>
    <row r="19585" ht="12.75"/>
    <row r="19586" ht="12.75"/>
    <row r="19587" ht="12.75"/>
    <row r="19588" ht="12.75"/>
    <row r="19589" ht="12.75"/>
    <row r="19590" ht="12.75"/>
    <row r="19591" ht="12.75"/>
    <row r="19592" ht="12.75"/>
    <row r="19593" ht="12.75"/>
    <row r="19594" ht="12.75"/>
    <row r="19595" ht="12.75"/>
    <row r="19596" ht="12.75"/>
    <row r="19597" ht="12.75"/>
    <row r="19598" ht="12.75"/>
    <row r="19599" ht="12.75"/>
    <row r="19600" ht="12.75"/>
    <row r="19601" ht="12.75"/>
    <row r="19602" ht="12.75"/>
    <row r="19603" ht="12.75"/>
    <row r="19604" ht="12.75"/>
    <row r="19605" ht="12.75"/>
    <row r="19606" ht="12.75"/>
    <row r="19607" ht="12.75"/>
    <row r="19608" ht="12.75"/>
    <row r="19609" ht="12.75"/>
    <row r="19610" ht="12.75"/>
    <row r="19611" ht="12.75"/>
    <row r="19612" ht="12.75"/>
    <row r="19613" ht="12.75"/>
    <row r="19614" ht="12.75"/>
    <row r="19615" ht="12.75"/>
    <row r="19616" ht="12.75"/>
    <row r="19617" ht="12.75"/>
    <row r="19618" ht="12.75"/>
    <row r="19619" ht="12.75"/>
    <row r="19620" ht="12.75"/>
    <row r="19621" ht="12.75"/>
    <row r="19622" ht="12.75"/>
    <row r="19623" ht="12.75"/>
    <row r="19624" ht="12.75"/>
    <row r="19625" ht="12.75"/>
    <row r="19626" ht="12.75"/>
    <row r="19627" ht="12.75"/>
    <row r="19628" ht="12.75"/>
    <row r="19629" ht="12.75"/>
    <row r="19630" ht="12.75"/>
    <row r="19631" ht="12.75"/>
    <row r="19632" ht="12.75"/>
    <row r="19633" ht="12.75"/>
    <row r="19634" ht="12.75"/>
    <row r="19635" ht="12.75"/>
    <row r="19636" ht="12.75"/>
    <row r="19637" ht="12.75"/>
    <row r="19638" ht="12.75"/>
    <row r="19639" ht="12.75"/>
    <row r="19640" ht="12.75"/>
    <row r="19641" ht="12.75"/>
    <row r="19642" ht="12.75"/>
    <row r="19643" ht="12.75"/>
    <row r="19644" ht="12.75"/>
    <row r="19645" ht="12.75"/>
    <row r="19646" ht="12.75"/>
    <row r="19647" ht="12.75"/>
    <row r="19648" ht="12.75"/>
    <row r="19649" ht="12.75"/>
    <row r="19650" ht="12.75"/>
    <row r="19651" ht="12.75"/>
    <row r="19652" ht="12.75"/>
    <row r="19653" ht="12.75"/>
    <row r="19654" ht="12.75"/>
    <row r="19655" ht="12.75"/>
    <row r="19656" ht="12.75"/>
    <row r="19657" ht="12.75"/>
    <row r="19658" ht="12.75"/>
    <row r="19659" ht="12.75"/>
    <row r="19660" ht="12.75"/>
    <row r="19661" ht="12.75"/>
    <row r="19662" ht="12.75"/>
    <row r="19663" ht="12.75"/>
    <row r="19664" ht="12.75"/>
    <row r="19665" ht="12.75"/>
    <row r="19666" ht="12.75"/>
    <row r="19667" ht="12.75"/>
    <row r="19668" ht="12.75"/>
    <row r="19669" ht="12.75"/>
    <row r="19670" ht="12.75"/>
    <row r="19671" ht="12.75"/>
    <row r="19672" ht="12.75"/>
    <row r="19673" ht="12.75"/>
    <row r="19674" ht="12.75"/>
    <row r="19675" ht="12.75"/>
    <row r="19676" ht="12.75"/>
    <row r="19677" ht="12.75"/>
    <row r="19678" ht="12.75"/>
    <row r="19679" ht="12.75"/>
    <row r="19680" ht="12.75"/>
    <row r="19681" ht="12.75"/>
    <row r="19682" ht="12.75"/>
    <row r="19683" ht="12.75"/>
    <row r="19684" ht="12.75"/>
    <row r="19685" ht="12.75"/>
    <row r="19686" ht="12.75"/>
    <row r="19687" ht="12.75"/>
    <row r="19688" ht="12.75"/>
    <row r="19689" ht="12.75"/>
    <row r="19690" ht="12.75"/>
    <row r="19691" ht="12.75"/>
    <row r="19692" ht="12.75"/>
    <row r="19693" ht="12.75"/>
    <row r="19694" ht="12.75"/>
    <row r="19695" ht="12.75"/>
    <row r="19696" ht="12.75"/>
    <row r="19697" ht="12.75"/>
    <row r="19698" ht="12.75"/>
    <row r="19699" ht="12.75"/>
    <row r="19700" ht="12.75"/>
    <row r="19701" ht="12.75"/>
    <row r="19702" ht="12.75"/>
    <row r="19703" ht="12.75"/>
    <row r="19704" ht="12.75"/>
    <row r="19705" ht="12.75"/>
    <row r="19706" ht="12.75"/>
    <row r="19707" ht="12.75"/>
    <row r="19708" ht="12.75"/>
    <row r="19709" ht="12.75"/>
    <row r="19710" ht="12.75"/>
    <row r="19711" ht="12.75"/>
    <row r="19712" ht="12.75"/>
    <row r="19713" ht="12.75"/>
    <row r="19714" ht="12.75"/>
    <row r="19715" ht="12.75"/>
    <row r="19716" ht="12.75"/>
    <row r="19717" ht="12.75"/>
    <row r="19718" ht="12.75"/>
    <row r="19719" ht="12.75"/>
    <row r="19720" ht="12.75"/>
    <row r="19721" ht="12.75"/>
    <row r="19722" ht="12.75"/>
    <row r="19723" ht="12.75"/>
    <row r="19724" ht="12.75"/>
    <row r="19725" ht="12.75"/>
    <row r="19726" ht="12.75"/>
    <row r="19727" ht="12.75"/>
    <row r="19728" ht="12.75"/>
    <row r="19729" ht="12.75"/>
    <row r="19730" ht="12.75"/>
    <row r="19731" ht="12.75"/>
    <row r="19732" ht="12.75"/>
    <row r="19733" ht="12.75"/>
    <row r="19734" ht="12.75"/>
    <row r="19735" ht="12.75"/>
    <row r="19736" ht="12.75"/>
    <row r="19737" ht="12.75"/>
    <row r="19738" ht="12.75"/>
    <row r="19739" ht="12.75"/>
    <row r="19740" ht="12.75"/>
    <row r="19741" ht="12.75"/>
    <row r="19742" ht="12.75"/>
    <row r="19743" ht="12.75"/>
    <row r="19744" ht="12.75"/>
    <row r="19745" ht="12.75"/>
    <row r="19746" ht="12.75"/>
    <row r="19747" ht="12.75"/>
    <row r="19748" ht="12.75"/>
    <row r="19749" ht="12.75"/>
    <row r="19750" ht="12.75"/>
    <row r="19751" ht="12.75"/>
    <row r="19752" ht="12.75"/>
    <row r="19753" ht="12.75"/>
    <row r="19754" ht="12.75"/>
    <row r="19755" ht="12.75"/>
    <row r="19756" ht="12.75"/>
    <row r="19757" ht="12.75"/>
    <row r="19758" ht="12.75"/>
    <row r="19759" ht="12.75"/>
    <row r="19760" ht="12.75"/>
    <row r="19761" ht="12.75"/>
    <row r="19762" ht="12.75"/>
    <row r="19763" ht="12.75"/>
    <row r="19764" ht="12.75"/>
    <row r="19765" ht="12.75"/>
    <row r="19766" ht="12.75"/>
    <row r="19767" ht="12.75"/>
    <row r="19768" ht="12.75"/>
    <row r="19769" ht="12.75"/>
    <row r="19770" ht="12.75"/>
    <row r="19771" ht="12.75"/>
    <row r="19772" ht="12.75"/>
    <row r="19773" ht="12.75"/>
    <row r="19774" ht="12.75"/>
    <row r="19775" ht="12.75"/>
    <row r="19776" ht="12.75"/>
    <row r="19777" ht="12.75"/>
    <row r="19778" ht="12.75"/>
    <row r="19779" ht="12.75"/>
    <row r="19780" ht="12.75"/>
    <row r="19781" ht="12.75"/>
    <row r="19782" ht="12.75"/>
    <row r="19783" ht="12.75"/>
    <row r="19784" ht="12.75"/>
    <row r="19785" ht="12.75"/>
    <row r="19786" ht="12.75"/>
    <row r="19787" ht="12.75"/>
    <row r="19788" ht="12.75"/>
    <row r="19789" ht="12.75"/>
    <row r="19790" ht="12.75"/>
    <row r="19791" ht="12.75"/>
    <row r="19792" ht="12.75"/>
    <row r="19793" ht="12.75"/>
    <row r="19794" ht="12.75"/>
    <row r="19795" ht="12.75"/>
    <row r="19796" ht="12.75"/>
    <row r="19797" ht="12.75"/>
    <row r="19798" ht="12.75"/>
    <row r="19799" ht="12.75"/>
    <row r="19800" ht="12.75"/>
    <row r="19801" ht="12.75"/>
    <row r="19802" ht="12.75"/>
    <row r="19803" ht="12.75"/>
    <row r="19804" ht="12.75"/>
    <row r="19805" ht="12.75"/>
    <row r="19806" ht="12.75"/>
    <row r="19807" ht="12.75"/>
    <row r="19808" ht="12.75"/>
    <row r="19809" ht="12.75"/>
    <row r="19810" ht="12.75"/>
    <row r="19811" ht="12.75"/>
    <row r="19812" ht="12.75"/>
    <row r="19813" ht="12.75"/>
    <row r="19814" ht="12.75"/>
    <row r="19815" ht="12.75"/>
    <row r="19816" ht="12.75"/>
    <row r="19817" ht="12.75"/>
    <row r="19818" ht="12.75"/>
    <row r="19819" ht="12.75"/>
    <row r="19820" ht="12.75"/>
    <row r="19821" ht="12.75"/>
    <row r="19822" ht="12.75"/>
    <row r="19823" ht="12.75"/>
    <row r="19824" ht="12.75"/>
    <row r="19825" ht="12.75"/>
    <row r="19826" ht="12.75"/>
    <row r="19827" ht="12.75"/>
    <row r="19828" ht="12.75"/>
    <row r="19829" ht="12.75"/>
    <row r="19830" ht="12.75"/>
    <row r="19831" ht="12.75"/>
    <row r="19832" ht="12.75"/>
    <row r="19833" ht="12.75"/>
    <row r="19834" ht="12.75"/>
    <row r="19835" ht="12.75"/>
    <row r="19836" ht="12.75"/>
    <row r="19837" ht="12.75"/>
    <row r="19838" ht="12.75"/>
    <row r="19839" ht="12.75"/>
    <row r="19840" ht="12.75"/>
    <row r="19841" ht="12.75"/>
    <row r="19842" ht="12.75"/>
    <row r="19843" ht="12.75"/>
    <row r="19844" ht="12.75"/>
    <row r="19845" ht="12.75"/>
    <row r="19846" ht="12.75"/>
    <row r="19847" ht="12.75"/>
    <row r="19848" ht="12.75"/>
    <row r="19849" ht="12.75"/>
    <row r="19850" ht="12.75"/>
    <row r="19851" ht="12.75"/>
    <row r="19852" ht="12.75"/>
    <row r="19853" ht="12.75"/>
    <row r="19854" ht="12.75"/>
    <row r="19855" ht="12.75"/>
    <row r="19856" ht="12.75"/>
    <row r="19857" ht="12.75"/>
    <row r="19858" ht="12.75"/>
    <row r="19859" ht="12.75"/>
    <row r="19860" ht="12.75"/>
    <row r="19861" ht="12.75"/>
    <row r="19862" ht="12.75"/>
    <row r="19863" ht="12.75"/>
    <row r="19864" ht="12.75"/>
    <row r="19865" ht="12.75"/>
    <row r="19866" ht="12.75"/>
    <row r="19867" ht="12.75"/>
    <row r="19868" ht="12.75"/>
    <row r="19869" ht="12.75"/>
    <row r="19870" ht="12.75"/>
    <row r="19871" ht="12.75"/>
    <row r="19872" ht="12.75"/>
    <row r="19873" ht="12.75"/>
    <row r="19874" ht="12.75"/>
    <row r="19875" ht="12.75"/>
    <row r="19876" ht="12.75"/>
    <row r="19877" ht="12.75"/>
    <row r="19878" ht="12.75"/>
    <row r="19879" ht="12.75"/>
    <row r="19880" ht="12.75"/>
    <row r="19881" ht="12.75"/>
    <row r="19882" ht="12.75"/>
    <row r="19883" ht="12.75"/>
    <row r="19884" ht="12.75"/>
    <row r="19885" ht="12.75"/>
    <row r="19886" ht="12.75"/>
    <row r="19887" ht="12.75"/>
    <row r="19888" ht="12.75"/>
    <row r="19889" ht="12.75"/>
    <row r="19890" ht="12.75"/>
    <row r="19891" ht="12.75"/>
    <row r="19892" ht="12.75"/>
    <row r="19893" ht="12.75"/>
    <row r="19894" ht="12.75"/>
    <row r="19895" ht="12.75"/>
    <row r="19896" ht="12.75"/>
    <row r="19897" ht="12.75"/>
    <row r="19898" ht="12.75"/>
    <row r="19899" ht="12.75"/>
    <row r="19900" ht="12.75"/>
    <row r="19901" ht="12.75"/>
    <row r="19902" ht="12.75"/>
    <row r="19903" ht="12.75"/>
    <row r="19904" ht="12.75"/>
    <row r="19905" ht="12.75"/>
    <row r="19906" ht="12.75"/>
    <row r="19907" ht="12.75"/>
    <row r="19908" ht="12.75"/>
    <row r="19909" ht="12.75"/>
    <row r="19910" ht="12.75"/>
    <row r="19911" ht="12.75"/>
    <row r="19912" ht="12.75"/>
    <row r="19913" ht="12.75"/>
    <row r="19914" ht="12.75"/>
    <row r="19915" ht="12.75"/>
    <row r="19916" ht="12.75"/>
    <row r="19917" ht="12.75"/>
    <row r="19918" ht="12.75"/>
    <row r="19919" ht="12.75"/>
    <row r="19920" ht="12.75"/>
    <row r="19921" ht="12.75"/>
    <row r="19922" ht="12.75"/>
    <row r="19923" ht="12.75"/>
    <row r="19924" ht="12.75"/>
    <row r="19925" ht="12.75"/>
    <row r="19926" ht="12.75"/>
    <row r="19927" ht="12.75"/>
    <row r="19928" ht="12.75"/>
    <row r="19929" ht="12.75"/>
    <row r="19930" ht="12.75"/>
    <row r="19931" ht="12.75"/>
    <row r="19932" ht="12.75"/>
    <row r="19933" ht="12.75"/>
    <row r="19934" ht="12.75"/>
    <row r="19935" ht="12.75"/>
    <row r="19936" ht="12.75"/>
    <row r="19937" ht="12.75"/>
    <row r="19938" ht="12.75"/>
    <row r="19939" ht="12.75"/>
    <row r="19940" ht="12.75"/>
    <row r="19941" ht="12.75"/>
    <row r="19942" ht="12.75"/>
    <row r="19943" ht="12.75"/>
    <row r="19944" ht="12.75"/>
    <row r="19945" ht="12.75"/>
    <row r="19946" ht="12.75"/>
    <row r="19947" ht="12.75"/>
    <row r="19948" ht="12.75"/>
    <row r="19949" ht="12.75"/>
    <row r="19950" ht="12.75"/>
    <row r="19951" ht="12.75"/>
    <row r="19952" ht="12.75"/>
    <row r="19953" ht="12.75"/>
    <row r="19954" ht="12.75"/>
    <row r="19955" ht="12.75"/>
    <row r="19956" ht="12.75"/>
    <row r="19957" ht="12.75"/>
    <row r="19958" ht="12.75"/>
    <row r="19959" ht="12.75"/>
    <row r="19960" ht="12.75"/>
    <row r="19961" ht="12.75"/>
    <row r="19962" ht="12.75"/>
    <row r="19963" ht="12.75"/>
    <row r="19964" ht="12.75"/>
    <row r="19965" ht="12.75"/>
    <row r="19966" ht="12.75"/>
    <row r="19967" ht="12.75"/>
    <row r="19968" ht="12.75"/>
    <row r="19969" ht="12.75"/>
    <row r="19970" ht="12.75"/>
    <row r="19971" ht="12.75"/>
    <row r="19972" ht="12.75"/>
    <row r="19973" ht="12.75"/>
    <row r="19974" ht="12.75"/>
    <row r="19975" ht="12.75"/>
    <row r="19976" ht="12.75"/>
    <row r="19977" ht="12.75"/>
    <row r="19978" ht="12.75"/>
    <row r="19979" ht="12.75"/>
    <row r="19980" ht="12.75"/>
    <row r="19981" ht="12.75"/>
    <row r="19982" ht="12.75"/>
    <row r="19983" ht="12.75"/>
    <row r="19984" ht="12.75"/>
    <row r="19985" ht="12.75"/>
    <row r="19986" ht="12.75"/>
    <row r="19987" ht="12.75"/>
    <row r="19988" ht="12.75"/>
    <row r="19989" ht="12.75"/>
    <row r="19990" ht="12.75"/>
    <row r="19991" ht="12.75"/>
    <row r="19992" ht="12.75"/>
    <row r="19993" ht="12.75"/>
    <row r="19994" ht="12.75"/>
    <row r="19995" ht="12.75"/>
    <row r="19996" ht="12.75"/>
    <row r="19997" ht="12.75"/>
    <row r="19998" ht="12.75"/>
    <row r="19999" ht="12.75"/>
    <row r="20000" ht="12.75"/>
    <row r="20001" ht="12.75"/>
    <row r="20002" ht="12.75"/>
    <row r="20003" ht="12.75"/>
    <row r="20004" ht="12.75"/>
    <row r="20005" ht="12.75"/>
    <row r="20006" ht="12.75"/>
    <row r="20007" ht="12.75"/>
    <row r="20008" ht="12.75"/>
    <row r="20009" ht="12.75"/>
    <row r="20010" ht="12.75"/>
    <row r="20011" ht="12.75"/>
    <row r="20012" ht="12.75"/>
    <row r="20013" ht="12.75"/>
    <row r="20014" ht="12.75"/>
    <row r="20015" ht="12.75"/>
    <row r="20016" ht="12.75"/>
    <row r="20017" ht="12.75"/>
    <row r="20018" ht="12.75"/>
    <row r="20019" ht="12.75"/>
    <row r="20020" ht="12.75"/>
    <row r="20021" ht="12.75"/>
    <row r="20022" ht="12.75"/>
    <row r="20023" ht="12.75"/>
    <row r="20024" ht="12.75"/>
    <row r="20025" ht="12.75"/>
    <row r="20026" ht="12.75"/>
    <row r="20027" ht="12.75"/>
    <row r="20028" ht="12.75"/>
    <row r="20029" ht="12.75"/>
    <row r="20030" ht="12.75"/>
    <row r="20031" ht="12.75"/>
    <row r="20032" ht="12.75"/>
    <row r="20033" ht="12.75"/>
    <row r="20034" ht="12.75"/>
    <row r="20035" ht="12.75"/>
    <row r="20036" ht="12.75"/>
    <row r="20037" ht="12.75"/>
    <row r="20038" ht="12.75"/>
    <row r="20039" ht="12.75"/>
    <row r="20040" ht="12.75"/>
    <row r="20041" ht="12.75"/>
    <row r="20042" ht="12.75"/>
    <row r="20043" ht="12.75"/>
    <row r="20044" ht="12.75"/>
    <row r="20045" ht="12.75"/>
    <row r="20046" ht="12.75"/>
    <row r="20047" ht="12.75"/>
    <row r="20048" ht="12.75"/>
    <row r="20049" ht="12.75"/>
    <row r="20050" ht="12.75"/>
    <row r="20051" ht="12.75"/>
    <row r="20052" ht="12.75"/>
    <row r="20053" ht="12.75"/>
    <row r="20054" ht="12.75"/>
    <row r="20055" ht="12.75"/>
    <row r="20056" ht="12.75"/>
    <row r="20057" ht="12.75"/>
    <row r="20058" ht="12.75"/>
    <row r="20059" ht="12.75"/>
    <row r="20060" ht="12.75"/>
    <row r="20061" ht="12.75"/>
    <row r="20062" ht="12.75"/>
    <row r="20063" ht="12.75"/>
    <row r="20064" ht="12.75"/>
    <row r="20065" ht="12.75"/>
    <row r="20066" ht="12.75"/>
    <row r="20067" ht="12.75"/>
    <row r="20068" ht="12.75"/>
    <row r="20069" ht="12.75"/>
    <row r="20070" ht="12.75"/>
    <row r="20071" ht="12.75"/>
    <row r="20072" ht="12.75"/>
    <row r="20073" ht="12.75"/>
    <row r="20074" ht="12.75"/>
    <row r="20075" ht="12.75"/>
    <row r="20076" ht="12.75"/>
    <row r="20077" ht="12.75"/>
    <row r="20078" ht="12.75"/>
    <row r="20079" ht="12.75"/>
    <row r="20080" ht="12.75"/>
    <row r="20081" ht="12.75"/>
    <row r="20082" ht="12.75"/>
    <row r="20083" ht="12.75"/>
    <row r="20084" ht="12.75"/>
    <row r="20085" ht="12.75"/>
    <row r="20086" ht="12.75"/>
    <row r="20087" ht="12.75"/>
    <row r="20088" ht="12.75"/>
    <row r="20089" ht="12.75"/>
    <row r="20090" ht="12.75"/>
    <row r="20091" ht="12.75"/>
    <row r="20092" ht="12.75"/>
    <row r="20093" ht="12.75"/>
    <row r="20094" ht="12.75"/>
    <row r="20095" ht="12.75"/>
    <row r="20096" ht="12.75"/>
    <row r="20097" ht="12.75"/>
    <row r="20098" ht="12.75"/>
    <row r="20099" ht="12.75"/>
    <row r="20100" ht="12.75"/>
    <row r="20101" ht="12.75"/>
    <row r="20102" ht="12.75"/>
    <row r="20103" ht="12.75"/>
    <row r="20104" ht="12.75"/>
    <row r="20105" ht="12.75"/>
    <row r="20106" ht="12.75"/>
    <row r="20107" ht="12.75"/>
    <row r="20108" ht="12.75"/>
    <row r="20109" ht="12.75"/>
    <row r="20110" ht="12.75"/>
    <row r="20111" ht="12.75"/>
    <row r="20112" ht="12.75"/>
    <row r="20113" ht="12.75"/>
    <row r="20114" ht="12.75"/>
    <row r="20115" ht="12.75"/>
    <row r="20116" ht="12.75"/>
    <row r="20117" ht="12.75"/>
    <row r="20118" ht="12.75"/>
    <row r="20119" ht="12.75"/>
    <row r="20120" ht="12.75"/>
    <row r="20121" ht="12.75"/>
    <row r="20122" ht="12.75"/>
    <row r="20123" ht="12.75"/>
    <row r="20124" ht="12.75"/>
    <row r="20125" ht="12.75"/>
    <row r="20126" ht="12.75"/>
    <row r="20127" ht="12.75"/>
    <row r="20128" ht="12.75"/>
    <row r="20129" ht="12.75"/>
    <row r="20130" ht="12.75"/>
    <row r="20131" ht="12.75"/>
    <row r="20132" ht="12.75"/>
    <row r="20133" ht="12.75"/>
    <row r="20134" ht="12.75"/>
    <row r="20135" ht="12.75"/>
    <row r="20136" ht="12.75"/>
    <row r="20137" ht="12.75"/>
    <row r="20138" ht="12.75"/>
    <row r="20139" ht="12.75"/>
    <row r="20140" ht="12.75"/>
    <row r="20141" ht="12.75"/>
    <row r="20142" ht="12.75"/>
    <row r="20143" ht="12.75"/>
    <row r="20144" ht="12.75"/>
    <row r="20145" ht="12.75"/>
    <row r="20146" ht="12.75"/>
    <row r="20147" ht="12.75"/>
    <row r="20148" ht="12.75"/>
    <row r="20149" ht="12.75"/>
    <row r="20150" ht="12.75"/>
    <row r="20151" ht="12.75"/>
    <row r="20152" ht="12.75"/>
    <row r="20153" ht="12.75"/>
    <row r="20154" ht="12.75"/>
    <row r="20155" ht="12.75"/>
    <row r="20156" ht="12.75"/>
    <row r="20157" ht="12.75"/>
    <row r="20158" ht="12.75"/>
    <row r="20159" ht="12.75"/>
    <row r="20160" ht="12.75"/>
    <row r="20161" ht="12.75"/>
    <row r="20162" ht="12.75"/>
    <row r="20163" ht="12.75"/>
    <row r="20164" ht="12.75"/>
    <row r="20165" ht="12.75"/>
    <row r="20166" ht="12.75"/>
    <row r="20167" ht="12.75"/>
    <row r="20168" ht="12.75"/>
    <row r="20169" ht="12.75"/>
    <row r="20170" ht="12.75"/>
    <row r="20171" ht="12.75"/>
    <row r="20172" ht="12.75"/>
    <row r="20173" ht="12.75"/>
    <row r="20174" ht="12.75"/>
    <row r="20175" ht="12.75"/>
    <row r="20176" ht="12.75"/>
    <row r="20177" ht="12.75"/>
    <row r="20178" ht="12.75"/>
    <row r="20179" ht="12.75"/>
    <row r="20180" ht="12.75"/>
    <row r="20181" ht="12.75"/>
    <row r="20182" ht="12.75"/>
    <row r="20183" ht="12.75"/>
    <row r="20184" ht="12.75"/>
    <row r="20185" ht="12.75"/>
    <row r="20186" ht="12.75"/>
    <row r="20187" ht="12.75"/>
    <row r="20188" ht="12.75"/>
    <row r="20189" ht="12.75"/>
    <row r="20190" ht="12.75"/>
    <row r="20191" ht="12.75"/>
    <row r="20192" ht="12.75"/>
    <row r="20193" ht="12.75"/>
    <row r="20194" ht="12.75"/>
    <row r="20195" ht="12.75"/>
    <row r="20196" ht="12.75"/>
    <row r="20197" ht="12.75"/>
    <row r="20198" ht="12.75"/>
    <row r="20199" ht="12.75"/>
    <row r="20200" ht="12.75"/>
    <row r="20201" ht="12.75"/>
    <row r="20202" ht="12.75"/>
    <row r="20203" ht="12.75"/>
    <row r="20204" ht="12.75"/>
    <row r="20205" ht="12.75"/>
    <row r="20206" ht="12.75"/>
    <row r="20207" ht="12.75"/>
    <row r="20208" ht="12.75"/>
    <row r="20209" ht="12.75"/>
    <row r="20210" ht="12.75"/>
    <row r="20211" ht="12.75"/>
    <row r="20212" ht="12.75"/>
    <row r="20213" ht="12.75"/>
    <row r="20214" ht="12.75"/>
    <row r="20215" ht="12.75"/>
    <row r="20216" ht="12.75"/>
    <row r="20217" ht="12.75"/>
    <row r="20218" ht="12.75"/>
    <row r="20219" ht="12.75"/>
    <row r="20220" ht="12.75"/>
    <row r="20221" ht="12.75"/>
    <row r="20222" ht="12.75"/>
    <row r="20223" ht="12.75"/>
    <row r="20224" ht="12.75"/>
    <row r="20225" ht="12.75"/>
    <row r="20226" ht="12.75"/>
    <row r="20227" ht="12.75"/>
    <row r="20228" ht="12.75"/>
    <row r="20229" ht="12.75"/>
    <row r="20230" ht="12.75"/>
    <row r="20231" ht="12.75"/>
    <row r="20232" ht="12.75"/>
    <row r="20233" ht="12.75"/>
    <row r="20234" ht="12.75"/>
    <row r="20235" ht="12.75"/>
    <row r="20236" ht="12.75"/>
    <row r="20237" ht="12.75"/>
    <row r="20238" ht="12.75"/>
    <row r="20239" ht="12.75"/>
    <row r="20240" ht="12.75"/>
    <row r="20241" ht="12.75"/>
    <row r="20242" ht="12.75"/>
    <row r="20243" ht="12.75"/>
    <row r="20244" ht="12.75"/>
    <row r="20245" ht="12.75"/>
    <row r="20246" ht="12.75"/>
    <row r="20247" ht="12.75"/>
    <row r="20248" ht="12.75"/>
    <row r="20249" ht="12.75"/>
    <row r="20250" ht="12.75"/>
    <row r="20251" ht="12.75"/>
    <row r="20252" ht="12.75"/>
    <row r="20253" ht="12.75"/>
    <row r="20254" ht="12.75"/>
    <row r="20255" ht="12.75"/>
    <row r="20256" ht="12.75"/>
    <row r="20257" ht="12.75"/>
    <row r="20258" ht="12.75"/>
    <row r="20259" ht="12.75"/>
    <row r="20260" ht="12.75"/>
    <row r="20261" ht="12.75"/>
    <row r="20262" ht="12.75"/>
    <row r="20263" ht="12.75"/>
    <row r="20264" ht="12.75"/>
    <row r="20265" ht="12.75"/>
    <row r="20266" ht="12.75"/>
    <row r="20267" ht="12.75"/>
    <row r="20268" ht="12.75"/>
    <row r="20269" ht="12.75"/>
    <row r="20270" ht="12.75"/>
    <row r="20271" ht="12.75"/>
    <row r="20272" ht="12.75"/>
    <row r="20273" ht="12.75"/>
    <row r="20274" ht="12.75"/>
    <row r="20275" ht="12.75"/>
    <row r="20276" ht="12.75"/>
    <row r="20277" ht="12.75"/>
    <row r="20278" ht="12.75"/>
    <row r="20279" ht="12.75"/>
    <row r="20280" ht="12.75"/>
    <row r="20281" ht="12.75"/>
    <row r="20282" ht="12.75"/>
    <row r="20283" ht="12.75"/>
    <row r="20284" ht="12.75"/>
    <row r="20285" ht="12.75"/>
    <row r="20286" ht="12.75"/>
    <row r="20287" ht="12.75"/>
    <row r="20288" ht="12.75"/>
    <row r="20289" ht="12.75"/>
    <row r="20290" ht="12.75"/>
    <row r="20291" ht="12.75"/>
    <row r="20292" ht="12.75"/>
    <row r="20293" ht="12.75"/>
    <row r="20294" ht="12.75"/>
    <row r="20295" ht="12.75"/>
    <row r="20296" ht="12.75"/>
    <row r="20297" ht="12.75"/>
    <row r="20298" ht="12.75"/>
    <row r="20299" ht="12.75"/>
    <row r="20300" ht="12.75"/>
    <row r="20301" ht="12.75"/>
    <row r="20302" ht="12.75"/>
    <row r="20303" ht="12.75"/>
    <row r="20304" ht="12.75"/>
    <row r="20305" ht="12.75"/>
    <row r="20306" ht="12.75"/>
    <row r="20307" ht="12.75"/>
    <row r="20308" ht="12.75"/>
    <row r="20309" ht="12.75"/>
    <row r="20310" ht="12.75"/>
    <row r="20311" ht="12.75"/>
    <row r="20312" ht="12.75"/>
    <row r="20313" ht="12.75"/>
    <row r="20314" ht="12.75"/>
    <row r="20315" ht="12.75"/>
    <row r="20316" ht="12.75"/>
    <row r="20317" ht="12.75"/>
    <row r="20318" ht="12.75"/>
    <row r="20319" ht="12.75"/>
    <row r="20320" ht="12.75"/>
    <row r="20321" ht="12.75"/>
    <row r="20322" ht="12.75"/>
    <row r="20323" ht="12.75"/>
    <row r="20324" ht="12.75"/>
    <row r="20325" ht="12.75"/>
    <row r="20326" ht="12.75"/>
    <row r="20327" ht="12.75"/>
    <row r="20328" ht="12.75"/>
    <row r="20329" ht="12.75"/>
    <row r="20330" ht="12.75"/>
    <row r="20331" ht="12.75"/>
    <row r="20332" ht="12.75"/>
    <row r="20333" ht="12.75"/>
    <row r="20334" ht="12.75"/>
    <row r="20335" ht="12.75"/>
    <row r="20336" ht="12.75"/>
    <row r="20337" ht="12.75"/>
    <row r="20338" ht="12.75"/>
    <row r="20339" ht="12.75"/>
    <row r="20340" ht="12.75"/>
    <row r="20341" ht="12.75"/>
    <row r="20342" ht="12.75"/>
    <row r="20343" ht="12.75"/>
    <row r="20344" ht="12.75"/>
    <row r="20345" ht="12.75"/>
    <row r="20346" ht="12.75"/>
    <row r="20347" ht="12.75"/>
    <row r="20348" ht="12.75"/>
    <row r="20349" ht="12.75"/>
    <row r="20350" ht="12.75"/>
    <row r="20351" ht="12.75"/>
    <row r="20352" ht="12.75"/>
    <row r="20353" ht="12.75"/>
    <row r="20354" ht="12.75"/>
    <row r="20355" ht="12.75"/>
    <row r="20356" ht="12.75"/>
    <row r="20357" ht="12.75"/>
    <row r="20358" ht="12.75"/>
    <row r="20359" ht="12.75"/>
    <row r="20360" ht="12.75"/>
    <row r="20361" ht="12.75"/>
    <row r="20362" ht="12.75"/>
    <row r="20363" ht="12.75"/>
    <row r="20364" ht="12.75"/>
    <row r="20365" ht="12.75"/>
    <row r="20366" ht="12.75"/>
    <row r="20367" ht="12.75"/>
    <row r="20368" ht="12.75"/>
    <row r="20369" ht="12.75"/>
    <row r="20370" ht="12.75"/>
    <row r="20371" ht="12.75"/>
    <row r="20372" ht="12.75"/>
    <row r="20373" ht="12.75"/>
    <row r="20374" ht="12.75"/>
    <row r="20375" ht="12.75"/>
    <row r="20376" ht="12.75"/>
    <row r="20377" ht="12.75"/>
    <row r="20378" ht="12.75"/>
    <row r="20379" ht="12.75"/>
    <row r="20380" ht="12.75"/>
    <row r="20381" ht="12.75"/>
    <row r="20382" ht="12.75"/>
    <row r="20383" ht="12.75"/>
    <row r="20384" ht="12.75"/>
    <row r="20385" ht="12.75"/>
    <row r="20386" ht="12.75"/>
    <row r="20387" ht="12.75"/>
    <row r="20388" ht="12.75"/>
    <row r="20389" ht="12.75"/>
    <row r="20390" ht="12.75"/>
    <row r="20391" ht="12.75"/>
    <row r="20392" ht="12.75"/>
    <row r="20393" ht="12.75"/>
    <row r="20394" ht="12.75"/>
    <row r="20395" ht="12.75"/>
    <row r="20396" ht="12.75"/>
    <row r="20397" ht="12.75"/>
    <row r="20398" ht="12.75"/>
    <row r="20399" ht="12.75"/>
    <row r="20400" ht="12.75"/>
    <row r="20401" ht="12.75"/>
    <row r="20402" ht="12.75"/>
    <row r="20403" ht="12.75"/>
    <row r="20404" ht="12.75"/>
    <row r="20405" ht="12.75"/>
    <row r="20406" ht="12.75"/>
    <row r="20407" ht="12.75"/>
    <row r="20408" ht="12.75"/>
    <row r="20409" ht="12.75"/>
    <row r="20410" ht="12.75"/>
    <row r="20411" ht="12.75"/>
    <row r="20412" ht="12.75"/>
    <row r="20413" ht="12.75"/>
    <row r="20414" ht="12.75"/>
    <row r="20415" ht="12.75"/>
    <row r="20416" ht="12.75"/>
    <row r="20417" ht="12.75"/>
    <row r="20418" ht="12.75"/>
    <row r="20419" ht="12.75"/>
    <row r="20420" ht="12.75"/>
    <row r="20421" ht="12.75"/>
    <row r="20422" ht="12.75"/>
    <row r="20423" ht="12.75"/>
    <row r="20424" ht="12.75"/>
    <row r="20425" ht="12.75"/>
    <row r="20426" ht="12.75"/>
    <row r="20427" ht="12.75"/>
    <row r="20428" ht="12.75"/>
    <row r="20429" ht="12.75"/>
    <row r="20430" ht="12.75"/>
    <row r="20431" ht="12.75"/>
    <row r="20432" ht="12.75"/>
    <row r="20433" ht="12.75"/>
    <row r="20434" ht="12.75"/>
    <row r="20435" ht="12.75"/>
    <row r="20436" ht="12.75"/>
    <row r="20437" ht="12.75"/>
    <row r="20438" ht="12.75"/>
    <row r="20439" ht="12.75"/>
    <row r="20440" ht="12.75"/>
    <row r="20441" ht="12.75"/>
    <row r="20442" ht="12.75"/>
    <row r="20443" ht="12.75"/>
    <row r="20444" ht="12.75"/>
    <row r="20445" ht="12.75"/>
    <row r="20446" ht="12.75"/>
    <row r="20447" ht="12.75"/>
    <row r="20448" ht="12.75"/>
    <row r="20449" ht="12.75"/>
    <row r="20450" ht="12.75"/>
    <row r="20451" ht="12.75"/>
    <row r="20452" ht="12.75"/>
    <row r="20453" ht="12.75"/>
    <row r="20454" ht="12.75"/>
    <row r="20455" ht="12.75"/>
    <row r="20456" ht="12.75"/>
    <row r="20457" ht="12.75"/>
    <row r="20458" ht="12.75"/>
    <row r="20459" ht="12.75"/>
    <row r="20460" ht="12.75"/>
    <row r="20461" ht="12.75"/>
    <row r="20462" ht="12.75"/>
    <row r="20463" ht="12.75"/>
    <row r="20464" ht="12.75"/>
    <row r="20465" ht="12.75"/>
    <row r="20466" ht="12.75"/>
    <row r="20467" ht="12.75"/>
    <row r="20468" ht="12.75"/>
    <row r="20469" ht="12.75"/>
    <row r="20470" ht="12.75"/>
    <row r="20471" ht="12.75"/>
    <row r="20472" ht="12.75"/>
    <row r="20473" ht="12.75"/>
    <row r="20474" ht="12.75"/>
    <row r="20475" ht="12.75"/>
    <row r="20476" ht="12.75"/>
    <row r="20477" ht="12.75"/>
    <row r="20478" ht="12.75"/>
    <row r="20479" ht="12.75"/>
    <row r="20480" ht="12.75"/>
    <row r="20481" ht="12.75"/>
    <row r="20482" ht="12.75"/>
    <row r="20483" ht="12.75"/>
    <row r="20484" ht="12.75"/>
    <row r="20485" ht="12.75"/>
    <row r="20486" ht="12.75"/>
    <row r="20487" ht="12.75"/>
    <row r="20488" ht="12.75"/>
    <row r="20489" ht="12.75"/>
    <row r="20490" ht="12.75"/>
    <row r="20491" ht="12.75"/>
    <row r="20492" ht="12.75"/>
    <row r="20493" ht="12.75"/>
    <row r="20494" ht="12.75"/>
    <row r="20495" ht="12.75"/>
    <row r="20496" ht="12.75"/>
    <row r="20497" ht="12.75"/>
    <row r="20498" ht="12.75"/>
    <row r="20499" ht="12.75"/>
    <row r="20500" ht="12.75"/>
    <row r="20501" ht="12.75"/>
    <row r="20502" ht="12.75"/>
    <row r="20503" ht="12.75"/>
    <row r="20504" ht="12.75"/>
    <row r="20505" ht="12.75"/>
    <row r="20506" ht="12.75"/>
    <row r="20507" ht="12.75"/>
    <row r="20508" ht="12.75"/>
    <row r="20509" ht="12.75"/>
    <row r="20510" ht="12.75"/>
    <row r="20511" ht="12.75"/>
    <row r="20512" ht="12.75"/>
    <row r="20513" ht="12.75"/>
    <row r="20514" ht="12.75"/>
    <row r="20515" ht="12.75"/>
    <row r="20516" ht="12.75"/>
    <row r="20517" ht="12.75"/>
    <row r="20518" ht="12.75"/>
    <row r="20519" ht="12.75"/>
    <row r="20520" ht="12.75"/>
    <row r="20521" ht="12.75"/>
    <row r="20522" ht="12.75"/>
    <row r="20523" ht="12.75"/>
    <row r="20524" ht="12.75"/>
    <row r="20525" ht="12.75"/>
    <row r="20526" ht="12.75"/>
    <row r="20527" ht="12.75"/>
    <row r="20528" ht="12.75"/>
    <row r="20529" ht="12.75"/>
    <row r="20530" ht="12.75"/>
    <row r="20531" ht="12.75"/>
    <row r="20532" ht="12.75"/>
    <row r="20533" ht="12.75"/>
    <row r="20534" ht="12.75"/>
    <row r="20535" ht="12.75"/>
    <row r="20536" ht="12.75"/>
    <row r="20537" ht="12.75"/>
    <row r="20538" ht="12.75"/>
    <row r="20539" ht="12.75"/>
    <row r="20540" ht="12.75"/>
    <row r="20541" ht="12.75"/>
    <row r="20542" ht="12.75"/>
    <row r="20543" ht="12.75"/>
    <row r="20544" ht="12.75"/>
    <row r="20545" ht="12.75"/>
    <row r="20546" ht="12.75"/>
    <row r="20547" ht="12.75"/>
    <row r="20548" ht="12.75"/>
    <row r="20549" ht="12.75"/>
    <row r="20550" ht="12.75"/>
    <row r="20551" ht="12.75"/>
    <row r="20552" ht="12.75"/>
    <row r="20553" ht="12.75"/>
    <row r="20554" ht="12.75"/>
    <row r="20555" ht="12.75"/>
    <row r="20556" ht="12.75"/>
    <row r="20557" ht="12.75"/>
    <row r="20558" ht="12.75"/>
    <row r="20559" ht="12.75"/>
    <row r="20560" ht="12.75"/>
    <row r="20561" ht="12.75"/>
    <row r="20562" ht="12.75"/>
    <row r="20563" ht="12.75"/>
    <row r="20564" ht="12.75"/>
    <row r="20565" ht="12.75"/>
    <row r="20566" ht="12.75"/>
    <row r="20567" ht="12.75"/>
    <row r="20568" ht="12.75"/>
    <row r="20569" ht="12.75"/>
    <row r="20570" ht="12.75"/>
    <row r="20571" ht="12.75"/>
    <row r="20572" ht="12.75"/>
    <row r="20573" ht="12.75"/>
    <row r="20574" ht="12.75"/>
    <row r="20575" ht="12.75"/>
    <row r="20576" ht="12.75"/>
    <row r="20577" ht="12.75"/>
    <row r="20578" ht="12.75"/>
    <row r="20579" ht="12.75"/>
    <row r="20580" ht="12.75"/>
    <row r="20581" ht="12.75"/>
    <row r="20582" ht="12.75"/>
    <row r="20583" ht="12.75"/>
    <row r="20584" ht="12.75"/>
    <row r="20585" ht="12.75"/>
    <row r="20586" ht="12.75"/>
    <row r="20587" ht="12.75"/>
    <row r="20588" ht="12.75"/>
    <row r="20589" ht="12.75"/>
    <row r="20590" ht="12.75"/>
    <row r="20591" ht="12.75"/>
    <row r="20592" ht="12.75"/>
    <row r="20593" ht="12.75"/>
    <row r="20594" ht="12.75"/>
    <row r="20595" ht="12.75"/>
    <row r="20596" ht="12.75"/>
    <row r="20597" ht="12.75"/>
    <row r="20598" ht="12.75"/>
    <row r="20599" ht="12.75"/>
    <row r="20600" ht="12.75"/>
    <row r="20601" ht="12.75"/>
    <row r="20602" ht="12.75"/>
    <row r="20603" ht="12.75"/>
    <row r="20604" ht="12.75"/>
    <row r="20605" ht="12.75"/>
    <row r="20606" ht="12.75"/>
    <row r="20607" ht="12.75"/>
    <row r="20608" ht="12.75"/>
    <row r="20609" ht="12.75"/>
    <row r="20610" ht="12.75"/>
    <row r="20611" ht="12.75"/>
    <row r="20612" ht="12.75"/>
    <row r="20613" ht="12.75"/>
    <row r="20614" ht="12.75"/>
    <row r="20615" ht="12.75"/>
    <row r="20616" ht="12.75"/>
    <row r="20617" ht="12.75"/>
    <row r="20618" ht="12.75"/>
    <row r="20619" ht="12.75"/>
    <row r="20620" ht="12.75"/>
    <row r="20621" ht="12.75"/>
    <row r="20622" ht="12.75"/>
    <row r="20623" ht="12.75"/>
    <row r="20624" ht="12.75"/>
    <row r="20625" ht="12.75"/>
    <row r="20626" ht="12.75"/>
    <row r="20627" ht="12.75"/>
    <row r="20628" ht="12.75"/>
    <row r="20629" ht="12.75"/>
    <row r="20630" ht="12.75"/>
    <row r="20631" ht="12.75"/>
    <row r="20632" ht="12.75"/>
    <row r="20633" ht="12.75"/>
    <row r="20634" ht="12.75"/>
    <row r="20635" ht="12.75"/>
    <row r="20636" ht="12.75"/>
    <row r="20637" ht="12.75"/>
    <row r="20638" ht="12.75"/>
    <row r="20639" ht="12.75"/>
    <row r="20640" ht="12.75"/>
    <row r="20641" ht="12.75"/>
    <row r="20642" ht="12.75"/>
    <row r="20643" ht="12.75"/>
    <row r="20644" ht="12.75"/>
    <row r="20645" ht="12.75"/>
    <row r="20646" ht="12.75"/>
    <row r="20647" ht="12.75"/>
    <row r="20648" ht="12.75"/>
    <row r="20649" ht="12.75"/>
    <row r="20650" ht="12.75"/>
    <row r="20651" ht="12.75"/>
    <row r="20652" ht="12.75"/>
    <row r="20653" ht="12.75"/>
    <row r="20654" ht="12.75"/>
    <row r="20655" ht="12.75"/>
    <row r="20656" ht="12.75"/>
    <row r="20657" ht="12.75"/>
    <row r="20658" ht="12.75"/>
    <row r="20659" ht="12.75"/>
    <row r="20660" ht="12.75"/>
    <row r="20661" ht="12.75"/>
    <row r="20662" ht="12.75"/>
    <row r="20663" ht="12.75"/>
    <row r="20664" ht="12.75"/>
    <row r="20665" ht="12.75"/>
    <row r="20666" ht="12.75"/>
    <row r="20667" ht="12.75"/>
    <row r="20668" ht="12.75"/>
    <row r="20669" ht="12.75"/>
    <row r="20670" ht="12.75"/>
    <row r="20671" ht="12.75"/>
    <row r="20672" ht="12.75"/>
    <row r="20673" ht="12.75"/>
    <row r="20674" ht="12.75"/>
    <row r="20675" ht="12.75"/>
    <row r="20676" ht="12.75"/>
    <row r="20677" ht="12.75"/>
    <row r="20678" ht="12.75"/>
    <row r="20679" ht="12.75"/>
    <row r="20680" ht="12.75"/>
    <row r="20681" ht="12.75"/>
    <row r="20682" ht="12.75"/>
    <row r="20683" ht="12.75"/>
    <row r="20684" ht="12.75"/>
    <row r="20685" ht="12.75"/>
    <row r="20686" ht="12.75"/>
    <row r="20687" ht="12.75"/>
    <row r="20688" ht="12.75"/>
    <row r="20689" ht="12.75"/>
    <row r="20690" ht="12.75"/>
    <row r="20691" ht="12.75"/>
    <row r="20692" ht="12.75"/>
    <row r="20693" ht="12.75"/>
    <row r="20694" ht="12.75"/>
    <row r="20695" ht="12.75"/>
    <row r="20696" ht="12.75"/>
    <row r="20697" ht="12.75"/>
    <row r="20698" ht="12.75"/>
    <row r="20699" ht="12.75"/>
    <row r="20700" ht="12.75"/>
    <row r="20701" ht="12.75"/>
    <row r="20702" ht="12.75"/>
    <row r="20703" ht="12.75"/>
    <row r="20704" ht="12.75"/>
    <row r="20705" ht="12.75"/>
    <row r="20706" ht="12.75"/>
    <row r="20707" ht="12.75"/>
    <row r="20708" ht="12.75"/>
    <row r="20709" ht="12.75"/>
    <row r="20710" ht="12.75"/>
    <row r="20711" ht="12.75"/>
    <row r="20712" ht="12.75"/>
    <row r="20713" ht="12.75"/>
    <row r="20714" ht="12.75"/>
    <row r="20715" ht="12.75"/>
    <row r="20716" ht="12.75"/>
    <row r="20717" ht="12.75"/>
    <row r="20718" ht="12.75"/>
    <row r="20719" ht="12.75"/>
    <row r="20720" ht="12.75"/>
    <row r="20721" ht="12.75"/>
    <row r="20722" ht="12.75"/>
    <row r="20723" ht="12.75"/>
    <row r="20724" ht="12.75"/>
    <row r="20725" ht="12.75"/>
    <row r="20726" ht="12.75"/>
    <row r="20727" ht="12.75"/>
    <row r="20728" ht="12.75"/>
    <row r="20729" ht="12.75"/>
    <row r="20730" ht="12.75"/>
    <row r="20731" ht="12.75"/>
    <row r="20732" ht="12.75"/>
    <row r="20733" ht="12.75"/>
    <row r="20734" ht="12.75"/>
    <row r="20735" ht="12.75"/>
    <row r="20736" ht="12.75"/>
    <row r="20737" ht="12.75"/>
    <row r="20738" ht="12.75"/>
    <row r="20739" ht="12.75"/>
    <row r="20740" ht="12.75"/>
    <row r="20741" ht="12.75"/>
    <row r="20742" ht="12.75"/>
    <row r="20743" ht="12.75"/>
    <row r="20744" ht="12.75"/>
    <row r="20745" ht="12.75"/>
    <row r="20746" ht="12.75"/>
    <row r="20747" ht="12.75"/>
    <row r="20748" ht="12.75"/>
    <row r="20749" ht="12.75"/>
    <row r="20750" ht="12.75"/>
    <row r="20751" ht="12.75"/>
    <row r="20752" ht="12.75"/>
    <row r="20753" ht="12.75"/>
    <row r="20754" ht="12.75"/>
    <row r="20755" ht="12.75"/>
    <row r="20756" ht="12.75"/>
    <row r="20757" ht="12.75"/>
    <row r="20758" ht="12.75"/>
    <row r="20759" ht="12.75"/>
    <row r="20760" ht="12.75"/>
    <row r="20761" ht="12.75"/>
    <row r="20762" ht="12.75"/>
    <row r="20763" ht="12.75"/>
    <row r="20764" ht="12.75"/>
    <row r="20765" ht="12.75"/>
    <row r="20766" ht="12.75"/>
    <row r="20767" ht="12.75"/>
    <row r="20768" ht="12.75"/>
    <row r="20769" ht="12.75"/>
    <row r="20770" ht="12.75"/>
    <row r="20771" ht="12.75"/>
    <row r="20772" ht="12.75"/>
    <row r="20773" ht="12.75"/>
    <row r="20774" ht="12.75"/>
    <row r="20775" ht="12.75"/>
    <row r="20776" ht="12.75"/>
    <row r="20777" ht="12.75"/>
    <row r="20778" ht="12.75"/>
    <row r="20779" ht="12.75"/>
    <row r="20780" ht="12.75"/>
    <row r="20781" ht="12.75"/>
    <row r="20782" ht="12.75"/>
    <row r="20783" ht="12.75"/>
    <row r="20784" ht="12.75"/>
    <row r="20785" ht="12.75"/>
    <row r="20786" ht="12.75"/>
    <row r="20787" ht="12.75"/>
    <row r="20788" ht="12.75"/>
    <row r="20789" ht="12.75"/>
    <row r="20790" ht="12.75"/>
    <row r="20791" ht="12.75"/>
    <row r="20792" ht="12.75"/>
    <row r="20793" ht="12.75"/>
    <row r="20794" ht="12.75"/>
    <row r="20795" ht="12.75"/>
    <row r="20796" ht="12.75"/>
    <row r="20797" ht="12.75"/>
    <row r="20798" ht="12.75"/>
    <row r="20799" ht="12.75"/>
    <row r="20800" ht="12.75"/>
    <row r="20801" ht="12.75"/>
    <row r="20802" ht="12.75"/>
    <row r="20803" ht="12.75"/>
    <row r="20804" ht="12.75"/>
    <row r="20805" ht="12.75"/>
    <row r="20806" ht="12.75"/>
    <row r="20807" ht="12.75"/>
    <row r="20808" ht="12.75"/>
    <row r="20809" ht="12.75"/>
    <row r="20810" ht="12.75"/>
    <row r="20811" ht="12.75"/>
    <row r="20812" ht="12.75"/>
    <row r="20813" ht="12.75"/>
    <row r="20814" ht="12.75"/>
    <row r="20815" ht="12.75"/>
    <row r="20816" ht="12.75"/>
    <row r="20817" ht="12.75"/>
    <row r="20818" ht="12.75"/>
    <row r="20819" ht="12.75"/>
    <row r="20820" ht="12.75"/>
    <row r="20821" ht="12.75"/>
    <row r="20822" ht="12.75"/>
    <row r="20823" ht="12.75"/>
    <row r="20824" ht="12.75"/>
    <row r="20825" ht="12.75"/>
    <row r="20826" ht="12.75"/>
    <row r="20827" ht="12.75"/>
    <row r="20828" ht="12.75"/>
    <row r="20829" ht="12.75"/>
    <row r="20830" ht="12.75"/>
    <row r="20831" ht="12.75"/>
    <row r="20832" ht="12.75"/>
    <row r="20833" ht="12.75"/>
    <row r="20834" ht="12.75"/>
    <row r="20835" ht="12.75"/>
    <row r="20836" ht="12.75"/>
    <row r="20837" ht="12.75"/>
    <row r="20838" ht="12.75"/>
    <row r="20839" ht="12.75"/>
    <row r="20840" ht="12.75"/>
    <row r="20841" ht="12.75"/>
    <row r="20842" ht="12.75"/>
    <row r="20843" ht="12.75"/>
    <row r="20844" ht="12.75"/>
    <row r="20845" ht="12.75"/>
    <row r="20846" ht="12.75"/>
    <row r="20847" ht="12.75"/>
    <row r="20848" ht="12.75"/>
    <row r="20849" ht="12.75"/>
    <row r="20850" ht="12.75"/>
    <row r="20851" ht="12.75"/>
    <row r="20852" ht="12.75"/>
    <row r="20853" ht="12.75"/>
    <row r="20854" ht="12.75"/>
    <row r="20855" ht="12.75"/>
    <row r="20856" ht="12.75"/>
    <row r="20857" ht="12.75"/>
    <row r="20858" ht="12.75"/>
    <row r="20859" ht="12.75"/>
    <row r="20860" ht="12.75"/>
    <row r="20861" ht="12.75"/>
    <row r="20862" ht="12.75"/>
    <row r="20863" ht="12.75"/>
    <row r="20864" ht="12.75"/>
    <row r="20865" ht="12.75"/>
    <row r="20866" ht="12.75"/>
    <row r="20867" ht="12.75"/>
    <row r="20868" ht="12.75"/>
    <row r="20869" ht="12.75"/>
    <row r="20870" ht="12.75"/>
    <row r="20871" ht="12.75"/>
    <row r="20872" ht="12.75"/>
    <row r="20873" ht="12.75"/>
    <row r="20874" ht="12.75"/>
    <row r="20875" ht="12.75"/>
    <row r="20876" ht="12.75"/>
    <row r="20877" ht="12.75"/>
    <row r="20878" ht="12.75"/>
    <row r="20879" ht="12.75"/>
    <row r="20880" ht="12.75"/>
    <row r="20881" ht="12.75"/>
    <row r="20882" ht="12.75"/>
    <row r="20883" ht="12.75"/>
    <row r="20884" ht="12.75"/>
    <row r="20885" ht="12.75"/>
    <row r="20886" ht="12.75"/>
    <row r="20887" ht="12.75"/>
    <row r="20888" ht="12.75"/>
    <row r="20889" ht="12.75"/>
    <row r="20890" ht="12.75"/>
    <row r="20891" ht="12.75"/>
    <row r="20892" ht="12.75"/>
    <row r="20893" ht="12.75"/>
    <row r="20894" ht="12.75"/>
    <row r="20895" ht="12.75"/>
    <row r="20896" ht="12.75"/>
    <row r="20897" ht="12.75"/>
    <row r="20898" ht="12.75"/>
    <row r="20899" ht="12.75"/>
    <row r="20900" ht="12.75"/>
    <row r="20901" ht="12.75"/>
    <row r="20902" ht="12.75"/>
    <row r="20903" ht="12.75"/>
    <row r="20904" ht="12.75"/>
    <row r="20905" ht="12.75"/>
    <row r="20906" ht="12.75"/>
    <row r="20907" ht="12.75"/>
    <row r="20908" ht="12.75"/>
    <row r="20909" ht="12.75"/>
    <row r="20910" ht="12.75"/>
    <row r="20911" ht="12.75"/>
    <row r="20912" ht="12.75"/>
    <row r="20913" ht="12.75"/>
    <row r="20914" ht="12.75"/>
    <row r="20915" ht="12.75"/>
    <row r="20916" ht="12.75"/>
    <row r="20917" ht="12.75"/>
    <row r="20918" ht="12.75"/>
    <row r="20919" ht="12.75"/>
    <row r="20920" ht="12.75"/>
    <row r="20921" ht="12.75"/>
    <row r="20922" ht="12.75"/>
    <row r="20923" ht="12.75"/>
    <row r="20924" ht="12.75"/>
    <row r="20925" ht="12.75"/>
    <row r="20926" ht="12.75"/>
    <row r="20927" ht="12.75"/>
    <row r="20928" ht="12.75"/>
    <row r="20929" ht="12.75"/>
    <row r="20930" ht="12.75"/>
    <row r="20931" ht="12.75"/>
    <row r="20932" ht="12.75"/>
    <row r="20933" ht="12.75"/>
    <row r="20934" ht="12.75"/>
    <row r="20935" ht="12.75"/>
    <row r="20936" ht="12.75"/>
    <row r="20937" ht="12.75"/>
    <row r="20938" ht="12.75"/>
    <row r="20939" ht="12.75"/>
    <row r="20940" ht="12.75"/>
    <row r="20941" ht="12.75"/>
    <row r="20942" ht="12.75"/>
    <row r="20943" ht="12.75"/>
    <row r="20944" ht="12.75"/>
    <row r="20945" ht="12.75"/>
    <row r="20946" ht="12.75"/>
    <row r="20947" ht="12.75"/>
    <row r="20948" ht="12.75"/>
    <row r="20949" ht="12.75"/>
    <row r="20950" ht="12.75"/>
    <row r="20951" ht="12.75"/>
    <row r="20952" ht="12.75"/>
    <row r="20953" ht="12.75"/>
    <row r="20954" ht="12.75"/>
    <row r="20955" ht="12.75"/>
    <row r="20956" ht="12.75"/>
    <row r="20957" ht="12.75"/>
    <row r="20958" ht="12.75"/>
    <row r="20959" ht="12.75"/>
    <row r="20960" ht="12.75"/>
    <row r="20961" ht="12.75"/>
    <row r="20962" ht="12.75"/>
    <row r="20963" ht="12.75"/>
    <row r="20964" ht="12.75"/>
    <row r="20965" ht="12.75"/>
    <row r="20966" ht="12.75"/>
    <row r="20967" ht="12.75"/>
    <row r="20968" ht="12.75"/>
    <row r="20969" ht="12.75"/>
    <row r="20970" ht="12.75"/>
    <row r="20971" ht="12.75"/>
    <row r="20972" ht="12.75"/>
    <row r="20973" ht="12.75"/>
    <row r="20974" ht="12.75"/>
    <row r="20975" ht="12.75"/>
    <row r="20976" ht="12.75"/>
    <row r="20977" ht="12.75"/>
    <row r="20978" ht="12.75"/>
    <row r="20979" ht="12.75"/>
    <row r="20980" ht="12.75"/>
    <row r="20981" ht="12.75"/>
    <row r="20982" ht="12.75"/>
    <row r="20983" ht="12.75"/>
    <row r="20984" ht="12.75"/>
    <row r="20985" ht="12.75"/>
    <row r="20986" ht="12.75"/>
    <row r="20987" ht="12.75"/>
    <row r="20988" ht="12.75"/>
    <row r="20989" ht="12.75"/>
    <row r="20990" ht="12.75"/>
    <row r="20991" ht="12.75"/>
    <row r="20992" ht="12.75"/>
    <row r="20993" ht="12.75"/>
    <row r="20994" ht="12.75"/>
    <row r="20995" ht="12.75"/>
    <row r="20996" ht="12.75"/>
    <row r="20997" ht="12.75"/>
    <row r="20998" ht="12.75"/>
    <row r="20999" ht="12.75"/>
    <row r="21000" ht="12.75"/>
    <row r="21001" ht="12.75"/>
    <row r="21002" ht="12.75"/>
    <row r="21003" ht="12.75"/>
    <row r="21004" ht="12.75"/>
    <row r="21005" ht="12.75"/>
    <row r="21006" ht="12.75"/>
    <row r="21007" ht="12.75"/>
    <row r="21008" ht="12.75"/>
    <row r="21009" ht="12.75"/>
    <row r="21010" ht="12.75"/>
    <row r="21011" ht="12.75"/>
    <row r="21012" ht="12.75"/>
    <row r="21013" ht="12.75"/>
    <row r="21014" ht="12.75"/>
    <row r="21015" ht="12.75"/>
    <row r="21016" ht="12.75"/>
    <row r="21017" ht="12.75"/>
    <row r="21018" ht="12.75"/>
    <row r="21019" ht="12.75"/>
    <row r="21020" ht="12.75"/>
    <row r="21021" ht="12.75"/>
    <row r="21022" ht="12.75"/>
    <row r="21023" ht="12.75"/>
    <row r="21024" ht="12.75"/>
    <row r="21025" ht="12.75"/>
    <row r="21026" ht="12.75"/>
    <row r="21027" ht="12.75"/>
    <row r="21028" ht="12.75"/>
    <row r="21029" ht="12.75"/>
    <row r="21030" ht="12.75"/>
    <row r="21031" ht="12.75"/>
    <row r="21032" ht="12.75"/>
    <row r="21033" ht="12.75"/>
    <row r="21034" ht="12.75"/>
    <row r="21035" ht="12.75"/>
    <row r="21036" ht="12.75"/>
    <row r="21037" ht="12.75"/>
    <row r="21038" ht="12.75"/>
    <row r="21039" ht="12.75"/>
    <row r="21040" ht="12.75"/>
    <row r="21041" ht="12.75"/>
    <row r="21042" ht="12.75"/>
    <row r="21043" ht="12.75"/>
    <row r="21044" ht="12.75"/>
    <row r="21045" ht="12.75"/>
    <row r="21046" ht="12.75"/>
    <row r="21047" ht="12.75"/>
    <row r="21048" ht="12.75"/>
    <row r="21049" ht="12.75"/>
    <row r="21050" ht="12.75"/>
    <row r="21051" ht="12.75"/>
    <row r="21052" ht="12.75"/>
    <row r="21053" ht="12.75"/>
    <row r="21054" ht="12.75"/>
    <row r="21055" ht="12.75"/>
    <row r="21056" ht="12.75"/>
    <row r="21057" ht="12.75"/>
    <row r="21058" ht="12.75"/>
    <row r="21059" ht="12.75"/>
    <row r="21060" ht="12.75"/>
    <row r="21061" ht="12.75"/>
    <row r="21062" ht="12.75"/>
    <row r="21063" ht="12.75"/>
    <row r="21064" ht="12.75"/>
    <row r="21065" ht="12.75"/>
    <row r="21066" ht="12.75"/>
    <row r="21067" ht="12.75"/>
    <row r="21068" ht="12.75"/>
    <row r="21069" ht="12.75"/>
    <row r="21070" ht="12.75"/>
    <row r="21071" ht="12.75"/>
    <row r="21072" ht="12.75"/>
    <row r="21073" ht="12.75"/>
    <row r="21074" ht="12.75"/>
    <row r="21075" ht="12.75"/>
    <row r="21076" ht="12.75"/>
    <row r="21077" ht="12.75"/>
    <row r="21078" ht="12.75"/>
    <row r="21079" ht="12.75"/>
    <row r="21080" ht="12.75"/>
    <row r="21081" ht="12.75"/>
    <row r="21082" ht="12.75"/>
    <row r="21083" ht="12.75"/>
    <row r="21084" ht="12.75"/>
    <row r="21085" ht="12.75"/>
    <row r="21086" ht="12.75"/>
    <row r="21087" ht="12.75"/>
    <row r="21088" ht="12.75"/>
    <row r="21089" ht="12.75"/>
    <row r="21090" ht="12.75"/>
    <row r="21091" ht="12.75"/>
    <row r="21092" ht="12.75"/>
    <row r="21093" ht="12.75"/>
    <row r="21094" ht="12.75"/>
    <row r="21095" ht="12.75"/>
    <row r="21096" ht="12.75"/>
    <row r="21097" ht="12.75"/>
    <row r="21098" ht="12.75"/>
    <row r="21099" ht="12.75"/>
    <row r="21100" ht="12.75"/>
    <row r="21101" ht="12.75"/>
    <row r="21102" ht="12.75"/>
    <row r="21103" ht="12.75"/>
    <row r="21104" ht="12.75"/>
    <row r="21105" ht="12.75"/>
    <row r="21106" ht="12.75"/>
    <row r="21107" ht="12.75"/>
    <row r="21108" ht="12.75"/>
    <row r="21109" ht="12.75"/>
    <row r="21110" ht="12.75"/>
    <row r="21111" ht="12.75"/>
    <row r="21112" ht="12.75"/>
    <row r="21113" ht="12.75"/>
    <row r="21114" ht="12.75"/>
    <row r="21115" ht="12.75"/>
    <row r="21116" ht="12.75"/>
    <row r="21117" ht="12.75"/>
    <row r="21118" ht="12.75"/>
    <row r="21119" ht="12.75"/>
    <row r="21120" ht="12.75"/>
    <row r="21121" ht="12.75"/>
    <row r="21122" ht="12.75"/>
    <row r="21123" ht="12.75"/>
    <row r="21124" ht="12.75"/>
    <row r="21125" ht="12.75"/>
    <row r="21126" ht="12.75"/>
    <row r="21127" ht="12.75"/>
    <row r="21128" ht="12.75"/>
    <row r="21129" ht="12.75"/>
    <row r="21130" ht="12.75"/>
    <row r="21131" ht="12.75"/>
    <row r="21132" ht="12.75"/>
    <row r="21133" ht="12.75"/>
    <row r="21134" ht="12.75"/>
    <row r="21135" ht="12.75"/>
    <row r="21136" ht="12.75"/>
    <row r="21137" ht="12.75"/>
    <row r="21138" ht="12.75"/>
    <row r="21139" ht="12.75"/>
    <row r="21140" ht="12.75"/>
    <row r="21141" ht="12.75"/>
    <row r="21142" ht="12.75"/>
    <row r="21143" ht="12.75"/>
    <row r="21144" ht="12.75"/>
    <row r="21145" ht="12.75"/>
    <row r="21146" ht="12.75"/>
    <row r="21147" ht="12.75"/>
    <row r="21148" ht="12.75"/>
    <row r="21149" ht="12.75"/>
    <row r="21150" ht="12.75"/>
    <row r="21151" ht="12.75"/>
    <row r="21152" ht="12.75"/>
    <row r="21153" ht="12.75"/>
    <row r="21154" ht="12.75"/>
    <row r="21155" ht="12.75"/>
    <row r="21156" ht="12.75"/>
    <row r="21157" ht="12.75"/>
    <row r="21158" ht="12.75"/>
    <row r="21159" ht="12.75"/>
    <row r="21160" ht="12.75"/>
    <row r="21161" ht="12.75"/>
    <row r="21162" ht="12.75"/>
    <row r="21163" ht="12.75"/>
    <row r="21164" ht="12.75"/>
    <row r="21165" ht="12.75"/>
    <row r="21166" ht="12.75"/>
    <row r="21167" ht="12.75"/>
    <row r="21168" ht="12.75"/>
    <row r="21169" ht="12.75"/>
    <row r="21170" ht="12.75"/>
    <row r="21171" ht="12.75"/>
    <row r="21172" ht="12.75"/>
    <row r="21173" ht="12.75"/>
    <row r="21174" ht="12.75"/>
    <row r="21175" ht="12.75"/>
    <row r="21176" ht="12.75"/>
    <row r="21177" ht="12.75"/>
    <row r="21178" ht="12.75"/>
    <row r="21179" ht="12.75"/>
    <row r="21180" ht="12.75"/>
    <row r="21181" ht="12.75"/>
    <row r="21182" ht="12.75"/>
    <row r="21183" ht="12.75"/>
    <row r="21184" ht="12.75"/>
    <row r="21185" ht="12.75"/>
    <row r="21186" ht="12.75"/>
    <row r="21187" ht="12.75"/>
    <row r="21188" ht="12.75"/>
    <row r="21189" ht="12.75"/>
    <row r="21190" ht="12.75"/>
    <row r="21191" ht="12.75"/>
    <row r="21192" ht="12.75"/>
    <row r="21193" ht="12.75"/>
    <row r="21194" ht="12.75"/>
    <row r="21195" ht="12.75"/>
    <row r="21196" ht="12.75"/>
    <row r="21197" ht="12.75"/>
    <row r="21198" ht="12.75"/>
    <row r="21199" ht="12.75"/>
    <row r="21200" ht="12.75"/>
    <row r="21201" ht="12.75"/>
    <row r="21202" ht="12.75"/>
    <row r="21203" ht="12.75"/>
    <row r="21204" ht="12.75"/>
    <row r="21205" ht="12.75"/>
    <row r="21206" ht="12.75"/>
    <row r="21207" ht="12.75"/>
    <row r="21208" ht="12.75"/>
    <row r="21209" ht="12.75"/>
    <row r="21210" ht="12.75"/>
    <row r="21211" ht="12.75"/>
    <row r="21212" ht="12.75"/>
    <row r="21213" ht="12.75"/>
    <row r="21214" ht="12.75"/>
    <row r="21215" ht="12.75"/>
    <row r="21216" ht="12.75"/>
    <row r="21217" ht="12.75"/>
    <row r="21218" ht="12.75"/>
    <row r="21219" ht="12.75"/>
    <row r="21220" ht="12.75"/>
    <row r="21221" ht="12.75"/>
    <row r="21222" ht="12.75"/>
    <row r="21223" ht="12.75"/>
    <row r="21224" ht="12.75"/>
    <row r="21225" ht="12.75"/>
    <row r="21226" ht="12.75"/>
    <row r="21227" ht="12.75"/>
    <row r="21228" ht="12.75"/>
    <row r="21229" ht="12.75"/>
    <row r="21230" ht="12.75"/>
    <row r="21231" ht="12.75"/>
    <row r="21232" ht="12.75"/>
    <row r="21233" ht="12.75"/>
    <row r="21234" ht="12.75"/>
    <row r="21235" ht="12.75"/>
    <row r="21236" ht="12.75"/>
    <row r="21237" ht="12.75"/>
    <row r="21238" ht="12.75"/>
    <row r="21239" ht="12.75"/>
    <row r="21240" ht="12.75"/>
    <row r="21241" ht="12.75"/>
    <row r="21242" ht="12.75"/>
    <row r="21243" ht="12.75"/>
    <row r="21244" ht="12.75"/>
    <row r="21245" ht="12.75"/>
    <row r="21246" ht="12.75"/>
    <row r="21247" ht="12.75"/>
    <row r="21248" ht="12.75"/>
    <row r="21249" ht="12.75"/>
    <row r="21250" ht="12.75"/>
    <row r="21251" ht="12.75"/>
    <row r="21252" ht="12.75"/>
    <row r="21253" ht="12.75"/>
    <row r="21254" ht="12.75"/>
    <row r="21255" ht="12.75"/>
    <row r="21256" ht="12.75"/>
    <row r="21257" ht="12.75"/>
    <row r="21258" ht="12.75"/>
    <row r="21259" ht="12.75"/>
    <row r="21260" ht="12.75"/>
    <row r="21261" ht="12.75"/>
    <row r="21262" ht="12.75"/>
    <row r="21263" ht="12.75"/>
    <row r="21264" ht="12.75"/>
    <row r="21265" ht="12.75"/>
    <row r="21266" ht="12.75"/>
    <row r="21267" ht="12.75"/>
    <row r="21268" ht="12.75"/>
    <row r="21269" ht="12.75"/>
    <row r="21270" ht="12.75"/>
    <row r="21271" ht="12.75"/>
    <row r="21272" ht="12.75"/>
    <row r="21273" ht="12.75"/>
    <row r="21274" ht="12.75"/>
    <row r="21275" ht="12.75"/>
    <row r="21276" ht="12.75"/>
    <row r="21277" ht="12.75"/>
    <row r="21278" ht="12.75"/>
    <row r="21279" ht="12.75"/>
    <row r="21280" ht="12.75"/>
    <row r="21281" ht="12.75"/>
    <row r="21282" ht="12.75"/>
    <row r="21283" ht="12.75"/>
    <row r="21284" ht="12.75"/>
    <row r="21285" ht="12.75"/>
    <row r="21286" ht="12.75"/>
    <row r="21287" ht="12.75"/>
    <row r="21288" ht="12.75"/>
    <row r="21289" ht="12.75"/>
    <row r="21290" ht="12.75"/>
    <row r="21291" ht="12.75"/>
    <row r="21292" ht="12.75"/>
    <row r="21293" ht="12.75"/>
    <row r="21294" ht="12.75"/>
    <row r="21295" ht="12.75"/>
    <row r="21296" ht="12.75"/>
    <row r="21297" ht="12.75"/>
    <row r="21298" ht="12.75"/>
    <row r="21299" ht="12.75"/>
    <row r="21300" ht="12.75"/>
    <row r="21301" ht="12.75"/>
    <row r="21302" ht="12.75"/>
    <row r="21303" ht="12.75"/>
    <row r="21304" ht="12.75"/>
    <row r="21305" ht="12.75"/>
    <row r="21306" ht="12.75"/>
    <row r="21307" ht="12.75"/>
    <row r="21308" ht="12.75"/>
    <row r="21309" ht="12.75"/>
    <row r="21310" ht="12.75"/>
    <row r="21311" ht="12.75"/>
    <row r="21312" ht="12.75"/>
    <row r="21313" ht="12.75"/>
    <row r="21314" ht="12.75"/>
    <row r="21315" ht="12.75"/>
    <row r="21316" ht="12.75"/>
    <row r="21317" ht="12.75"/>
    <row r="21318" ht="12.75"/>
    <row r="21319" ht="12.75"/>
    <row r="21320" ht="12.75"/>
    <row r="21321" ht="12.75"/>
    <row r="21322" ht="12.75"/>
    <row r="21323" ht="12.75"/>
    <row r="21324" ht="12.75"/>
    <row r="21325" ht="12.75"/>
    <row r="21326" ht="12.75"/>
    <row r="21327" ht="12.75"/>
    <row r="21328" ht="12.75"/>
    <row r="21329" ht="12.75"/>
    <row r="21330" ht="12.75"/>
    <row r="21331" ht="12.75"/>
    <row r="21332" ht="12.75"/>
    <row r="21333" ht="12.75"/>
    <row r="21334" ht="12.75"/>
    <row r="21335" ht="12.75"/>
    <row r="21336" ht="12.75"/>
    <row r="21337" ht="12.75"/>
    <row r="21338" ht="12.75"/>
    <row r="21339" ht="12.75"/>
    <row r="21340" ht="12.75"/>
    <row r="21341" ht="12.75"/>
    <row r="21342" ht="12.75"/>
    <row r="21343" ht="12.75"/>
    <row r="21344" ht="12.75"/>
    <row r="21345" ht="12.75"/>
    <row r="21346" ht="12.75"/>
    <row r="21347" ht="12.75"/>
    <row r="21348" ht="12.75"/>
    <row r="21349" ht="12.75"/>
    <row r="21350" ht="12.75"/>
    <row r="21351" ht="12.75"/>
    <row r="21352" ht="12.75"/>
    <row r="21353" ht="12.75"/>
    <row r="21354" ht="12.75"/>
    <row r="21355" ht="12.75"/>
    <row r="21356" ht="12.75"/>
    <row r="21357" ht="12.75"/>
    <row r="21358" ht="12.75"/>
    <row r="21359" ht="12.75"/>
    <row r="21360" ht="12.75"/>
    <row r="21361" ht="12.75"/>
    <row r="21362" ht="12.75"/>
    <row r="21363" ht="12.75"/>
    <row r="21364" ht="12.75"/>
    <row r="21365" ht="12.75"/>
    <row r="21366" ht="12.75"/>
    <row r="21367" ht="12.75"/>
    <row r="21368" ht="12.75"/>
    <row r="21369" ht="12.75"/>
    <row r="21370" ht="12.75"/>
    <row r="21371" ht="12.75"/>
    <row r="21372" ht="12.75"/>
    <row r="21373" ht="12.75"/>
    <row r="21374" ht="12.75"/>
    <row r="21375" ht="12.75"/>
    <row r="21376" ht="12.75"/>
    <row r="21377" ht="12.75"/>
    <row r="21378" ht="12.75"/>
    <row r="21379" ht="12.75"/>
    <row r="21380" ht="12.75"/>
    <row r="21381" ht="12.75"/>
    <row r="21382" ht="12.75"/>
    <row r="21383" ht="12.75"/>
    <row r="21384" ht="12.75"/>
    <row r="21385" ht="12.75"/>
    <row r="21386" ht="12.75"/>
    <row r="21387" ht="12.75"/>
    <row r="21388" ht="12.75"/>
    <row r="21389" ht="12.75"/>
    <row r="21390" ht="12.75"/>
    <row r="21391" ht="12.75"/>
    <row r="21392" ht="12.75"/>
    <row r="21393" ht="12.75"/>
    <row r="21394" ht="12.75"/>
    <row r="21395" ht="12.75"/>
    <row r="21396" ht="12.75"/>
    <row r="21397" ht="12.75"/>
    <row r="21398" ht="12.75"/>
    <row r="21399" ht="12.75"/>
    <row r="21400" ht="12.75"/>
    <row r="21401" ht="12.75"/>
    <row r="21402" ht="12.75"/>
    <row r="21403" ht="12.75"/>
    <row r="21404" ht="12.75"/>
    <row r="21405" ht="12.75"/>
    <row r="21406" ht="12.75"/>
    <row r="21407" ht="12.75"/>
    <row r="21408" ht="12.75"/>
    <row r="21409" ht="12.75"/>
    <row r="21410" ht="12.75"/>
    <row r="21411" ht="12.75"/>
    <row r="21412" ht="12.75"/>
    <row r="21413" ht="12.75"/>
    <row r="21414" ht="12.75"/>
    <row r="21415" ht="12.75"/>
    <row r="21416" ht="12.75"/>
    <row r="21417" ht="12.75"/>
    <row r="21418" ht="12.75"/>
    <row r="21419" ht="12.75"/>
    <row r="21420" ht="12.75"/>
    <row r="21421" ht="12.75"/>
    <row r="21422" ht="12.75"/>
    <row r="21423" ht="12.75"/>
    <row r="21424" ht="12.75"/>
    <row r="21425" ht="12.75"/>
    <row r="21426" ht="12.75"/>
    <row r="21427" ht="12.75"/>
    <row r="21428" ht="12.75"/>
    <row r="21429" ht="12.75"/>
    <row r="21430" ht="12.75"/>
    <row r="21431" ht="12.75"/>
    <row r="21432" ht="12.75"/>
    <row r="21433" ht="12.75"/>
    <row r="21434" ht="12.75"/>
    <row r="21435" ht="12.75"/>
    <row r="21436" ht="12.75"/>
    <row r="21437" ht="12.75"/>
    <row r="21438" ht="12.75"/>
    <row r="21439" ht="12.75"/>
    <row r="21440" ht="12.75"/>
    <row r="21441" ht="12.75"/>
    <row r="21442" ht="12.75"/>
    <row r="21443" ht="12.75"/>
    <row r="21444" ht="12.75"/>
    <row r="21445" ht="12.75"/>
    <row r="21446" ht="12.75"/>
    <row r="21447" ht="12.75"/>
    <row r="21448" ht="12.75"/>
    <row r="21449" ht="12.75"/>
    <row r="21450" ht="12.75"/>
    <row r="21451" ht="12.75"/>
    <row r="21452" ht="12.75"/>
    <row r="21453" ht="12.75"/>
    <row r="21454" ht="12.75"/>
    <row r="21455" ht="12.75"/>
    <row r="21456" ht="12.75"/>
    <row r="21457" ht="12.75"/>
    <row r="21458" ht="12.75"/>
    <row r="21459" ht="12.75"/>
    <row r="21460" ht="12.75"/>
    <row r="21461" ht="12.75"/>
    <row r="21462" ht="12.75"/>
    <row r="21463" ht="12.75"/>
    <row r="21464" ht="12.75"/>
    <row r="21465" ht="12.75"/>
    <row r="21466" ht="12.75"/>
    <row r="21467" ht="12.75"/>
    <row r="21468" ht="12.75"/>
    <row r="21469" ht="12.75"/>
    <row r="21470" ht="12.75"/>
    <row r="21471" ht="12.75"/>
    <row r="21472" ht="12.75"/>
    <row r="21473" ht="12.75"/>
    <row r="21474" ht="12.75"/>
    <row r="21475" ht="12.75"/>
    <row r="21476" ht="12.75"/>
    <row r="21477" ht="12.75"/>
    <row r="21478" ht="12.75"/>
    <row r="21479" ht="12.75"/>
    <row r="21480" ht="12.75"/>
    <row r="21481" ht="12.75"/>
    <row r="21482" ht="12.75"/>
    <row r="21483" ht="12.75"/>
    <row r="21484" ht="12.75"/>
    <row r="21485" ht="12.75"/>
    <row r="21486" ht="12.75"/>
    <row r="21487" ht="12.75"/>
    <row r="21488" ht="12.75"/>
    <row r="21489" ht="12.75"/>
    <row r="21490" ht="12.75"/>
    <row r="21491" ht="12.75"/>
    <row r="21492" ht="12.75"/>
    <row r="21493" ht="12.75"/>
    <row r="21494" ht="12.75"/>
    <row r="21495" ht="12.75"/>
    <row r="21496" ht="12.75"/>
    <row r="21497" ht="12.75"/>
    <row r="21498" ht="12.75"/>
    <row r="21499" ht="12.75"/>
    <row r="21500" ht="12.75"/>
    <row r="21501" ht="12.75"/>
    <row r="21502" ht="12.75"/>
    <row r="21503" ht="12.75"/>
    <row r="21504" ht="12.75"/>
    <row r="21505" ht="12.75"/>
    <row r="21506" ht="12.75"/>
    <row r="21507" ht="12.75"/>
    <row r="21508" ht="12.75"/>
    <row r="21509" ht="12.75"/>
    <row r="21510" ht="12.75"/>
    <row r="21511" ht="12.75"/>
    <row r="21512" ht="12.75"/>
    <row r="21513" ht="12.75"/>
    <row r="21514" ht="12.75"/>
    <row r="21515" ht="12.75"/>
    <row r="21516" ht="12.75"/>
    <row r="21517" ht="12.75"/>
    <row r="21518" ht="12.75"/>
    <row r="21519" ht="12.75"/>
    <row r="21520" ht="12.75"/>
    <row r="21521" ht="12.75"/>
    <row r="21522" ht="12.75"/>
    <row r="21523" ht="12.75"/>
    <row r="21524" ht="12.75"/>
    <row r="21525" ht="12.75"/>
    <row r="21526" ht="12.75"/>
    <row r="21527" ht="12.75"/>
    <row r="21528" ht="12.75"/>
    <row r="21529" ht="12.75"/>
    <row r="21530" ht="12.75"/>
    <row r="21531" ht="12.75"/>
    <row r="21532" ht="12.75"/>
    <row r="21533" ht="12.75"/>
    <row r="21534" ht="12.75"/>
    <row r="21535" ht="12.75"/>
    <row r="21536" ht="12.75"/>
    <row r="21537" ht="12.75"/>
    <row r="21538" ht="12.75"/>
    <row r="21539" ht="12.75"/>
    <row r="21540" ht="12.75"/>
    <row r="21541" ht="12.75"/>
    <row r="21542" ht="12.75"/>
    <row r="21543" ht="12.75"/>
    <row r="21544" ht="12.75"/>
    <row r="21545" ht="12.75"/>
    <row r="21546" ht="12.75"/>
    <row r="21547" ht="12.75"/>
    <row r="21548" ht="12.75"/>
    <row r="21549" ht="12.75"/>
    <row r="21550" ht="12.75"/>
    <row r="21551" ht="12.75"/>
    <row r="21552" ht="12.75"/>
    <row r="21553" ht="12.75"/>
    <row r="21554" ht="12.75"/>
    <row r="21555" ht="12.75"/>
    <row r="21556" ht="12.75"/>
    <row r="21557" ht="12.75"/>
    <row r="21558" ht="12.75"/>
    <row r="21559" ht="12.75"/>
    <row r="21560" ht="12.75"/>
    <row r="21561" ht="12.75"/>
    <row r="21562" ht="12.75"/>
    <row r="21563" ht="12.75"/>
    <row r="21564" ht="12.75"/>
    <row r="21565" ht="12.75"/>
    <row r="21566" ht="12.75"/>
    <row r="21567" ht="12.75"/>
    <row r="21568" ht="12.75"/>
    <row r="21569" ht="12.75"/>
    <row r="21570" ht="12.75"/>
    <row r="21571" ht="12.75"/>
    <row r="21572" ht="12.75"/>
    <row r="21573" ht="12.75"/>
    <row r="21574" ht="12.75"/>
    <row r="21575" ht="12.75"/>
    <row r="21576" ht="12.75"/>
    <row r="21577" ht="12.75"/>
    <row r="21578" ht="12.75"/>
    <row r="21579" ht="12.75"/>
    <row r="21580" ht="12.75"/>
    <row r="21581" ht="12.75"/>
    <row r="21582" ht="12.75"/>
    <row r="21583" ht="12.75"/>
    <row r="21584" ht="12.75"/>
    <row r="21585" ht="12.75"/>
    <row r="21586" ht="12.75"/>
    <row r="21587" ht="12.75"/>
    <row r="21588" ht="12.75"/>
    <row r="21589" ht="12.75"/>
    <row r="21590" ht="12.75"/>
    <row r="21591" ht="12.75"/>
    <row r="21592" ht="12.75"/>
    <row r="21593" ht="12.75"/>
    <row r="21594" ht="12.75"/>
    <row r="21595" ht="12.75"/>
    <row r="21596" ht="12.75"/>
    <row r="21597" ht="12.75"/>
    <row r="21598" ht="12.75"/>
    <row r="21599" ht="12.75"/>
    <row r="21600" ht="12.75"/>
    <row r="21601" ht="12.75"/>
    <row r="21602" ht="12.75"/>
    <row r="21603" ht="12.75"/>
    <row r="21604" ht="12.75"/>
    <row r="21605" ht="12.75"/>
    <row r="21606" ht="12.75"/>
    <row r="21607" ht="12.75"/>
    <row r="21608" ht="12.75"/>
    <row r="21609" ht="12.75"/>
    <row r="21610" ht="12.75"/>
    <row r="21611" ht="12.75"/>
    <row r="21612" ht="12.75"/>
    <row r="21613" ht="12.75"/>
    <row r="21614" ht="12.75"/>
    <row r="21615" ht="12.75"/>
    <row r="21616" ht="12.75"/>
    <row r="21617" ht="12.75"/>
    <row r="21618" ht="12.75"/>
    <row r="21619" ht="12.75"/>
    <row r="21620" ht="12.75"/>
    <row r="21621" ht="12.75"/>
    <row r="21622" ht="12.75"/>
    <row r="21623" ht="12.75"/>
    <row r="21624" ht="12.75"/>
    <row r="21625" ht="12.75"/>
    <row r="21626" ht="12.75"/>
    <row r="21627" ht="12.75"/>
    <row r="21628" ht="12.75"/>
    <row r="21629" ht="12.75"/>
    <row r="21630" ht="12.75"/>
    <row r="21631" ht="12.75"/>
    <row r="21632" ht="12.75"/>
    <row r="21633" ht="12.75"/>
    <row r="21634" ht="12.75"/>
    <row r="21635" ht="12.75"/>
    <row r="21636" ht="12.75"/>
    <row r="21637" ht="12.75"/>
    <row r="21638" ht="12.75"/>
    <row r="21639" ht="12.75"/>
    <row r="21640" ht="12.75"/>
    <row r="21641" ht="12.75"/>
    <row r="21642" ht="12.75"/>
    <row r="21643" ht="12.75"/>
    <row r="21644" ht="12.75"/>
    <row r="21645" ht="12.75"/>
    <row r="21646" ht="12.75"/>
    <row r="21647" ht="12.75"/>
    <row r="21648" ht="12.75"/>
    <row r="21649" ht="12.75"/>
    <row r="21650" ht="12.75"/>
    <row r="21651" ht="12.75"/>
    <row r="21652" ht="12.75"/>
    <row r="21653" ht="12.75"/>
    <row r="21654" ht="12.75"/>
    <row r="21655" ht="12.75"/>
    <row r="21656" ht="12.75"/>
    <row r="21657" ht="12.75"/>
    <row r="21658" ht="12.75"/>
    <row r="21659" ht="12.75"/>
    <row r="21660" ht="12.75"/>
    <row r="21661" ht="12.75"/>
    <row r="21662" ht="12.75"/>
    <row r="21663" ht="12.75"/>
    <row r="21664" ht="12.75"/>
    <row r="21665" ht="12.75"/>
    <row r="21666" ht="12.75"/>
    <row r="21667" ht="12.75"/>
    <row r="21668" ht="12.75"/>
    <row r="21669" ht="12.75"/>
    <row r="21670" ht="12.75"/>
    <row r="21671" ht="12.75"/>
    <row r="21672" ht="12.75"/>
    <row r="21673" ht="12.75"/>
    <row r="21674" ht="12.75"/>
    <row r="21675" ht="12.75"/>
    <row r="21676" ht="12.75"/>
    <row r="21677" ht="12.75"/>
    <row r="21678" ht="12.75"/>
    <row r="21679" ht="12.75"/>
    <row r="21680" ht="12.75"/>
    <row r="21681" ht="12.75"/>
    <row r="21682" ht="12.75"/>
    <row r="21683" ht="12.75"/>
    <row r="21684" ht="12.75"/>
    <row r="21685" ht="12.75"/>
    <row r="21686" ht="12.75"/>
    <row r="21687" ht="12.75"/>
    <row r="21688" ht="12.75"/>
    <row r="21689" ht="12.75"/>
    <row r="21690" ht="12.75"/>
    <row r="21691" ht="12.75"/>
    <row r="21692" ht="12.75"/>
    <row r="21693" ht="12.75"/>
    <row r="21694" ht="12.75"/>
    <row r="21695" ht="12.75"/>
    <row r="21696" ht="12.75"/>
    <row r="21697" ht="12.75"/>
    <row r="21698" ht="12.75"/>
    <row r="21699" ht="12.75"/>
    <row r="21700" ht="12.75"/>
    <row r="21701" ht="12.75"/>
    <row r="21702" ht="12.75"/>
    <row r="21703" ht="12.75"/>
    <row r="21704" ht="12.75"/>
    <row r="21705" ht="12.75"/>
    <row r="21706" ht="12.75"/>
    <row r="21707" ht="12.75"/>
    <row r="21708" ht="12.75"/>
    <row r="21709" ht="12.75"/>
    <row r="21710" ht="12.75"/>
    <row r="21711" ht="12.75"/>
    <row r="21712" ht="12.75"/>
    <row r="21713" ht="12.75"/>
    <row r="21714" ht="12.75"/>
    <row r="21715" ht="12.75"/>
    <row r="21716" ht="12.75"/>
    <row r="21717" ht="12.75"/>
    <row r="21718" ht="12.75"/>
    <row r="21719" ht="12.75"/>
    <row r="21720" ht="12.75"/>
    <row r="21721" ht="12.75"/>
    <row r="21722" ht="12.75"/>
    <row r="21723" ht="12.75"/>
    <row r="21724" ht="12.75"/>
    <row r="21725" ht="12.75"/>
    <row r="21726" ht="12.75"/>
    <row r="21727" ht="12.75"/>
    <row r="21728" ht="12.75"/>
    <row r="21729" ht="12.75"/>
    <row r="21730" ht="12.75"/>
    <row r="21731" ht="12.75"/>
    <row r="21732" ht="12.75"/>
    <row r="21733" ht="12.75"/>
    <row r="21734" ht="12.75"/>
    <row r="21735" ht="12.75"/>
    <row r="21736" ht="12.75"/>
    <row r="21737" ht="12.75"/>
    <row r="21738" ht="12.75"/>
    <row r="21739" ht="12.75"/>
    <row r="21740" ht="12.75"/>
    <row r="21741" ht="12.75"/>
    <row r="21742" ht="12.75"/>
    <row r="21743" ht="12.75"/>
    <row r="21744" ht="12.75"/>
    <row r="21745" ht="12.75"/>
    <row r="21746" ht="12.75"/>
    <row r="21747" ht="12.75"/>
    <row r="21748" ht="12.75"/>
    <row r="21749" ht="12.75"/>
    <row r="21750" ht="12.75"/>
    <row r="21751" ht="12.75"/>
    <row r="21752" ht="12.75"/>
    <row r="21753" ht="12.75"/>
    <row r="21754" ht="12.75"/>
    <row r="21755" ht="12.75"/>
    <row r="21756" ht="12.75"/>
    <row r="21757" ht="12.75"/>
    <row r="21758" ht="12.75"/>
    <row r="21759" ht="12.75"/>
    <row r="21760" ht="12.75"/>
    <row r="21761" ht="12.75"/>
    <row r="21762" ht="12.75"/>
    <row r="21763" ht="12.75"/>
    <row r="21764" ht="12.75"/>
    <row r="21765" ht="12.75"/>
    <row r="21766" ht="12.75"/>
    <row r="21767" ht="12.75"/>
    <row r="21768" ht="12.75"/>
    <row r="21769" ht="12.75"/>
    <row r="21770" ht="12.75"/>
    <row r="21771" ht="12.75"/>
    <row r="21772" ht="12.75"/>
    <row r="21773" ht="12.75"/>
    <row r="21774" ht="12.75"/>
    <row r="21775" ht="12.75"/>
    <row r="21776" ht="12.75"/>
    <row r="21777" ht="12.75"/>
    <row r="21778" ht="12.75"/>
    <row r="21779" ht="12.75"/>
    <row r="21780" ht="12.75"/>
    <row r="21781" ht="12.75"/>
    <row r="21782" ht="12.75"/>
    <row r="21783" ht="12.75"/>
    <row r="21784" ht="12.75"/>
    <row r="21785" ht="12.75"/>
    <row r="21786" ht="12.75"/>
    <row r="21787" ht="12.75"/>
    <row r="21788" ht="12.75"/>
    <row r="21789" ht="12.75"/>
    <row r="21790" ht="12.75"/>
    <row r="21791" ht="12.75"/>
    <row r="21792" ht="12.75"/>
    <row r="21793" ht="12.75"/>
    <row r="21794" ht="12.75"/>
    <row r="21795" ht="12.75"/>
    <row r="21796" ht="12.75"/>
    <row r="21797" ht="12.75"/>
    <row r="21798" ht="12.75"/>
    <row r="21799" ht="12.75"/>
    <row r="21800" ht="12.75"/>
    <row r="21801" ht="12.75"/>
    <row r="21802" ht="12.75"/>
    <row r="21803" ht="12.75"/>
    <row r="21804" ht="12.75"/>
    <row r="21805" ht="12.75"/>
    <row r="21806" ht="12.75"/>
    <row r="21807" ht="12.75"/>
    <row r="21808" ht="12.75"/>
    <row r="21809" ht="12.75"/>
    <row r="21810" ht="12.75"/>
    <row r="21811" ht="12.75"/>
    <row r="21812" ht="12.75"/>
    <row r="21813" ht="12.75"/>
    <row r="21814" ht="12.75"/>
    <row r="21815" ht="12.75"/>
    <row r="21816" ht="12.75"/>
    <row r="21817" ht="12.75"/>
    <row r="21818" ht="12.75"/>
    <row r="21819" ht="12.75"/>
    <row r="21820" ht="12.75"/>
    <row r="21821" ht="12.75"/>
    <row r="21822" ht="12.75"/>
    <row r="21823" ht="12.75"/>
    <row r="21824" ht="12.75"/>
    <row r="21825" ht="12.75"/>
    <row r="21826" ht="12.75"/>
    <row r="21827" ht="12.75"/>
    <row r="21828" ht="12.75"/>
    <row r="21829" ht="12.75"/>
    <row r="21830" ht="12.75"/>
    <row r="21831" ht="12.75"/>
    <row r="21832" ht="12.75"/>
    <row r="21833" ht="12.75"/>
    <row r="21834" ht="12.75"/>
    <row r="21835" ht="12.75"/>
    <row r="21836" ht="12.75"/>
    <row r="21837" ht="12.75"/>
    <row r="21838" ht="12.75"/>
    <row r="21839" ht="12.75"/>
    <row r="21840" ht="12.75"/>
    <row r="21841" ht="12.75"/>
    <row r="21842" ht="12.75"/>
    <row r="21843" ht="12.75"/>
    <row r="21844" ht="12.75"/>
    <row r="21845" ht="12.75"/>
    <row r="21846" ht="12.75"/>
    <row r="21847" ht="12.75"/>
    <row r="21848" ht="12.75"/>
    <row r="21849" ht="12.75"/>
    <row r="21850" ht="12.75"/>
    <row r="21851" ht="12.75"/>
    <row r="21852" ht="12.75"/>
    <row r="21853" ht="12.75"/>
    <row r="21854" ht="12.75"/>
    <row r="21855" ht="12.75"/>
    <row r="21856" ht="12.75"/>
    <row r="21857" ht="12.75"/>
    <row r="21858" ht="12.75"/>
    <row r="21859" ht="12.75"/>
    <row r="21860" ht="12.75"/>
    <row r="21861" ht="12.75"/>
    <row r="21862" ht="12.75"/>
    <row r="21863" ht="12.75"/>
    <row r="21864" ht="12.75"/>
    <row r="21865" ht="12.75"/>
    <row r="21866" ht="12.75"/>
    <row r="21867" ht="12.75"/>
    <row r="21868" ht="12.75"/>
    <row r="21869" ht="12.75"/>
    <row r="21870" ht="12.75"/>
    <row r="21871" ht="12.75"/>
    <row r="21872" ht="12.75"/>
    <row r="21873" ht="12.75"/>
    <row r="21874" ht="12.75"/>
    <row r="21875" ht="12.75"/>
    <row r="21876" ht="12.75"/>
    <row r="21877" ht="12.75"/>
    <row r="21878" ht="12.75"/>
    <row r="21879" ht="12.75"/>
    <row r="21880" ht="12.75"/>
    <row r="21881" ht="12.75"/>
    <row r="21882" ht="12.75"/>
    <row r="21883" ht="12.75"/>
    <row r="21884" ht="12.75"/>
    <row r="21885" ht="12.75"/>
    <row r="21886" ht="12.75"/>
    <row r="21887" ht="12.75"/>
    <row r="21888" ht="12.75"/>
    <row r="21889" ht="12.75"/>
    <row r="21890" ht="12.75"/>
    <row r="21891" ht="12.75"/>
    <row r="21892" ht="12.75"/>
    <row r="21893" ht="12.75"/>
    <row r="21894" ht="12.75"/>
    <row r="21895" ht="12.75"/>
    <row r="21896" ht="12.75"/>
    <row r="21897" ht="12.75"/>
    <row r="21898" ht="12.75"/>
    <row r="21899" ht="12.75"/>
    <row r="21900" ht="12.75"/>
    <row r="21901" ht="12.75"/>
    <row r="21902" ht="12.75"/>
    <row r="21903" ht="12.75"/>
    <row r="21904" ht="12.75"/>
    <row r="21905" ht="12.75"/>
    <row r="21906" ht="12.75"/>
    <row r="21907" ht="12.75"/>
    <row r="21908" ht="12.75"/>
    <row r="21909" ht="12.75"/>
    <row r="21910" ht="12.75"/>
    <row r="21911" ht="12.75"/>
    <row r="21912" ht="12.75"/>
    <row r="21913" ht="12.75"/>
    <row r="21914" ht="12.75"/>
    <row r="21915" ht="12.75"/>
    <row r="21916" ht="12.75"/>
    <row r="21917" ht="12.75"/>
    <row r="21918" ht="12.75"/>
    <row r="21919" ht="12.75"/>
    <row r="21920" ht="12.75"/>
    <row r="21921" ht="12.75"/>
    <row r="21922" ht="12.75"/>
    <row r="21923" ht="12.75"/>
    <row r="21924" ht="12.75"/>
    <row r="21925" ht="12.75"/>
    <row r="21926" ht="12.75"/>
    <row r="21927" ht="12.75"/>
    <row r="21928" ht="12.75"/>
    <row r="21929" ht="12.75"/>
    <row r="21930" ht="12.75"/>
    <row r="21931" ht="12.75"/>
    <row r="21932" ht="12.75"/>
    <row r="21933" ht="12.75"/>
    <row r="21934" ht="12.75"/>
    <row r="21935" ht="12.75"/>
    <row r="21936" ht="12.75"/>
    <row r="21937" ht="12.75"/>
    <row r="21938" ht="12.75"/>
    <row r="21939" ht="12.75"/>
    <row r="21940" ht="12.75"/>
    <row r="21941" ht="12.75"/>
    <row r="21942" ht="12.75"/>
    <row r="21943" ht="12.75"/>
    <row r="21944" ht="12.75"/>
    <row r="21945" ht="12.75"/>
    <row r="21946" ht="12.75"/>
    <row r="21947" ht="12.75"/>
    <row r="21948" ht="12.75"/>
    <row r="21949" ht="12.75"/>
    <row r="21950" ht="12.75"/>
    <row r="21951" ht="12.75"/>
    <row r="21952" ht="12.75"/>
    <row r="21953" ht="12.75"/>
    <row r="21954" ht="12.75"/>
    <row r="21955" ht="12.75"/>
    <row r="21956" ht="12.75"/>
    <row r="21957" ht="12.75"/>
    <row r="21958" ht="12.75"/>
    <row r="21959" ht="12.75"/>
    <row r="21960" ht="12.75"/>
    <row r="21961" ht="12.75"/>
    <row r="21962" ht="12.75"/>
    <row r="21963" ht="12.75"/>
    <row r="21964" ht="12.75"/>
    <row r="21965" ht="12.75"/>
    <row r="21966" ht="12.75"/>
    <row r="21967" ht="12.75"/>
    <row r="21968" ht="12.75"/>
    <row r="21969" ht="12.75"/>
    <row r="21970" ht="12.75"/>
    <row r="21971" ht="12.75"/>
    <row r="21972" ht="12.75"/>
    <row r="21973" ht="12.75"/>
    <row r="21974" ht="12.75"/>
    <row r="21975" ht="12.75"/>
    <row r="21976" ht="12.75"/>
    <row r="21977" ht="12.75"/>
    <row r="21978" ht="12.75"/>
    <row r="21979" ht="12.75"/>
    <row r="21980" ht="12.75"/>
    <row r="21981" ht="12.75"/>
    <row r="21982" ht="12.75"/>
    <row r="21983" ht="12.75"/>
    <row r="21984" ht="12.75"/>
    <row r="21985" ht="12.75"/>
    <row r="21986" ht="12.75"/>
    <row r="21987" ht="12.75"/>
    <row r="21988" ht="12.75"/>
    <row r="21989" ht="12.75"/>
    <row r="21990" ht="12.75"/>
    <row r="21991" ht="12.75"/>
    <row r="21992" ht="12.75"/>
    <row r="21993" ht="12.75"/>
    <row r="21994" ht="12.75"/>
    <row r="21995" ht="12.75"/>
    <row r="21996" ht="12.75"/>
    <row r="21997" ht="12.75"/>
    <row r="21998" ht="12.75"/>
    <row r="21999" ht="12.75"/>
    <row r="22000" ht="12.75"/>
    <row r="22001" ht="12.75"/>
    <row r="22002" ht="12.75"/>
    <row r="22003" ht="12.75"/>
    <row r="22004" ht="12.75"/>
    <row r="22005" ht="12.75"/>
    <row r="22006" ht="12.75"/>
    <row r="22007" ht="12.75"/>
    <row r="22008" ht="12.75"/>
    <row r="22009" ht="12.75"/>
    <row r="22010" ht="12.75"/>
    <row r="22011" ht="12.75"/>
    <row r="22012" ht="12.75"/>
    <row r="22013" ht="12.75"/>
    <row r="22014" ht="12.75"/>
    <row r="22015" ht="12.75"/>
    <row r="22016" ht="12.75"/>
    <row r="22017" ht="12.75"/>
    <row r="22018" ht="12.75"/>
    <row r="22019" ht="12.75"/>
    <row r="22020" ht="12.75"/>
    <row r="22021" ht="12.75"/>
    <row r="22022" ht="12.75"/>
    <row r="22023" ht="12.75"/>
    <row r="22024" ht="12.75"/>
    <row r="22025" ht="12.75"/>
    <row r="22026" ht="12.75"/>
    <row r="22027" ht="12.75"/>
    <row r="22028" ht="12.75"/>
    <row r="22029" ht="12.75"/>
    <row r="22030" ht="12.75"/>
    <row r="22031" ht="12.75"/>
    <row r="22032" ht="12.75"/>
    <row r="22033" ht="12.75"/>
    <row r="22034" ht="12.75"/>
    <row r="22035" ht="12.75"/>
    <row r="22036" ht="12.75"/>
    <row r="22037" ht="12.75"/>
    <row r="22038" ht="12.75"/>
    <row r="22039" ht="12.75"/>
    <row r="22040" ht="12.75"/>
    <row r="22041" ht="12.75"/>
    <row r="22042" ht="12.75"/>
    <row r="22043" ht="12.75"/>
    <row r="22044" ht="12.75"/>
    <row r="22045" ht="12.75"/>
    <row r="22046" ht="12.75"/>
    <row r="22047" ht="12.75"/>
    <row r="22048" ht="12.75"/>
    <row r="22049" ht="12.75"/>
    <row r="22050" ht="12.75"/>
    <row r="22051" ht="12.75"/>
    <row r="22052" ht="12.75"/>
    <row r="22053" ht="12.75"/>
    <row r="22054" ht="12.75"/>
    <row r="22055" ht="12.75"/>
    <row r="22056" ht="12.75"/>
    <row r="22057" ht="12.75"/>
    <row r="22058" ht="12.75"/>
    <row r="22059" ht="12.75"/>
    <row r="22060" ht="12.75"/>
    <row r="22061" ht="12.75"/>
    <row r="22062" ht="12.75"/>
    <row r="22063" ht="12.75"/>
    <row r="22064" ht="12.75"/>
    <row r="22065" ht="12.75"/>
    <row r="22066" ht="12.75"/>
    <row r="22067" ht="12.75"/>
    <row r="22068" ht="12.75"/>
    <row r="22069" ht="12.75"/>
    <row r="22070" ht="12.75"/>
    <row r="22071" ht="12.75"/>
    <row r="22072" ht="12.75"/>
    <row r="22073" ht="12.75"/>
    <row r="22074" ht="12.75"/>
    <row r="22075" ht="12.75"/>
    <row r="22076" ht="12.75"/>
    <row r="22077" ht="12.75"/>
    <row r="22078" ht="12.75"/>
    <row r="22079" ht="12.75"/>
    <row r="22080" ht="12.75"/>
    <row r="22081" ht="12.75"/>
    <row r="22082" ht="12.75"/>
    <row r="22083" ht="12.75"/>
    <row r="22084" ht="12.75"/>
    <row r="22085" ht="12.75"/>
    <row r="22086" ht="12.75"/>
    <row r="22087" ht="12.75"/>
    <row r="22088" ht="12.75"/>
    <row r="22089" ht="12.75"/>
    <row r="22090" ht="12.75"/>
    <row r="22091" ht="12.75"/>
    <row r="22092" ht="12.75"/>
    <row r="22093" ht="12.75"/>
    <row r="22094" ht="12.75"/>
    <row r="22095" ht="12.75"/>
    <row r="22096" ht="12.75"/>
    <row r="22097" ht="12.75"/>
    <row r="22098" ht="12.75"/>
    <row r="22099" ht="12.75"/>
    <row r="22100" ht="12.75"/>
    <row r="22101" ht="12.75"/>
    <row r="22102" ht="12.75"/>
    <row r="22103" ht="12.75"/>
    <row r="22104" ht="12.75"/>
    <row r="22105" ht="12.75"/>
    <row r="22106" ht="12.75"/>
    <row r="22107" ht="12.75"/>
    <row r="22108" ht="12.75"/>
    <row r="22109" ht="12.75"/>
    <row r="22110" ht="12.75"/>
    <row r="22111" ht="12.75"/>
    <row r="22112" ht="12.75"/>
    <row r="22113" ht="12.75"/>
    <row r="22114" ht="12.75"/>
    <row r="22115" ht="12.75"/>
    <row r="22116" ht="12.75"/>
    <row r="22117" ht="12.75"/>
    <row r="22118" ht="12.75"/>
    <row r="22119" ht="12.75"/>
    <row r="22120" ht="12.75"/>
    <row r="22121" ht="12.75"/>
    <row r="22122" ht="12.75"/>
    <row r="22123" ht="12.75"/>
    <row r="22124" ht="12.75"/>
    <row r="22125" ht="12.75"/>
    <row r="22126" ht="12.75"/>
    <row r="22127" ht="12.75"/>
    <row r="22128" ht="12.75"/>
    <row r="22129" ht="12.75"/>
    <row r="22130" ht="12.75"/>
    <row r="22131" ht="12.75"/>
    <row r="22132" ht="12.75"/>
    <row r="22133" ht="12.75"/>
    <row r="22134" ht="12.75"/>
    <row r="22135" ht="12.75"/>
    <row r="22136" ht="12.75"/>
    <row r="22137" ht="12.75"/>
    <row r="22138" ht="12.75"/>
    <row r="22139" ht="12.75"/>
    <row r="22140" ht="12.75"/>
    <row r="22141" ht="12.75"/>
    <row r="22142" ht="12.75"/>
    <row r="22143" ht="12.75"/>
    <row r="22144" ht="12.75"/>
    <row r="22145" ht="12.75"/>
    <row r="22146" ht="12.75"/>
    <row r="22147" ht="12.75"/>
    <row r="22148" ht="12.75"/>
    <row r="22149" ht="12.75"/>
    <row r="22150" ht="12.75"/>
    <row r="22151" ht="12.75"/>
    <row r="22152" ht="12.75"/>
    <row r="22153" ht="12.75"/>
    <row r="22154" ht="12.75"/>
    <row r="22155" ht="12.75"/>
    <row r="22156" ht="12.75"/>
    <row r="22157" ht="12.75"/>
    <row r="22158" ht="12.75"/>
    <row r="22159" ht="12.75"/>
    <row r="22160" ht="12.75"/>
    <row r="22161" ht="12.75"/>
    <row r="22162" ht="12.75"/>
    <row r="22163" ht="12.75"/>
    <row r="22164" ht="12.75"/>
    <row r="22165" ht="12.75"/>
    <row r="22166" ht="12.75"/>
    <row r="22167" ht="12.75"/>
    <row r="22168" ht="12.75"/>
    <row r="22169" ht="12.75"/>
    <row r="22170" ht="12.75"/>
    <row r="22171" ht="12.75"/>
    <row r="22172" ht="12.75"/>
    <row r="22173" ht="12.75"/>
    <row r="22174" ht="12.75"/>
    <row r="22175" ht="12.75"/>
    <row r="22176" ht="12.75"/>
    <row r="22177" ht="12.75"/>
    <row r="22178" ht="12.75"/>
    <row r="22179" ht="12.75"/>
    <row r="22180" ht="12.75"/>
    <row r="22181" ht="12.75"/>
    <row r="22182" ht="12.75"/>
    <row r="22183" ht="12.75"/>
    <row r="22184" ht="12.75"/>
    <row r="22185" ht="12.75"/>
    <row r="22186" ht="12.75"/>
    <row r="22187" ht="12.75"/>
    <row r="22188" ht="12.75"/>
    <row r="22189" ht="12.75"/>
    <row r="22190" ht="12.75"/>
    <row r="22191" ht="12.75"/>
    <row r="22192" ht="12.75"/>
    <row r="22193" ht="12.75"/>
    <row r="22194" ht="12.75"/>
    <row r="22195" ht="12.75"/>
    <row r="22196" ht="12.75"/>
    <row r="22197" ht="12.75"/>
    <row r="22198" ht="12.75"/>
    <row r="22199" ht="12.75"/>
    <row r="22200" ht="12.75"/>
    <row r="22201" ht="12.75"/>
    <row r="22202" ht="12.75"/>
    <row r="22203" ht="12.75"/>
    <row r="22204" ht="12.75"/>
    <row r="22205" ht="12.75"/>
    <row r="22206" ht="12.75"/>
    <row r="22207" ht="12.75"/>
    <row r="22208" ht="12.75"/>
    <row r="22209" ht="12.75"/>
    <row r="22210" ht="12.75"/>
    <row r="22211" ht="12.75"/>
    <row r="22212" ht="12.75"/>
    <row r="22213" ht="12.75"/>
    <row r="22214" ht="12.75"/>
    <row r="22215" ht="12.75"/>
    <row r="22216" ht="12.75"/>
    <row r="22217" ht="12.75"/>
    <row r="22218" ht="12.75"/>
    <row r="22219" ht="12.75"/>
    <row r="22220" ht="12.75"/>
    <row r="22221" ht="12.75"/>
    <row r="22222" ht="12.75"/>
    <row r="22223" ht="12.75"/>
    <row r="22224" ht="12.75"/>
    <row r="22225" ht="12.75"/>
    <row r="22226" ht="12.75"/>
    <row r="22227" ht="12.75"/>
    <row r="22228" ht="12.75"/>
    <row r="22229" ht="12.75"/>
    <row r="22230" ht="12.75"/>
    <row r="22231" ht="12.75"/>
    <row r="22232" ht="12.75"/>
    <row r="22233" ht="12.75"/>
    <row r="22234" ht="12.75"/>
    <row r="22235" ht="12.75"/>
    <row r="22236" ht="12.75"/>
    <row r="22237" ht="12.75"/>
    <row r="22238" ht="12.75"/>
    <row r="22239" ht="12.75"/>
    <row r="22240" ht="12.75"/>
    <row r="22241" ht="12.75"/>
    <row r="22242" ht="12.75"/>
    <row r="22243" ht="12.75"/>
    <row r="22244" ht="12.75"/>
    <row r="22245" ht="12.75"/>
    <row r="22246" ht="12.75"/>
    <row r="22247" ht="12.75"/>
    <row r="22248" ht="12.75"/>
    <row r="22249" ht="12.75"/>
    <row r="22250" ht="12.75"/>
    <row r="22251" ht="12.75"/>
    <row r="22252" ht="12.75"/>
    <row r="22253" ht="12.75"/>
    <row r="22254" ht="12.75"/>
    <row r="22255" ht="12.75"/>
    <row r="22256" ht="12.75"/>
    <row r="22257" ht="12.75"/>
    <row r="22258" ht="12.75"/>
    <row r="22259" ht="12.75"/>
    <row r="22260" ht="12.75"/>
    <row r="22261" ht="12.75"/>
    <row r="22262" ht="12.75"/>
    <row r="22263" ht="12.75"/>
    <row r="22264" ht="12.75"/>
    <row r="22265" ht="12.75"/>
    <row r="22266" ht="12.75"/>
    <row r="22267" ht="12.75"/>
    <row r="22268" ht="12.75"/>
    <row r="22269" ht="12.75"/>
    <row r="22270" ht="12.75"/>
    <row r="22271" ht="12.75"/>
    <row r="22272" ht="12.75"/>
    <row r="22273" ht="12.75"/>
    <row r="22274" ht="12.75"/>
    <row r="22275" ht="12.75"/>
    <row r="22276" ht="12.75"/>
    <row r="22277" ht="12.75"/>
    <row r="22278" ht="12.75"/>
    <row r="22279" ht="12.75"/>
    <row r="22280" ht="12.75"/>
    <row r="22281" ht="12.75"/>
    <row r="22282" ht="12.75"/>
    <row r="22283" ht="12.75"/>
    <row r="22284" ht="12.75"/>
    <row r="22285" ht="12.75"/>
    <row r="22286" ht="12.75"/>
    <row r="22287" ht="12.75"/>
    <row r="22288" ht="12.75"/>
    <row r="22289" ht="12.75"/>
    <row r="22290" ht="12.75"/>
    <row r="22291" ht="12.75"/>
    <row r="22292" ht="12.75"/>
    <row r="22293" ht="12.75"/>
    <row r="22294" ht="12.75"/>
    <row r="22295" ht="12.75"/>
    <row r="22296" ht="12.75"/>
    <row r="22297" ht="12.75"/>
    <row r="22298" ht="12.75"/>
    <row r="22299" ht="12.75"/>
    <row r="22300" ht="12.75"/>
    <row r="22301" ht="12.75"/>
    <row r="22302" ht="12.75"/>
    <row r="22303" ht="12.75"/>
    <row r="22304" ht="12.75"/>
    <row r="22305" ht="12.75"/>
    <row r="22306" ht="12.75"/>
    <row r="22307" ht="12.75"/>
    <row r="22308" ht="12.75"/>
    <row r="22309" ht="12.75"/>
    <row r="22310" ht="12.75"/>
    <row r="22311" ht="12.75"/>
    <row r="22312" ht="12.75"/>
    <row r="22313" ht="12.75"/>
    <row r="22314" ht="12.75"/>
    <row r="22315" ht="12.75"/>
    <row r="22316" ht="12.75"/>
    <row r="22317" ht="12.75"/>
    <row r="22318" ht="12.75"/>
    <row r="22319" ht="12.75"/>
    <row r="22320" ht="12.75"/>
    <row r="22321" ht="12.75"/>
    <row r="22322" ht="12.75"/>
    <row r="22323" ht="12.75"/>
    <row r="22324" ht="12.75"/>
    <row r="22325" ht="12.75"/>
    <row r="22326" ht="12.75"/>
    <row r="22327" ht="12.75"/>
    <row r="22328" ht="12.75"/>
    <row r="22329" ht="12.75"/>
    <row r="22330" ht="12.75"/>
    <row r="22331" ht="12.75"/>
    <row r="22332" ht="12.75"/>
    <row r="22333" ht="12.75"/>
    <row r="22334" ht="12.75"/>
    <row r="22335" ht="12.75"/>
    <row r="22336" ht="12.75"/>
    <row r="22337" ht="12.75"/>
    <row r="22338" ht="12.75"/>
    <row r="22339" ht="12.75"/>
    <row r="22340" ht="12.75"/>
    <row r="22341" ht="12.75"/>
    <row r="22342" ht="12.75"/>
    <row r="22343" ht="12.75"/>
    <row r="22344" ht="12.75"/>
    <row r="22345" ht="12.75"/>
    <row r="22346" ht="12.75"/>
    <row r="22347" ht="12.75"/>
    <row r="22348" ht="12.75"/>
    <row r="22349" ht="12.75"/>
    <row r="22350" ht="12.75"/>
    <row r="22351" ht="12.75"/>
    <row r="22352" ht="12.75"/>
    <row r="22353" ht="12.75"/>
    <row r="22354" ht="12.75"/>
    <row r="22355" ht="12.75"/>
    <row r="22356" ht="12.75"/>
    <row r="22357" ht="12.75"/>
    <row r="22358" ht="12.75"/>
    <row r="22359" ht="12.75"/>
    <row r="22360" ht="12.75"/>
    <row r="22361" ht="12.75"/>
    <row r="22362" ht="12.75"/>
    <row r="22363" ht="12.75"/>
    <row r="22364" ht="12.75"/>
    <row r="22365" ht="12.75"/>
    <row r="22366" ht="12.75"/>
    <row r="22367" ht="12.75"/>
    <row r="22368" ht="12.75"/>
    <row r="22369" ht="12.75"/>
    <row r="22370" ht="12.75"/>
    <row r="22371" ht="12.75"/>
    <row r="22372" ht="12.75"/>
    <row r="22373" ht="12.75"/>
    <row r="22374" ht="12.75"/>
    <row r="22375" ht="12.75"/>
    <row r="22376" ht="12.75"/>
    <row r="22377" ht="12.75"/>
    <row r="22378" ht="12.75"/>
    <row r="22379" ht="12.75"/>
    <row r="22380" ht="12.75"/>
    <row r="22381" ht="12.75"/>
    <row r="22382" ht="12.75"/>
    <row r="22383" ht="12.75"/>
    <row r="22384" ht="12.75"/>
    <row r="22385" ht="12.75"/>
    <row r="22386" ht="12.75"/>
    <row r="22387" ht="12.75"/>
    <row r="22388" ht="12.75"/>
    <row r="22389" ht="12.75"/>
    <row r="22390" ht="12.75"/>
    <row r="22391" ht="12.75"/>
    <row r="22392" ht="12.75"/>
    <row r="22393" ht="12.75"/>
    <row r="22394" ht="12.75"/>
    <row r="22395" ht="12.75"/>
    <row r="22396" ht="12.75"/>
    <row r="22397" ht="12.75"/>
    <row r="22398" ht="12.75"/>
    <row r="22399" ht="12.75"/>
    <row r="22400" ht="12.75"/>
    <row r="22401" ht="12.75"/>
    <row r="22402" ht="12.75"/>
    <row r="22403" ht="12.75"/>
    <row r="22404" ht="12.75"/>
    <row r="22405" ht="12.75"/>
    <row r="22406" ht="12.75"/>
    <row r="22407" ht="12.75"/>
    <row r="22408" ht="12.75"/>
    <row r="22409" ht="12.75"/>
    <row r="22410" ht="12.75"/>
    <row r="22411" ht="12.75"/>
    <row r="22412" ht="12.75"/>
    <row r="22413" ht="12.75"/>
    <row r="22414" ht="12.75"/>
    <row r="22415" ht="12.75"/>
    <row r="22416" ht="12.75"/>
    <row r="22417" ht="12.75"/>
    <row r="22418" ht="12.75"/>
    <row r="22419" ht="12.75"/>
    <row r="22420" ht="12.75"/>
    <row r="22421" ht="12.75"/>
    <row r="22422" ht="12.75"/>
    <row r="22423" ht="12.75"/>
    <row r="22424" ht="12.75"/>
    <row r="22425" ht="12.75"/>
    <row r="22426" ht="12.75"/>
    <row r="22427" ht="12.75"/>
    <row r="22428" ht="12.75"/>
    <row r="22429" ht="12.75"/>
    <row r="22430" ht="12.75"/>
    <row r="22431" ht="12.75"/>
    <row r="22432" ht="12.75"/>
    <row r="22433" ht="12.75"/>
    <row r="22434" ht="12.75"/>
    <row r="22435" ht="12.75"/>
    <row r="22436" ht="12.75"/>
    <row r="22437" ht="12.75"/>
    <row r="22438" ht="12.75"/>
    <row r="22439" ht="12.75"/>
    <row r="22440" ht="12.75"/>
    <row r="22441" ht="12.75"/>
    <row r="22442" ht="12.75"/>
    <row r="22443" ht="12.75"/>
    <row r="22444" ht="12.75"/>
    <row r="22445" ht="12.75"/>
    <row r="22446" ht="12.75"/>
    <row r="22447" ht="12.75"/>
    <row r="22448" ht="12.75"/>
    <row r="22449" ht="12.75"/>
    <row r="22450" ht="12.75"/>
    <row r="22451" ht="12.75"/>
    <row r="22452" ht="12.75"/>
    <row r="22453" ht="12.75"/>
    <row r="22454" ht="12.75"/>
    <row r="22455" ht="12.75"/>
    <row r="22456" ht="12.75"/>
    <row r="22457" ht="12.75"/>
    <row r="22458" ht="12.75"/>
    <row r="22459" ht="12.75"/>
    <row r="22460" ht="12.75"/>
    <row r="22461" ht="12.75"/>
    <row r="22462" ht="12.75"/>
    <row r="22463" ht="12.75"/>
    <row r="22464" ht="12.75"/>
    <row r="22465" ht="12.75"/>
    <row r="22466" ht="12.75"/>
    <row r="22467" ht="12.75"/>
    <row r="22468" ht="12.75"/>
    <row r="22469" ht="12.75"/>
    <row r="22470" ht="12.75"/>
    <row r="22471" ht="12.75"/>
    <row r="22472" ht="12.75"/>
    <row r="22473" ht="12.75"/>
    <row r="22474" ht="12.75"/>
    <row r="22475" ht="12.75"/>
    <row r="22476" ht="12.75"/>
    <row r="22477" ht="12.75"/>
    <row r="22478" ht="12.75"/>
    <row r="22479" ht="12.75"/>
    <row r="22480" ht="12.75"/>
    <row r="22481" ht="12.75"/>
    <row r="22482" ht="12.75"/>
    <row r="22483" ht="12.75"/>
    <row r="22484" ht="12.75"/>
    <row r="22485" ht="12.75"/>
    <row r="22486" ht="12.75"/>
    <row r="22487" ht="12.75"/>
    <row r="22488" ht="12.75"/>
    <row r="22489" ht="12.75"/>
    <row r="22490" ht="12.75"/>
    <row r="22491" ht="12.75"/>
    <row r="22492" ht="12.75"/>
    <row r="22493" ht="12.75"/>
    <row r="22494" ht="12.75"/>
    <row r="22495" ht="12.75"/>
    <row r="22496" ht="12.75"/>
    <row r="22497" ht="12.75"/>
    <row r="22498" ht="12.75"/>
    <row r="22499" ht="12.75"/>
    <row r="22500" ht="12.75"/>
    <row r="22501" ht="12.75"/>
    <row r="22502" ht="12.75"/>
    <row r="22503" ht="12.75"/>
    <row r="22504" ht="12.75"/>
    <row r="22505" ht="12.75"/>
    <row r="22506" ht="12.75"/>
    <row r="22507" ht="12.75"/>
    <row r="22508" ht="12.75"/>
    <row r="22509" ht="12.75"/>
    <row r="22510" ht="12.75"/>
    <row r="22511" ht="12.75"/>
    <row r="22512" ht="12.75"/>
    <row r="22513" ht="12.75"/>
    <row r="22514" ht="12.75"/>
    <row r="22515" ht="12.75"/>
    <row r="22516" ht="12.75"/>
    <row r="22517" ht="12.75"/>
    <row r="22518" ht="12.75"/>
    <row r="22519" ht="12.75"/>
    <row r="22520" ht="12.75"/>
    <row r="22521" ht="12.75"/>
    <row r="22522" ht="12.75"/>
    <row r="22523" ht="12.75"/>
    <row r="22524" ht="12.75"/>
    <row r="22525" ht="12.75"/>
    <row r="22526" ht="12.75"/>
    <row r="22527" ht="12.75"/>
    <row r="22528" ht="12.75"/>
    <row r="22529" ht="12.75"/>
    <row r="22530" ht="12.75"/>
    <row r="22531" ht="12.75"/>
    <row r="22532" ht="12.75"/>
    <row r="22533" ht="12.75"/>
    <row r="22534" ht="12.75"/>
    <row r="22535" ht="12.75"/>
    <row r="22536" ht="12.75"/>
    <row r="22537" ht="12.75"/>
    <row r="22538" ht="12.75"/>
    <row r="22539" ht="12.75"/>
    <row r="22540" ht="12.75"/>
    <row r="22541" ht="12.75"/>
    <row r="22542" ht="12.75"/>
    <row r="22543" ht="12.75"/>
    <row r="22544" ht="12.75"/>
    <row r="22545" ht="12.75"/>
    <row r="22546" ht="12.75"/>
    <row r="22547" ht="12.75"/>
    <row r="22548" ht="12.75"/>
    <row r="22549" ht="12.75"/>
    <row r="22550" ht="12.75"/>
    <row r="22551" ht="12.75"/>
    <row r="22552" ht="12.75"/>
    <row r="22553" ht="12.75"/>
    <row r="22554" ht="12.75"/>
    <row r="22555" ht="12.75"/>
    <row r="22556" ht="12.75"/>
    <row r="22557" ht="12.75"/>
    <row r="22558" ht="12.75"/>
    <row r="22559" ht="12.75"/>
    <row r="22560" ht="12.75"/>
    <row r="22561" ht="12.75"/>
    <row r="22562" ht="12.75"/>
    <row r="22563" ht="12.75"/>
    <row r="22564" ht="12.75"/>
    <row r="22565" ht="12.75"/>
    <row r="22566" ht="12.75"/>
    <row r="22567" ht="12.75"/>
    <row r="22568" ht="12.75"/>
    <row r="22569" ht="12.75"/>
    <row r="22570" ht="12.75"/>
    <row r="22571" ht="12.75"/>
    <row r="22572" ht="12.75"/>
    <row r="22573" ht="12.75"/>
    <row r="22574" ht="12.75"/>
    <row r="22575" ht="12.75"/>
    <row r="22576" ht="12.75"/>
    <row r="22577" ht="12.75"/>
    <row r="22578" ht="12.75"/>
    <row r="22579" ht="12.75"/>
    <row r="22580" ht="12.75"/>
    <row r="22581" ht="12.75"/>
    <row r="22582" ht="12.75"/>
    <row r="22583" ht="12.75"/>
    <row r="22584" ht="12.75"/>
    <row r="22585" ht="12.75"/>
    <row r="22586" ht="12.75"/>
    <row r="22587" ht="12.75"/>
    <row r="22588" ht="12.75"/>
    <row r="22589" ht="12.75"/>
    <row r="22590" ht="12.75"/>
    <row r="22591" ht="12.75"/>
    <row r="22592" ht="12.75"/>
    <row r="22593" ht="12.75"/>
    <row r="22594" ht="12.75"/>
    <row r="22595" ht="12.75"/>
    <row r="22596" ht="12.75"/>
    <row r="22597" ht="12.75"/>
    <row r="22598" ht="12.75"/>
    <row r="22599" ht="12.75"/>
    <row r="22600" ht="12.75"/>
    <row r="22601" ht="12.75"/>
    <row r="22602" ht="12.75"/>
    <row r="22603" ht="12.75"/>
    <row r="22604" ht="12.75"/>
    <row r="22605" ht="12.75"/>
    <row r="22606" ht="12.75"/>
    <row r="22607" ht="12.75"/>
    <row r="22608" ht="12.75"/>
    <row r="22609" ht="12.75"/>
    <row r="22610" ht="12.75"/>
    <row r="22611" ht="12.75"/>
    <row r="22612" ht="12.75"/>
    <row r="22613" ht="12.75"/>
    <row r="22614" ht="12.75"/>
    <row r="22615" ht="12.75"/>
    <row r="22616" ht="12.75"/>
    <row r="22617" ht="12.75"/>
    <row r="22618" ht="12.75"/>
    <row r="22619" ht="12.75"/>
    <row r="22620" ht="12.75"/>
    <row r="22621" ht="12.75"/>
    <row r="22622" ht="12.75"/>
    <row r="22623" ht="12.75"/>
    <row r="22624" ht="12.75"/>
    <row r="22625" ht="12.75"/>
    <row r="22626" ht="12.75"/>
    <row r="22627" ht="12.75"/>
    <row r="22628" ht="12.75"/>
    <row r="22629" ht="12.75"/>
    <row r="22630" ht="12.75"/>
    <row r="22631" ht="12.75"/>
    <row r="22632" ht="12.75"/>
    <row r="22633" ht="12.75"/>
    <row r="22634" ht="12.75"/>
    <row r="22635" ht="12.75"/>
    <row r="22636" ht="12.75"/>
    <row r="22637" ht="12.75"/>
    <row r="22638" ht="12.75"/>
    <row r="22639" ht="12.75"/>
    <row r="22640" ht="12.75"/>
    <row r="22641" ht="12.75"/>
    <row r="22642" ht="12.75"/>
    <row r="22643" ht="12.75"/>
    <row r="22644" ht="12.75"/>
    <row r="22645" ht="12.75"/>
    <row r="22646" ht="12.75"/>
    <row r="22647" ht="12.75"/>
    <row r="22648" ht="12.75"/>
    <row r="22649" ht="12.75"/>
    <row r="22650" ht="12.75"/>
    <row r="22651" ht="12.75"/>
    <row r="22652" ht="12.75"/>
    <row r="22653" ht="12.75"/>
    <row r="22654" ht="12.75"/>
    <row r="22655" ht="12.75"/>
    <row r="22656" ht="12.75"/>
    <row r="22657" ht="12.75"/>
    <row r="22658" ht="12.75"/>
    <row r="22659" ht="12.75"/>
    <row r="22660" ht="12.75"/>
    <row r="22661" ht="12.75"/>
    <row r="22662" ht="12.75"/>
    <row r="22663" ht="12.75"/>
    <row r="22664" ht="12.75"/>
    <row r="22665" ht="12.75"/>
    <row r="22666" ht="12.75"/>
    <row r="22667" ht="12.75"/>
    <row r="22668" ht="12.75"/>
    <row r="22669" ht="12.75"/>
    <row r="22670" ht="12.75"/>
    <row r="22671" ht="12.75"/>
    <row r="22672" ht="12.75"/>
    <row r="22673" ht="12.75"/>
    <row r="22674" ht="12.75"/>
    <row r="22675" ht="12.75"/>
    <row r="22676" ht="12.75"/>
    <row r="22677" ht="12.75"/>
    <row r="22678" ht="12.75"/>
    <row r="22679" ht="12.75"/>
    <row r="22680" ht="12.75"/>
    <row r="22681" ht="12.75"/>
    <row r="22682" ht="12.75"/>
    <row r="22683" ht="12.75"/>
    <row r="22684" ht="12.75"/>
    <row r="22685" ht="12.75"/>
    <row r="22686" ht="12.75"/>
    <row r="22687" ht="12.75"/>
    <row r="22688" ht="12.75"/>
    <row r="22689" ht="12.75"/>
    <row r="22690" ht="12.75"/>
    <row r="22691" ht="12.75"/>
    <row r="22692" ht="12.75"/>
    <row r="22693" ht="12.75"/>
    <row r="22694" ht="12.75"/>
    <row r="22695" ht="12.75"/>
    <row r="22696" ht="12.75"/>
    <row r="22697" ht="12.75"/>
    <row r="22698" ht="12.75"/>
    <row r="22699" ht="12.75"/>
    <row r="22700" ht="12.75"/>
    <row r="22701" ht="12.75"/>
    <row r="22702" ht="12.75"/>
    <row r="22703" ht="12.75"/>
    <row r="22704" ht="12.75"/>
    <row r="22705" ht="12.75"/>
    <row r="22706" ht="12.75"/>
    <row r="22707" ht="12.75"/>
    <row r="22708" ht="12.75"/>
    <row r="22709" ht="12.75"/>
    <row r="22710" ht="12.75"/>
    <row r="22711" ht="12.75"/>
    <row r="22712" ht="12.75"/>
    <row r="22713" ht="12.75"/>
    <row r="22714" ht="12.75"/>
    <row r="22715" ht="12.75"/>
    <row r="22716" ht="12.75"/>
    <row r="22717" ht="12.75"/>
    <row r="22718" ht="12.75"/>
    <row r="22719" ht="12.75"/>
    <row r="22720" ht="12.75"/>
    <row r="22721" ht="12.75"/>
    <row r="22722" ht="12.75"/>
    <row r="22723" ht="12.75"/>
    <row r="22724" ht="12.75"/>
    <row r="22725" ht="12.75"/>
    <row r="22726" ht="12.75"/>
    <row r="22727" ht="12.75"/>
    <row r="22728" ht="12.75"/>
    <row r="22729" ht="12.75"/>
    <row r="22730" ht="12.75"/>
    <row r="22731" ht="12.75"/>
    <row r="22732" ht="12.75"/>
    <row r="22733" ht="12.75"/>
    <row r="22734" ht="12.75"/>
    <row r="22735" ht="12.75"/>
    <row r="22736" ht="12.75"/>
    <row r="22737" ht="12.75"/>
    <row r="22738" ht="12.75"/>
    <row r="22739" ht="12.75"/>
    <row r="22740" ht="12.75"/>
    <row r="22741" ht="12.75"/>
    <row r="22742" ht="12.75"/>
    <row r="22743" ht="12.75"/>
    <row r="22744" ht="12.75"/>
    <row r="22745" ht="12.75"/>
    <row r="22746" ht="12.75"/>
    <row r="22747" ht="12.75"/>
    <row r="22748" ht="12.75"/>
    <row r="22749" ht="12.75"/>
    <row r="22750" ht="12.75"/>
    <row r="22751" ht="12.75"/>
    <row r="22752" ht="12.75"/>
    <row r="22753" ht="12.75"/>
    <row r="22754" ht="12.75"/>
    <row r="22755" ht="12.75"/>
    <row r="22756" ht="12.75"/>
    <row r="22757" ht="12.75"/>
    <row r="22758" ht="12.75"/>
    <row r="22759" ht="12.75"/>
    <row r="22760" ht="12.75"/>
    <row r="22761" ht="12.75"/>
    <row r="22762" ht="12.75"/>
    <row r="22763" ht="12.75"/>
    <row r="22764" ht="12.75"/>
    <row r="22765" ht="12.75"/>
    <row r="22766" ht="12.75"/>
    <row r="22767" ht="12.75"/>
    <row r="22768" ht="12.75"/>
    <row r="22769" ht="12.75"/>
    <row r="22770" ht="12.75"/>
    <row r="22771" ht="12.75"/>
    <row r="22772" ht="12.75"/>
    <row r="22773" ht="12.75"/>
    <row r="22774" ht="12.75"/>
    <row r="22775" ht="12.75"/>
    <row r="22776" ht="12.75"/>
    <row r="22777" ht="12.75"/>
    <row r="22778" ht="12.75"/>
    <row r="22779" ht="12.75"/>
    <row r="22780" ht="12.75"/>
    <row r="22781" ht="12.75"/>
    <row r="22782" ht="12.75"/>
    <row r="22783" ht="12.75"/>
    <row r="22784" ht="12.75"/>
    <row r="22785" ht="12.75"/>
    <row r="22786" ht="12.75"/>
    <row r="22787" ht="12.75"/>
    <row r="22788" ht="12.75"/>
    <row r="22789" ht="12.75"/>
    <row r="22790" ht="12.75"/>
    <row r="22791" ht="12.75"/>
    <row r="22792" ht="12.75"/>
    <row r="22793" ht="12.75"/>
    <row r="22794" ht="12.75"/>
    <row r="22795" ht="12.75"/>
    <row r="22796" ht="12.75"/>
    <row r="22797" ht="12.75"/>
    <row r="22798" ht="12.75"/>
    <row r="22799" ht="12.75"/>
    <row r="22800" ht="12.75"/>
    <row r="22801" ht="12.75"/>
    <row r="22802" ht="12.75"/>
    <row r="22803" ht="12.75"/>
    <row r="22804" ht="12.75"/>
    <row r="22805" ht="12.75"/>
    <row r="22806" ht="12.75"/>
    <row r="22807" ht="12.75"/>
    <row r="22808" ht="12.75"/>
    <row r="22809" ht="12.75"/>
    <row r="22810" ht="12.75"/>
    <row r="22811" ht="12.75"/>
    <row r="22812" ht="12.75"/>
    <row r="22813" ht="12.75"/>
    <row r="22814" ht="12.75"/>
    <row r="22815" ht="12.75"/>
    <row r="22816" ht="12.75"/>
    <row r="22817" ht="12.75"/>
    <row r="22818" ht="12.75"/>
    <row r="22819" ht="12.75"/>
    <row r="22820" ht="12.75"/>
    <row r="22821" ht="12.75"/>
    <row r="22822" ht="12.75"/>
    <row r="22823" ht="12.75"/>
    <row r="22824" ht="12.75"/>
    <row r="22825" ht="12.75"/>
    <row r="22826" ht="12.75"/>
    <row r="22827" ht="12.75"/>
    <row r="22828" ht="12.75"/>
    <row r="22829" ht="12.75"/>
    <row r="22830" ht="12.75"/>
    <row r="22831" ht="12.75"/>
    <row r="22832" ht="12.75"/>
    <row r="22833" ht="12.75"/>
    <row r="22834" ht="12.75"/>
    <row r="22835" ht="12.75"/>
    <row r="22836" ht="12.75"/>
    <row r="22837" ht="12.75"/>
    <row r="22838" ht="12.75"/>
    <row r="22839" ht="12.75"/>
    <row r="22840" ht="12.75"/>
    <row r="22841" ht="12.75"/>
    <row r="22842" ht="12.75"/>
    <row r="22843" ht="12.75"/>
    <row r="22844" ht="12.75"/>
    <row r="22845" ht="12.75"/>
    <row r="22846" ht="12.75"/>
    <row r="22847" ht="12.75"/>
    <row r="22848" ht="12.75"/>
    <row r="22849" ht="12.75"/>
    <row r="22850" ht="12.75"/>
    <row r="22851" ht="12.75"/>
    <row r="22852" ht="12.75"/>
    <row r="22853" ht="12.75"/>
    <row r="22854" ht="12.75"/>
    <row r="22855" ht="12.75"/>
    <row r="22856" ht="12.75"/>
    <row r="22857" ht="12.75"/>
    <row r="22858" ht="12.75"/>
    <row r="22859" ht="12.75"/>
    <row r="22860" ht="12.75"/>
    <row r="22861" ht="12.75"/>
    <row r="22862" ht="12.75"/>
    <row r="22863" ht="12.75"/>
    <row r="22864" ht="12.75"/>
    <row r="22865" ht="12.75"/>
    <row r="22866" ht="12.75"/>
    <row r="22867" ht="12.75"/>
    <row r="22868" ht="12.75"/>
    <row r="22869" ht="12.75"/>
    <row r="22870" ht="12.75"/>
    <row r="22871" ht="12.75"/>
    <row r="22872" ht="12.75"/>
    <row r="22873" ht="12.75"/>
    <row r="22874" ht="12.75"/>
    <row r="22875" ht="12.75"/>
    <row r="22876" ht="12.75"/>
    <row r="22877" ht="12.75"/>
    <row r="22878" ht="12.75"/>
    <row r="22879" ht="12.75"/>
    <row r="22880" ht="12.75"/>
    <row r="22881" ht="12.75"/>
    <row r="22882" ht="12.75"/>
    <row r="22883" ht="12.75"/>
    <row r="22884" ht="12.75"/>
    <row r="22885" ht="12.75"/>
    <row r="22886" ht="12.75"/>
    <row r="22887" ht="12.75"/>
    <row r="22888" ht="12.75"/>
    <row r="22889" ht="12.75"/>
    <row r="22890" ht="12.75"/>
    <row r="22891" ht="12.75"/>
    <row r="22892" ht="12.75"/>
    <row r="22893" ht="12.75"/>
    <row r="22894" ht="12.75"/>
    <row r="22895" ht="12.75"/>
    <row r="22896" ht="12.75"/>
    <row r="22897" ht="12.75"/>
    <row r="22898" ht="12.75"/>
    <row r="22899" ht="12.75"/>
    <row r="22900" ht="12.75"/>
    <row r="22901" ht="12.75"/>
    <row r="22902" ht="12.75"/>
    <row r="22903" ht="12.75"/>
    <row r="22904" ht="12.75"/>
    <row r="22905" ht="12.75"/>
    <row r="22906" ht="12.75"/>
    <row r="22907" ht="12.75"/>
    <row r="22908" ht="12.75"/>
    <row r="22909" ht="12.75"/>
    <row r="22910" ht="12.75"/>
    <row r="22911" ht="12.75"/>
    <row r="22912" ht="12.75"/>
    <row r="22913" ht="12.75"/>
    <row r="22914" ht="12.75"/>
    <row r="22915" ht="12.75"/>
    <row r="22916" ht="12.75"/>
    <row r="22917" ht="12.75"/>
    <row r="22918" ht="12.75"/>
    <row r="22919" ht="12.75"/>
    <row r="22920" ht="12.75"/>
    <row r="22921" ht="12.75"/>
    <row r="22922" ht="12.75"/>
    <row r="22923" ht="12.75"/>
    <row r="22924" ht="12.75"/>
    <row r="22925" ht="12.75"/>
    <row r="22926" ht="12.75"/>
    <row r="22927" ht="12.75"/>
    <row r="22928" ht="12.75"/>
    <row r="22929" ht="12.75"/>
    <row r="22930" ht="12.75"/>
    <row r="22931" ht="12.75"/>
    <row r="22932" ht="12.75"/>
    <row r="22933" ht="12.75"/>
    <row r="22934" ht="12.75"/>
    <row r="22935" ht="12.75"/>
    <row r="22936" ht="12.75"/>
    <row r="22937" ht="12.75"/>
    <row r="22938" ht="12.75"/>
    <row r="22939" ht="12.75"/>
    <row r="22940" ht="12.75"/>
    <row r="22941" ht="12.75"/>
    <row r="22942" ht="12.75"/>
    <row r="22943" ht="12.75"/>
    <row r="22944" ht="12.75"/>
    <row r="22945" ht="12.75"/>
    <row r="22946" ht="12.75"/>
    <row r="22947" ht="12.75"/>
    <row r="22948" ht="12.75"/>
    <row r="22949" ht="12.75"/>
    <row r="22950" ht="12.75"/>
    <row r="22951" ht="12.75"/>
    <row r="22952" ht="12.75"/>
    <row r="22953" ht="12.75"/>
    <row r="22954" ht="12.75"/>
    <row r="22955" ht="12.75"/>
    <row r="22956" ht="12.75"/>
    <row r="22957" ht="12.75"/>
    <row r="22958" ht="12.75"/>
    <row r="22959" ht="12.75"/>
    <row r="22960" ht="12.75"/>
    <row r="22961" ht="12.75"/>
    <row r="22962" ht="12.75"/>
    <row r="22963" ht="12.75"/>
    <row r="22964" ht="12.75"/>
    <row r="22965" ht="12.75"/>
    <row r="22966" ht="12.75"/>
    <row r="22967" ht="12.75"/>
    <row r="22968" ht="12.75"/>
    <row r="22969" ht="12.75"/>
    <row r="22970" ht="12.75"/>
    <row r="22971" ht="12.75"/>
    <row r="22972" ht="12.75"/>
    <row r="22973" ht="12.75"/>
    <row r="22974" ht="12.75"/>
    <row r="22975" ht="12.75"/>
    <row r="22976" ht="12.75"/>
    <row r="22977" ht="12.75"/>
    <row r="22978" ht="12.75"/>
    <row r="22979" ht="12.75"/>
    <row r="22980" ht="12.75"/>
    <row r="22981" ht="12.75"/>
    <row r="22982" ht="12.75"/>
    <row r="22983" ht="12.75"/>
    <row r="22984" ht="12.75"/>
    <row r="22985" ht="12.75"/>
    <row r="22986" ht="12.75"/>
    <row r="22987" ht="12.75"/>
    <row r="22988" ht="12.75"/>
    <row r="22989" ht="12.75"/>
    <row r="22990" ht="12.75"/>
    <row r="22991" ht="12.75"/>
    <row r="22992" ht="12.75"/>
    <row r="22993" ht="12.75"/>
    <row r="22994" ht="12.75"/>
    <row r="22995" ht="12.75"/>
    <row r="22996" ht="12.75"/>
    <row r="22997" ht="12.75"/>
    <row r="22998" ht="12.75"/>
    <row r="22999" ht="12.75"/>
    <row r="23000" ht="12.75"/>
    <row r="23001" ht="12.75"/>
    <row r="23002" ht="12.75"/>
    <row r="23003" ht="12.75"/>
    <row r="23004" ht="12.75"/>
    <row r="23005" ht="12.75"/>
    <row r="23006" ht="12.75"/>
    <row r="23007" ht="12.75"/>
    <row r="23008" ht="12.75"/>
    <row r="23009" ht="12.75"/>
    <row r="23010" ht="12.75"/>
    <row r="23011" ht="12.75"/>
    <row r="23012" ht="12.75"/>
    <row r="23013" ht="12.75"/>
    <row r="23014" ht="12.75"/>
    <row r="23015" ht="12.75"/>
    <row r="23016" ht="12.75"/>
    <row r="23017" ht="12.75"/>
    <row r="23018" ht="12.75"/>
    <row r="23019" ht="12.75"/>
    <row r="23020" ht="12.75"/>
    <row r="23021" ht="12.75"/>
    <row r="23022" ht="12.75"/>
    <row r="23023" ht="12.75"/>
    <row r="23024" ht="12.75"/>
    <row r="23025" ht="12.75"/>
    <row r="23026" ht="12.75"/>
    <row r="23027" ht="12.75"/>
    <row r="23028" ht="12.75"/>
    <row r="23029" ht="12.75"/>
    <row r="23030" ht="12.75"/>
    <row r="23031" ht="12.75"/>
    <row r="23032" ht="12.75"/>
    <row r="23033" ht="12.75"/>
    <row r="23034" ht="12.75"/>
    <row r="23035" ht="12.75"/>
    <row r="23036" ht="12.75"/>
    <row r="23037" ht="12.75"/>
    <row r="23038" ht="12.75"/>
    <row r="23039" ht="12.75"/>
    <row r="23040" ht="12.75"/>
    <row r="23041" ht="12.75"/>
    <row r="23042" ht="12.75"/>
    <row r="23043" ht="12.75"/>
    <row r="23044" ht="12.75"/>
    <row r="23045" ht="12.75"/>
    <row r="23046" ht="12.75"/>
    <row r="23047" ht="12.75"/>
    <row r="23048" ht="12.75"/>
    <row r="23049" ht="12.75"/>
    <row r="23050" ht="12.75"/>
    <row r="23051" ht="12.75"/>
    <row r="23052" ht="12.75"/>
    <row r="23053" ht="12.75"/>
    <row r="23054" ht="12.75"/>
    <row r="23055" ht="12.75"/>
    <row r="23056" ht="12.75"/>
    <row r="23057" ht="12.75"/>
    <row r="23058" ht="12.75"/>
    <row r="23059" ht="12.75"/>
    <row r="23060" ht="12.75"/>
    <row r="23061" ht="12.75"/>
    <row r="23062" ht="12.75"/>
    <row r="23063" ht="12.75"/>
    <row r="23064" ht="12.75"/>
    <row r="23065" ht="12.75"/>
    <row r="23066" ht="12.75"/>
    <row r="23067" ht="12.75"/>
    <row r="23068" ht="12.75"/>
    <row r="23069" ht="12.75"/>
    <row r="23070" ht="12.75"/>
    <row r="23071" ht="12.75"/>
    <row r="23072" ht="12.75"/>
    <row r="23073" ht="12.75"/>
    <row r="23074" ht="12.75"/>
    <row r="23075" ht="12.75"/>
    <row r="23076" ht="12.75"/>
    <row r="23077" ht="12.75"/>
    <row r="23078" ht="12.75"/>
    <row r="23079" ht="12.75"/>
    <row r="23080" ht="12.75"/>
    <row r="23081" ht="12.75"/>
    <row r="23082" ht="12.75"/>
    <row r="23083" ht="12.75"/>
    <row r="23084" ht="12.75"/>
    <row r="23085" ht="12.75"/>
    <row r="23086" ht="12.75"/>
    <row r="23087" ht="12.75"/>
    <row r="23088" ht="12.75"/>
    <row r="23089" ht="12.75"/>
    <row r="23090" ht="12.75"/>
    <row r="23091" ht="12.75"/>
    <row r="23092" ht="12.75"/>
    <row r="23093" ht="12.75"/>
    <row r="23094" ht="12.75"/>
    <row r="23095" ht="12.75"/>
    <row r="23096" ht="12.75"/>
    <row r="23097" ht="12.75"/>
    <row r="23098" ht="12.75"/>
    <row r="23099" ht="12.75"/>
    <row r="23100" ht="12.75"/>
    <row r="23101" ht="12.75"/>
    <row r="23102" ht="12.75"/>
    <row r="23103" ht="12.75"/>
    <row r="23104" ht="12.75"/>
    <row r="23105" ht="12.75"/>
    <row r="23106" ht="12.75"/>
    <row r="23107" ht="12.75"/>
    <row r="23108" ht="12.75"/>
    <row r="23109" ht="12.75"/>
    <row r="23110" ht="12.75"/>
    <row r="23111" ht="12.75"/>
    <row r="23112" ht="12.75"/>
    <row r="23113" ht="12.75"/>
    <row r="23114" ht="12.75"/>
    <row r="23115" ht="12.75"/>
    <row r="23116" ht="12.75"/>
    <row r="23117" ht="12.75"/>
    <row r="23118" ht="12.75"/>
    <row r="23119" ht="12.75"/>
    <row r="23120" ht="12.75"/>
    <row r="23121" ht="12.75"/>
    <row r="23122" ht="12.75"/>
    <row r="23123" ht="12.75"/>
    <row r="23124" ht="12.75"/>
    <row r="23125" ht="12.75"/>
    <row r="23126" ht="12.75"/>
    <row r="23127" ht="12.75"/>
    <row r="23128" ht="12.75"/>
    <row r="23129" ht="12.75"/>
    <row r="23130" ht="12.75"/>
    <row r="23131" ht="12.75"/>
    <row r="23132" ht="12.75"/>
    <row r="23133" ht="12.75"/>
    <row r="23134" ht="12.75"/>
    <row r="23135" ht="12.75"/>
    <row r="23136" ht="12.75"/>
    <row r="23137" ht="12.75"/>
    <row r="23138" ht="12.75"/>
    <row r="23139" ht="12.75"/>
    <row r="23140" ht="12.75"/>
    <row r="23141" ht="12.75"/>
    <row r="23142" ht="12.75"/>
    <row r="23143" ht="12.75"/>
    <row r="23144" ht="12.75"/>
    <row r="23145" ht="12.75"/>
    <row r="23146" ht="12.75"/>
    <row r="23147" ht="12.75"/>
    <row r="23148" ht="12.75"/>
    <row r="23149" ht="12.75"/>
    <row r="23150" ht="12.75"/>
    <row r="23151" ht="12.75"/>
    <row r="23152" ht="12.75"/>
    <row r="23153" ht="12.75"/>
    <row r="23154" ht="12.75"/>
    <row r="23155" ht="12.75"/>
    <row r="23156" ht="12.75"/>
    <row r="23157" ht="12.75"/>
    <row r="23158" ht="12.75"/>
    <row r="23159" ht="12.75"/>
    <row r="23160" ht="12.75"/>
    <row r="23161" ht="12.75"/>
    <row r="23162" ht="12.75"/>
    <row r="23163" ht="12.75"/>
    <row r="23164" ht="12.75"/>
    <row r="23165" ht="12.75"/>
    <row r="23166" ht="12.75"/>
    <row r="23167" ht="12.75"/>
    <row r="23168" ht="12.75"/>
    <row r="23169" ht="12.75"/>
    <row r="23170" ht="12.75"/>
    <row r="23171" ht="12.75"/>
    <row r="23172" ht="12.75"/>
    <row r="23173" ht="12.75"/>
    <row r="23174" ht="12.75"/>
    <row r="23175" ht="12.75"/>
    <row r="23176" ht="12.75"/>
    <row r="23177" ht="12.75"/>
    <row r="23178" ht="12.75"/>
    <row r="23179" ht="12.75"/>
    <row r="23180" ht="12.75"/>
    <row r="23181" ht="12.75"/>
    <row r="23182" ht="12.75"/>
    <row r="23183" ht="12.75"/>
    <row r="23184" ht="12.75"/>
    <row r="23185" ht="12.75"/>
    <row r="23186" ht="12.75"/>
    <row r="23187" ht="12.75"/>
    <row r="23188" ht="12.75"/>
    <row r="23189" ht="12.75"/>
    <row r="23190" ht="12.75"/>
    <row r="23191" ht="12.75"/>
    <row r="23192" ht="12.75"/>
    <row r="23193" ht="12.75"/>
    <row r="23194" ht="12.75"/>
    <row r="23195" ht="12.75"/>
    <row r="23196" ht="12.75"/>
    <row r="23197" ht="12.75"/>
    <row r="23198" ht="12.75"/>
    <row r="23199" ht="12.75"/>
    <row r="23200" ht="12.75"/>
    <row r="23201" ht="12.75"/>
    <row r="23202" ht="12.75"/>
    <row r="23203" ht="12.75"/>
    <row r="23204" ht="12.75"/>
    <row r="23205" ht="12.75"/>
    <row r="23206" ht="12.75"/>
    <row r="23207" ht="12.75"/>
    <row r="23208" ht="12.75"/>
    <row r="23209" ht="12.75"/>
    <row r="23210" ht="12.75"/>
    <row r="23211" ht="12.75"/>
    <row r="23212" ht="12.75"/>
    <row r="23213" ht="12.75"/>
    <row r="23214" ht="12.75"/>
    <row r="23215" ht="12.75"/>
    <row r="23216" ht="12.75"/>
    <row r="23217" ht="12.75"/>
    <row r="23218" ht="12.75"/>
    <row r="23219" ht="12.75"/>
    <row r="23220" ht="12.75"/>
    <row r="23221" ht="12.75"/>
    <row r="23222" ht="12.75"/>
    <row r="23223" ht="12.75"/>
    <row r="23224" ht="12.75"/>
    <row r="23225" ht="12.75"/>
    <row r="23226" ht="12.75"/>
    <row r="23227" ht="12.75"/>
    <row r="23228" ht="12.75"/>
    <row r="23229" ht="12.75"/>
    <row r="23230" ht="12.75"/>
    <row r="23231" ht="12.75"/>
    <row r="23232" ht="12.75"/>
    <row r="23233" ht="12.75"/>
    <row r="23234" ht="12.75"/>
    <row r="23235" ht="12.75"/>
    <row r="23236" ht="12.75"/>
    <row r="23237" ht="12.75"/>
    <row r="23238" ht="12.75"/>
    <row r="23239" ht="12.75"/>
    <row r="23240" ht="12.75"/>
    <row r="23241" ht="12.75"/>
    <row r="23242" ht="12.75"/>
    <row r="23243" ht="12.75"/>
    <row r="23244" ht="12.75"/>
    <row r="23245" ht="12.75"/>
    <row r="23246" ht="12.75"/>
    <row r="23247" ht="12.75"/>
    <row r="23248" ht="12.75"/>
    <row r="23249" ht="12.75"/>
    <row r="23250" ht="12.75"/>
    <row r="23251" ht="12.75"/>
    <row r="23252" ht="12.75"/>
    <row r="23253" ht="12.75"/>
    <row r="23254" ht="12.75"/>
    <row r="23255" ht="12.75"/>
    <row r="23256" ht="12.75"/>
    <row r="23257" ht="12.75"/>
    <row r="23258" ht="12.75"/>
    <row r="23259" ht="12.75"/>
    <row r="23260" ht="12.75"/>
    <row r="23261" ht="12.75"/>
    <row r="23262" ht="12.75"/>
    <row r="23263" ht="12.75"/>
    <row r="23264" ht="12.75"/>
    <row r="23265" ht="12.75"/>
    <row r="23266" ht="12.75"/>
    <row r="23267" ht="12.75"/>
    <row r="23268" ht="12.75"/>
    <row r="23269" ht="12.75"/>
    <row r="23270" ht="12.75"/>
    <row r="23271" ht="12.75"/>
    <row r="23272" ht="12.75"/>
    <row r="23273" ht="12.75"/>
    <row r="23274" ht="12.75"/>
    <row r="23275" ht="12.75"/>
    <row r="23276" ht="12.75"/>
    <row r="23277" ht="12.75"/>
    <row r="23278" ht="12.75"/>
    <row r="23279" ht="12.75"/>
    <row r="23280" ht="12.75"/>
    <row r="23281" ht="12.75"/>
    <row r="23282" ht="12.75"/>
    <row r="23283" ht="12.75"/>
    <row r="23284" ht="12.75"/>
    <row r="23285" ht="12.75"/>
    <row r="23286" ht="12.75"/>
    <row r="23287" ht="12.75"/>
    <row r="23288" ht="12.75"/>
    <row r="23289" ht="12.75"/>
    <row r="23290" ht="12.75"/>
    <row r="23291" ht="12.75"/>
    <row r="23292" ht="12.75"/>
    <row r="23293" ht="12.75"/>
    <row r="23294" ht="12.75"/>
    <row r="23295" ht="12.75"/>
    <row r="23296" ht="12.75"/>
    <row r="23297" ht="12.75"/>
    <row r="23298" ht="12.75"/>
    <row r="23299" ht="12.75"/>
    <row r="23300" ht="12.75"/>
    <row r="23301" ht="12.75"/>
    <row r="23302" ht="12.75"/>
    <row r="23303" ht="12.75"/>
    <row r="23304" ht="12.75"/>
    <row r="23305" ht="12.75"/>
    <row r="23306" ht="12.75"/>
    <row r="23307" ht="12.75"/>
    <row r="23308" ht="12.75"/>
    <row r="23309" ht="12.75"/>
    <row r="23310" ht="12.75"/>
    <row r="23311" ht="12.75"/>
    <row r="23312" ht="12.75"/>
    <row r="23313" ht="12.75"/>
    <row r="23314" ht="12.75"/>
    <row r="23315" ht="12.75"/>
    <row r="23316" ht="12.75"/>
    <row r="23317" ht="12.75"/>
    <row r="23318" ht="12.75"/>
    <row r="23319" ht="12.75"/>
    <row r="23320" ht="12.75"/>
    <row r="23321" ht="12.75"/>
    <row r="23322" ht="12.75"/>
    <row r="23323" ht="12.75"/>
    <row r="23324" ht="12.75"/>
    <row r="23325" ht="12.75"/>
    <row r="23326" ht="12.75"/>
    <row r="23327" ht="12.75"/>
    <row r="23328" ht="12.75"/>
    <row r="23329" ht="12.75"/>
    <row r="23330" ht="12.75"/>
    <row r="23331" ht="12.75"/>
    <row r="23332" ht="12.75"/>
    <row r="23333" ht="12.75"/>
    <row r="23334" ht="12.75"/>
    <row r="23335" ht="12.75"/>
    <row r="23336" ht="12.75"/>
    <row r="23337" ht="12.75"/>
    <row r="23338" ht="12.75"/>
    <row r="23339" ht="12.75"/>
    <row r="23340" ht="12.75"/>
    <row r="23341" ht="12.75"/>
    <row r="23342" ht="12.75"/>
    <row r="23343" ht="12.75"/>
    <row r="23344" ht="12.75"/>
    <row r="23345" ht="12.75"/>
    <row r="23346" ht="12.75"/>
    <row r="23347" ht="12.75"/>
    <row r="23348" ht="12.75"/>
    <row r="23349" ht="12.75"/>
    <row r="23350" ht="12.75"/>
    <row r="23351" ht="12.75"/>
    <row r="23352" ht="12.75"/>
    <row r="23353" ht="12.75"/>
    <row r="23354" ht="12.75"/>
    <row r="23355" ht="12.75"/>
    <row r="23356" ht="12.75"/>
    <row r="23357" ht="12.75"/>
    <row r="23358" ht="12.75"/>
    <row r="23359" ht="12.75"/>
    <row r="23360" ht="12.75"/>
    <row r="23361" ht="12.75"/>
    <row r="23362" ht="12.75"/>
    <row r="23363" ht="12.75"/>
    <row r="23364" ht="12.75"/>
    <row r="23365" ht="12.75"/>
    <row r="23366" ht="12.75"/>
    <row r="23367" ht="12.75"/>
    <row r="23368" ht="12.75"/>
    <row r="23369" ht="12.75"/>
    <row r="23370" ht="12.75"/>
    <row r="23371" ht="12.75"/>
    <row r="23372" ht="12.75"/>
    <row r="23373" ht="12.75"/>
    <row r="23374" ht="12.75"/>
    <row r="23375" ht="12.75"/>
    <row r="23376" ht="12.75"/>
    <row r="23377" ht="12.75"/>
    <row r="23378" ht="12.75"/>
    <row r="23379" ht="12.75"/>
    <row r="23380" ht="12.75"/>
    <row r="23381" ht="12.75"/>
    <row r="23382" ht="12.75"/>
    <row r="23383" ht="12.75"/>
    <row r="23384" ht="12.75"/>
    <row r="23385" ht="12.75"/>
    <row r="23386" ht="12.75"/>
    <row r="23387" ht="12.75"/>
    <row r="23388" ht="12.75"/>
    <row r="23389" ht="12.75"/>
    <row r="23390" ht="12.75"/>
    <row r="23391" ht="12.75"/>
    <row r="23392" ht="12.75"/>
    <row r="23393" ht="12.75"/>
    <row r="23394" ht="12.75"/>
    <row r="23395" ht="12.75"/>
    <row r="23396" ht="12.75"/>
    <row r="23397" ht="12.75"/>
    <row r="23398" ht="12.75"/>
    <row r="23399" ht="12.75"/>
    <row r="23400" ht="12.75"/>
    <row r="23401" ht="12.75"/>
    <row r="23402" ht="12.75"/>
    <row r="23403" ht="12.75"/>
    <row r="23404" ht="12.75"/>
    <row r="23405" ht="12.75"/>
    <row r="23406" ht="12.75"/>
    <row r="23407" ht="12.75"/>
    <row r="23408" ht="12.75"/>
    <row r="23409" ht="12.75"/>
    <row r="23410" ht="12.75"/>
    <row r="23411" ht="12.75"/>
    <row r="23412" ht="12.75"/>
    <row r="23413" ht="12.75"/>
    <row r="23414" ht="12.75"/>
    <row r="23415" ht="12.75"/>
    <row r="23416" ht="12.75"/>
    <row r="23417" ht="12.75"/>
    <row r="23418" ht="12.75"/>
    <row r="23419" ht="12.75"/>
    <row r="23420" ht="12.75"/>
    <row r="23421" ht="12.75"/>
    <row r="23422" ht="12.75"/>
    <row r="23423" ht="12.75"/>
    <row r="23424" ht="12.75"/>
    <row r="23425" ht="12.75"/>
    <row r="23426" ht="12.75"/>
    <row r="23427" ht="12.75"/>
    <row r="23428" ht="12.75"/>
    <row r="23429" ht="12.75"/>
    <row r="23430" ht="12.75"/>
    <row r="23431" ht="12.75"/>
    <row r="23432" ht="12.75"/>
    <row r="23433" ht="12.75"/>
    <row r="23434" ht="12.75"/>
    <row r="23435" ht="12.75"/>
    <row r="23436" ht="12.75"/>
    <row r="23437" ht="12.75"/>
    <row r="23438" ht="12.75"/>
    <row r="23439" ht="12.75"/>
    <row r="23440" ht="12.75"/>
    <row r="23441" ht="12.75"/>
    <row r="23442" ht="12.75"/>
    <row r="23443" ht="12.75"/>
    <row r="23444" ht="12.75"/>
    <row r="23445" ht="12.75"/>
    <row r="23446" ht="12.75"/>
    <row r="23447" ht="12.75"/>
    <row r="23448" ht="12.75"/>
    <row r="23449" ht="12.75"/>
    <row r="23450" ht="12.75"/>
    <row r="23451" ht="12.75"/>
    <row r="23452" ht="12.75"/>
    <row r="23453" ht="12.75"/>
    <row r="23454" ht="12.75"/>
    <row r="23455" ht="12.75"/>
    <row r="23456" ht="12.75"/>
    <row r="23457" ht="12.75"/>
    <row r="23458" ht="12.75"/>
    <row r="23459" ht="12.75"/>
    <row r="23460" ht="12.75"/>
    <row r="23461" ht="12.75"/>
    <row r="23462" ht="12.75"/>
    <row r="23463" ht="12.75"/>
    <row r="23464" ht="12.75"/>
    <row r="23465" ht="12.75"/>
    <row r="23466" ht="12.75"/>
    <row r="23467" ht="12.75"/>
    <row r="23468" ht="12.75"/>
    <row r="23469" ht="12.75"/>
    <row r="23470" ht="12.75"/>
    <row r="23471" ht="12.75"/>
    <row r="23472" ht="12.75"/>
    <row r="23473" ht="12.75"/>
    <row r="23474" ht="12.75"/>
    <row r="23475" ht="12.75"/>
    <row r="23476" ht="12.75"/>
    <row r="23477" ht="12.75"/>
    <row r="23478" ht="12.75"/>
    <row r="23479" ht="12.75"/>
    <row r="23480" ht="12.75"/>
    <row r="23481" ht="12.75"/>
    <row r="23482" ht="12.75"/>
    <row r="23483" ht="12.75"/>
    <row r="23484" ht="12.75"/>
    <row r="23485" ht="12.75"/>
    <row r="23486" ht="12.75"/>
    <row r="23487" ht="12.75"/>
    <row r="23488" ht="12.75"/>
    <row r="23489" ht="12.75"/>
    <row r="23490" ht="12.75"/>
    <row r="23491" ht="12.75"/>
    <row r="23492" ht="12.75"/>
    <row r="23493" ht="12.75"/>
    <row r="23494" ht="12.75"/>
    <row r="23495" ht="12.75"/>
    <row r="23496" ht="12.75"/>
    <row r="23497" ht="12.75"/>
    <row r="23498" ht="12.75"/>
    <row r="23499" ht="12.75"/>
    <row r="23500" ht="12.75"/>
    <row r="23501" ht="12.75"/>
    <row r="23502" ht="12.75"/>
    <row r="23503" ht="12.75"/>
    <row r="23504" ht="12.75"/>
    <row r="23505" ht="12.75"/>
    <row r="23506" ht="12.75"/>
    <row r="23507" ht="12.75"/>
    <row r="23508" ht="12.75"/>
    <row r="23509" ht="12.75"/>
    <row r="23510" ht="12.75"/>
    <row r="23511" ht="12.75"/>
    <row r="23512" ht="12.75"/>
    <row r="23513" ht="12.75"/>
    <row r="23514" ht="12.75"/>
    <row r="23515" ht="12.75"/>
    <row r="23516" ht="12.75"/>
    <row r="23517" ht="12.75"/>
    <row r="23518" ht="12.75"/>
    <row r="23519" ht="12.75"/>
    <row r="23520" ht="12.75"/>
    <row r="23521" ht="12.75"/>
    <row r="23522" ht="12.75"/>
    <row r="23523" ht="12.75"/>
    <row r="23524" ht="12.75"/>
    <row r="23525" ht="12.75"/>
    <row r="23526" ht="12.75"/>
    <row r="23527" ht="12.75"/>
    <row r="23528" ht="12.75"/>
    <row r="23529" ht="12.75"/>
    <row r="23530" ht="12.75"/>
    <row r="23531" ht="12.75"/>
    <row r="23532" ht="12.75"/>
    <row r="23533" ht="12.75"/>
    <row r="23534" ht="12.75"/>
    <row r="23535" ht="12.75"/>
    <row r="23536" ht="12.75"/>
    <row r="23537" ht="12.75"/>
    <row r="23538" ht="12.75"/>
    <row r="23539" ht="12.75"/>
    <row r="23540" ht="12.75"/>
    <row r="23541" ht="12.75"/>
    <row r="23542" ht="12.75"/>
    <row r="23543" ht="12.75"/>
    <row r="23544" ht="12.75"/>
    <row r="23545" ht="12.75"/>
    <row r="23546" ht="12.75"/>
    <row r="23547" ht="12.75"/>
    <row r="23548" ht="12.75"/>
    <row r="23549" ht="12.75"/>
    <row r="23550" ht="12.75"/>
    <row r="23551" ht="12.75"/>
    <row r="23552" ht="12.75"/>
    <row r="23553" ht="12.75"/>
    <row r="23554" ht="12.75"/>
    <row r="23555" ht="12.75"/>
    <row r="23556" ht="12.75"/>
    <row r="23557" ht="12.75"/>
    <row r="23558" ht="12.75"/>
    <row r="23559" ht="12.75"/>
    <row r="23560" ht="12.75"/>
    <row r="23561" ht="12.75"/>
    <row r="23562" ht="12.75"/>
    <row r="23563" ht="12.75"/>
    <row r="23564" ht="12.75"/>
    <row r="23565" ht="12.75"/>
    <row r="23566" ht="12.75"/>
    <row r="23567" ht="12.75"/>
    <row r="23568" ht="12.75"/>
    <row r="23569" ht="12.75"/>
    <row r="23570" ht="12.75"/>
    <row r="23571" ht="12.75"/>
    <row r="23572" ht="12.75"/>
    <row r="23573" ht="12.75"/>
    <row r="23574" ht="12.75"/>
    <row r="23575" ht="12.75"/>
    <row r="23576" ht="12.75"/>
    <row r="23577" ht="12.75"/>
    <row r="23578" ht="12.75"/>
    <row r="23579" ht="12.75"/>
    <row r="23580" ht="12.75"/>
    <row r="23581" ht="12.75"/>
    <row r="23582" ht="12.75"/>
    <row r="23583" ht="12.75"/>
    <row r="23584" ht="12.75"/>
    <row r="23585" ht="12.75"/>
    <row r="23586" ht="12.75"/>
    <row r="23587" ht="12.75"/>
    <row r="23588" ht="12.75"/>
    <row r="23589" ht="12.75"/>
    <row r="23590" ht="12.75"/>
    <row r="23591" ht="12.75"/>
    <row r="23592" ht="12.75"/>
    <row r="23593" ht="12.75"/>
    <row r="23594" ht="12.75"/>
    <row r="23595" ht="12.75"/>
    <row r="23596" ht="12.75"/>
    <row r="23597" ht="12.75"/>
    <row r="23598" ht="12.75"/>
    <row r="23599" ht="12.75"/>
    <row r="23600" ht="12.75"/>
    <row r="23601" ht="12.75"/>
    <row r="23602" ht="12.75"/>
    <row r="23603" ht="12.75"/>
    <row r="23604" ht="12.75"/>
    <row r="23605" ht="12.75"/>
    <row r="23606" ht="12.75"/>
    <row r="23607" ht="12.75"/>
    <row r="23608" ht="12.75"/>
    <row r="23609" ht="12.75"/>
    <row r="23610" ht="12.75"/>
    <row r="23611" ht="12.75"/>
    <row r="23612" ht="12.75"/>
    <row r="23613" ht="12.75"/>
    <row r="23614" ht="12.75"/>
    <row r="23615" ht="12.75"/>
    <row r="23616" ht="12.75"/>
    <row r="23617" ht="12.75"/>
    <row r="23618" ht="12.75"/>
    <row r="23619" ht="12.75"/>
    <row r="23620" ht="12.75"/>
    <row r="23621" ht="12.75"/>
    <row r="23622" ht="12.75"/>
    <row r="23623" ht="12.75"/>
    <row r="23624" ht="12.75"/>
    <row r="23625" ht="12.75"/>
    <row r="23626" ht="12.75"/>
    <row r="23627" ht="12.75"/>
    <row r="23628" ht="12.75"/>
    <row r="23629" ht="12.75"/>
    <row r="23630" ht="12.75"/>
    <row r="23631" ht="12.75"/>
    <row r="23632" ht="12.75"/>
    <row r="23633" ht="12.75"/>
    <row r="23634" ht="12.75"/>
    <row r="23635" ht="12.75"/>
    <row r="23636" ht="12.75"/>
    <row r="23637" ht="12.75"/>
    <row r="23638" ht="12.75"/>
    <row r="23639" ht="12.75"/>
    <row r="23640" ht="12.75"/>
    <row r="23641" ht="12.75"/>
    <row r="23642" ht="12.75"/>
    <row r="23643" ht="12.75"/>
    <row r="23644" ht="12.75"/>
    <row r="23645" ht="12.75"/>
    <row r="23646" ht="12.75"/>
    <row r="23647" ht="12.75"/>
    <row r="23648" ht="12.75"/>
    <row r="23649" ht="12.75"/>
    <row r="23650" ht="12.75"/>
    <row r="23651" ht="12.75"/>
    <row r="23652" ht="12.75"/>
    <row r="23653" ht="12.75"/>
    <row r="23654" ht="12.75"/>
    <row r="23655" ht="12.75"/>
    <row r="23656" ht="12.75"/>
    <row r="23657" ht="12.75"/>
    <row r="23658" ht="12.75"/>
    <row r="23659" ht="12.75"/>
    <row r="23660" ht="12.75"/>
    <row r="23661" ht="12.75"/>
    <row r="23662" ht="12.75"/>
    <row r="23663" ht="12.75"/>
    <row r="23664" ht="12.75"/>
    <row r="23665" ht="12.75"/>
    <row r="23666" ht="12.75"/>
    <row r="23667" ht="12.75"/>
    <row r="23668" ht="12.75"/>
    <row r="23669" ht="12.75"/>
    <row r="23670" ht="12.75"/>
    <row r="23671" ht="12.75"/>
    <row r="23672" ht="12.75"/>
    <row r="23673" ht="12.75"/>
    <row r="23674" ht="12.75"/>
    <row r="23675" ht="12.75"/>
    <row r="23676" ht="12.75"/>
    <row r="23677" ht="12.75"/>
    <row r="23678" ht="12.75"/>
    <row r="23679" ht="12.75"/>
    <row r="23680" ht="12.75"/>
    <row r="23681" ht="12.75"/>
    <row r="23682" ht="12.75"/>
    <row r="23683" ht="12.75"/>
    <row r="23684" ht="12.75"/>
    <row r="23685" ht="12.75"/>
    <row r="23686" ht="12.75"/>
    <row r="23687" ht="12.75"/>
    <row r="23688" ht="12.75"/>
    <row r="23689" ht="12.75"/>
    <row r="23690" ht="12.75"/>
    <row r="23691" ht="12.75"/>
    <row r="23692" ht="12.75"/>
    <row r="23693" ht="12.75"/>
    <row r="23694" ht="12.75"/>
    <row r="23695" ht="12.75"/>
    <row r="23696" ht="12.75"/>
    <row r="23697" ht="12.75"/>
    <row r="23698" ht="12.75"/>
    <row r="23699" ht="12.75"/>
    <row r="23700" ht="12.75"/>
    <row r="23701" ht="12.75"/>
    <row r="23702" ht="12.75"/>
    <row r="23703" ht="12.75"/>
    <row r="23704" ht="12.75"/>
    <row r="23705" ht="12.75"/>
    <row r="23706" ht="12.75"/>
    <row r="23707" ht="12.75"/>
    <row r="23708" ht="12.75"/>
    <row r="23709" ht="12.75"/>
    <row r="23710" ht="12.75"/>
    <row r="23711" ht="12.75"/>
    <row r="23712" ht="12.75"/>
    <row r="23713" ht="12.75"/>
    <row r="23714" ht="12.75"/>
    <row r="23715" ht="12.75"/>
    <row r="23716" ht="12.75"/>
    <row r="23717" ht="12.75"/>
    <row r="23718" ht="12.75"/>
    <row r="23719" ht="12.75"/>
    <row r="23720" ht="12.75"/>
    <row r="23721" ht="12.75"/>
    <row r="23722" ht="12.75"/>
    <row r="23723" ht="12.75"/>
    <row r="23724" ht="12.75"/>
    <row r="23725" ht="12.75"/>
    <row r="23726" ht="12.75"/>
    <row r="23727" ht="12.75"/>
    <row r="23728" ht="12.75"/>
    <row r="23729" ht="12.75"/>
    <row r="23730" ht="12.75"/>
    <row r="23731" ht="12.75"/>
    <row r="23732" ht="12.75"/>
    <row r="23733" ht="12.75"/>
    <row r="23734" ht="12.75"/>
    <row r="23735" ht="12.75"/>
    <row r="23736" ht="12.75"/>
    <row r="23737" ht="12.75"/>
    <row r="23738" ht="12.75"/>
    <row r="23739" ht="12.75"/>
    <row r="23740" ht="12.75"/>
    <row r="23741" ht="12.75"/>
    <row r="23742" ht="12.75"/>
    <row r="23743" ht="12.75"/>
    <row r="23744" ht="12.75"/>
    <row r="23745" ht="12.75"/>
    <row r="23746" ht="12.75"/>
    <row r="23747" ht="12.75"/>
    <row r="23748" ht="12.75"/>
    <row r="23749" ht="12.75"/>
    <row r="23750" ht="12.75"/>
    <row r="23751" ht="12.75"/>
    <row r="23752" ht="12.75"/>
    <row r="23753" ht="12.75"/>
    <row r="23754" ht="12.75"/>
    <row r="23755" ht="12.75"/>
    <row r="23756" ht="12.75"/>
    <row r="23757" ht="12.75"/>
    <row r="23758" ht="12.75"/>
    <row r="23759" ht="12.75"/>
    <row r="23760" ht="12.75"/>
    <row r="23761" ht="12.75"/>
    <row r="23762" ht="12.75"/>
    <row r="23763" ht="12.75"/>
    <row r="23764" ht="12.75"/>
    <row r="23765" ht="12.75"/>
    <row r="23766" ht="12.75"/>
    <row r="23767" ht="12.75"/>
    <row r="23768" ht="12.75"/>
    <row r="23769" ht="12.75"/>
    <row r="23770" ht="12.75"/>
    <row r="23771" ht="12.75"/>
    <row r="23772" ht="12.75"/>
    <row r="23773" ht="12.75"/>
    <row r="23774" ht="12.75"/>
    <row r="23775" ht="12.75"/>
    <row r="23776" ht="12.75"/>
    <row r="23777" ht="12.75"/>
    <row r="23778" ht="12.75"/>
    <row r="23779" ht="12.75"/>
    <row r="23780" ht="12.75"/>
    <row r="23781" ht="12.75"/>
    <row r="23782" ht="12.75"/>
    <row r="23783" ht="12.75"/>
    <row r="23784" ht="12.75"/>
    <row r="23785" ht="12.75"/>
    <row r="23786" ht="12.75"/>
    <row r="23787" ht="12.75"/>
    <row r="23788" ht="12.75"/>
    <row r="23789" ht="12.75"/>
    <row r="23790" ht="12.75"/>
    <row r="23791" ht="12.75"/>
    <row r="23792" ht="12.75"/>
    <row r="23793" ht="12.75"/>
    <row r="23794" ht="12.75"/>
    <row r="23795" ht="12.75"/>
    <row r="23796" ht="12.75"/>
    <row r="23797" ht="12.75"/>
    <row r="23798" ht="12.75"/>
    <row r="23799" ht="12.75"/>
    <row r="23800" ht="12.75"/>
    <row r="23801" ht="12.75"/>
    <row r="23802" ht="12.75"/>
    <row r="23803" ht="12.75"/>
    <row r="23804" ht="12.75"/>
    <row r="23805" ht="12.75"/>
    <row r="23806" ht="12.75"/>
    <row r="23807" ht="12.75"/>
    <row r="23808" ht="12.75"/>
    <row r="23809" ht="12.75"/>
    <row r="23810" ht="12.75"/>
    <row r="23811" ht="12.75"/>
    <row r="23812" ht="12.75"/>
    <row r="23813" ht="12.75"/>
    <row r="23814" ht="12.75"/>
    <row r="23815" ht="12.75"/>
    <row r="23816" ht="12.75"/>
    <row r="23817" ht="12.75"/>
    <row r="23818" ht="12.75"/>
    <row r="23819" ht="12.75"/>
    <row r="23820" ht="12.75"/>
    <row r="23821" ht="12.75"/>
    <row r="23822" ht="12.75"/>
    <row r="23823" ht="12.75"/>
    <row r="23824" ht="12.75"/>
    <row r="23825" ht="12.75"/>
    <row r="23826" ht="12.75"/>
    <row r="23827" ht="12.75"/>
    <row r="23828" ht="12.75"/>
    <row r="23829" ht="12.75"/>
    <row r="23830" ht="12.75"/>
    <row r="23831" ht="12.75"/>
    <row r="23832" ht="12.75"/>
    <row r="23833" ht="12.75"/>
    <row r="23834" ht="12.75"/>
    <row r="23835" ht="12.75"/>
    <row r="23836" ht="12.75"/>
    <row r="23837" ht="12.75"/>
    <row r="23838" ht="12.75"/>
    <row r="23839" ht="12.75"/>
    <row r="23840" ht="12.75"/>
    <row r="23841" ht="12.75"/>
    <row r="23842" ht="12.75"/>
    <row r="23843" ht="12.75"/>
    <row r="23844" ht="12.75"/>
    <row r="23845" ht="12.75"/>
    <row r="23846" ht="12.75"/>
    <row r="23847" ht="12.75"/>
    <row r="23848" ht="12.75"/>
    <row r="23849" ht="12.75"/>
    <row r="23850" ht="12.75"/>
    <row r="23851" ht="12.75"/>
    <row r="23852" ht="12.75"/>
    <row r="23853" ht="12.75"/>
    <row r="23854" ht="12.75"/>
    <row r="23855" ht="12.75"/>
    <row r="23856" ht="12.75"/>
    <row r="23857" ht="12.75"/>
    <row r="23858" ht="12.75"/>
    <row r="23859" ht="12.75"/>
    <row r="23860" ht="12.75"/>
    <row r="23861" ht="12.75"/>
    <row r="23862" ht="12.75"/>
    <row r="23863" ht="12.75"/>
    <row r="23864" ht="12.75"/>
    <row r="23865" ht="12.75"/>
    <row r="23866" ht="12.75"/>
    <row r="23867" ht="12.75"/>
    <row r="23868" ht="12.75"/>
    <row r="23869" ht="12.75"/>
    <row r="23870" ht="12.75"/>
    <row r="23871" ht="12.75"/>
    <row r="23872" ht="12.75"/>
    <row r="23873" ht="12.75"/>
    <row r="23874" ht="12.75"/>
    <row r="23875" ht="12.75"/>
    <row r="23876" ht="12.75"/>
    <row r="23877" ht="12.75"/>
    <row r="23878" ht="12.75"/>
    <row r="23879" ht="12.75"/>
    <row r="23880" ht="12.75"/>
    <row r="23881" ht="12.75"/>
    <row r="23882" ht="12.75"/>
    <row r="23883" ht="12.75"/>
    <row r="23884" ht="12.75"/>
    <row r="23885" ht="12.75"/>
    <row r="23886" ht="12.75"/>
    <row r="23887" ht="12.75"/>
    <row r="23888" ht="12.75"/>
    <row r="23889" ht="12.75"/>
    <row r="23890" ht="12.75"/>
    <row r="23891" ht="12.75"/>
    <row r="23892" ht="12.75"/>
    <row r="23893" ht="12.75"/>
    <row r="23894" ht="12.75"/>
    <row r="23895" ht="12.75"/>
    <row r="23896" ht="12.75"/>
    <row r="23897" ht="12.75"/>
    <row r="23898" ht="12.75"/>
    <row r="23899" ht="12.75"/>
    <row r="23900" ht="12.75"/>
    <row r="23901" ht="12.75"/>
    <row r="23902" ht="12.75"/>
    <row r="23903" ht="12.75"/>
    <row r="23904" ht="12.75"/>
    <row r="23905" ht="12.75"/>
    <row r="23906" ht="12.75"/>
    <row r="23907" ht="12.75"/>
    <row r="23908" ht="12.75"/>
    <row r="23909" ht="12.75"/>
    <row r="23910" ht="12.75"/>
    <row r="23911" ht="12.75"/>
    <row r="23912" ht="12.75"/>
    <row r="23913" ht="12.75"/>
    <row r="23914" ht="12.75"/>
    <row r="23915" ht="12.75"/>
    <row r="23916" ht="12.75"/>
    <row r="23917" ht="12.75"/>
    <row r="23918" ht="12.75"/>
    <row r="23919" ht="12.75"/>
    <row r="23920" ht="12.75"/>
    <row r="23921" ht="12.75"/>
    <row r="23922" ht="12.75"/>
    <row r="23923" ht="12.75"/>
    <row r="23924" ht="12.75"/>
    <row r="23925" ht="12.75"/>
    <row r="23926" ht="12.75"/>
    <row r="23927" ht="12.75"/>
    <row r="23928" ht="12.75"/>
    <row r="23929" ht="12.75"/>
    <row r="23930" ht="12.75"/>
    <row r="23931" ht="12.75"/>
    <row r="23932" ht="12.75"/>
    <row r="23933" ht="12.75"/>
    <row r="23934" ht="12.75"/>
    <row r="23935" ht="12.75"/>
    <row r="23936" ht="12.75"/>
    <row r="23937" ht="12.75"/>
    <row r="23938" ht="12.75"/>
    <row r="23939" ht="12.75"/>
    <row r="23940" ht="12.75"/>
    <row r="23941" ht="12.75"/>
    <row r="23942" ht="12.75"/>
    <row r="23943" ht="12.75"/>
    <row r="23944" ht="12.75"/>
    <row r="23945" ht="12.75"/>
    <row r="23946" ht="12.75"/>
    <row r="23947" ht="12.75"/>
    <row r="23948" ht="12.75"/>
    <row r="23949" ht="12.75"/>
    <row r="23950" ht="12.75"/>
    <row r="23951" ht="12.75"/>
    <row r="23952" ht="12.75"/>
    <row r="23953" ht="12.75"/>
    <row r="23954" ht="12.75"/>
    <row r="23955" ht="12.75"/>
    <row r="23956" ht="12.75"/>
    <row r="23957" ht="12.75"/>
    <row r="23958" ht="12.75"/>
    <row r="23959" ht="12.75"/>
    <row r="23960" ht="12.75"/>
    <row r="23961" ht="12.75"/>
    <row r="23962" ht="12.75"/>
    <row r="23963" ht="12.75"/>
    <row r="23964" ht="12.75"/>
    <row r="23965" ht="12.75"/>
    <row r="23966" ht="12.75"/>
    <row r="23967" ht="12.75"/>
    <row r="23968" ht="12.75"/>
    <row r="23969" ht="12.75"/>
    <row r="23970" ht="12.75"/>
    <row r="23971" ht="12.75"/>
    <row r="23972" ht="12.75"/>
    <row r="23973" ht="12.75"/>
    <row r="23974" ht="12.75"/>
    <row r="23975" ht="12.75"/>
    <row r="23976" ht="12.75"/>
    <row r="23977" ht="12.75"/>
    <row r="23978" ht="12.75"/>
    <row r="23979" ht="12.75"/>
    <row r="23980" ht="12.75"/>
    <row r="23981" ht="12.75"/>
    <row r="23982" ht="12.75"/>
    <row r="23983" ht="12.75"/>
    <row r="23984" ht="12.75"/>
    <row r="23985" ht="12.75"/>
    <row r="23986" ht="12.75"/>
    <row r="23987" ht="12.75"/>
    <row r="23988" ht="12.75"/>
    <row r="23989" ht="12.75"/>
    <row r="23990" ht="12.75"/>
    <row r="23991" ht="12.75"/>
    <row r="23992" ht="12.75"/>
    <row r="23993" ht="12.75"/>
    <row r="23994" ht="12.75"/>
    <row r="23995" ht="12.75"/>
    <row r="23996" ht="12.75"/>
    <row r="23997" ht="12.75"/>
    <row r="23998" ht="12.75"/>
    <row r="23999" ht="12.75"/>
    <row r="24000" ht="12.75"/>
    <row r="24001" ht="12.75"/>
    <row r="24002" ht="12.75"/>
    <row r="24003" ht="12.75"/>
    <row r="24004" ht="12.75"/>
    <row r="24005" ht="12.75"/>
    <row r="24006" ht="12.75"/>
    <row r="24007" ht="12.75"/>
    <row r="24008" ht="12.75"/>
    <row r="24009" ht="12.75"/>
    <row r="24010" ht="12.75"/>
    <row r="24011" ht="12.75"/>
    <row r="24012" ht="12.75"/>
    <row r="24013" ht="12.75"/>
    <row r="24014" ht="12.75"/>
    <row r="24015" ht="12.75"/>
    <row r="24016" ht="12.75"/>
    <row r="24017" ht="12.75"/>
    <row r="24018" ht="12.75"/>
    <row r="24019" ht="12.75"/>
    <row r="24020" ht="12.75"/>
    <row r="24021" ht="12.75"/>
    <row r="24022" ht="12.75"/>
    <row r="24023" ht="12.75"/>
    <row r="24024" ht="12.75"/>
    <row r="24025" ht="12.75"/>
    <row r="24026" ht="12.75"/>
    <row r="24027" ht="12.75"/>
    <row r="24028" ht="12.75"/>
    <row r="24029" ht="12.75"/>
    <row r="24030" ht="12.75"/>
    <row r="24031" ht="12.75"/>
    <row r="24032" ht="12.75"/>
    <row r="24033" ht="12.75"/>
    <row r="24034" ht="12.75"/>
    <row r="24035" ht="12.75"/>
    <row r="24036" ht="12.75"/>
    <row r="24037" ht="12.75"/>
    <row r="24038" ht="12.75"/>
    <row r="24039" ht="12.75"/>
    <row r="24040" ht="12.75"/>
    <row r="24041" ht="12.75"/>
    <row r="24042" ht="12.75"/>
    <row r="24043" ht="12.75"/>
    <row r="24044" ht="12.75"/>
    <row r="24045" ht="12.75"/>
    <row r="24046" ht="12.75"/>
    <row r="24047" ht="12.75"/>
    <row r="24048" ht="12.75"/>
    <row r="24049" ht="12.75"/>
    <row r="24050" ht="12.75"/>
    <row r="24051" ht="12.75"/>
    <row r="24052" ht="12.75"/>
    <row r="24053" ht="12.75"/>
    <row r="24054" ht="12.75"/>
    <row r="24055" ht="12.75"/>
    <row r="24056" ht="12.75"/>
    <row r="24057" ht="12.75"/>
    <row r="24058" ht="12.75"/>
    <row r="24059" ht="12.75"/>
    <row r="24060" ht="12.75"/>
    <row r="24061" ht="12.75"/>
    <row r="24062" ht="12.75"/>
    <row r="24063" ht="12.75"/>
    <row r="24064" ht="12.75"/>
    <row r="24065" ht="12.75"/>
    <row r="24066" ht="12.75"/>
    <row r="24067" ht="12.75"/>
    <row r="24068" ht="12.75"/>
    <row r="24069" ht="12.75"/>
    <row r="24070" ht="12.75"/>
    <row r="24071" ht="12.75"/>
    <row r="24072" ht="12.75"/>
    <row r="24073" ht="12.75"/>
    <row r="24074" ht="12.75"/>
    <row r="24075" ht="12.75"/>
    <row r="24076" ht="12.75"/>
    <row r="24077" ht="12.75"/>
    <row r="24078" ht="12.75"/>
    <row r="24079" ht="12.75"/>
    <row r="24080" ht="12.75"/>
    <row r="24081" ht="12.75"/>
    <row r="24082" ht="12.75"/>
    <row r="24083" ht="12.75"/>
    <row r="24084" ht="12.75"/>
    <row r="24085" ht="12.75"/>
    <row r="24086" ht="12.75"/>
    <row r="24087" ht="12.75"/>
    <row r="24088" ht="12.75"/>
    <row r="24089" ht="12.75"/>
    <row r="24090" ht="12.75"/>
    <row r="24091" ht="12.75"/>
    <row r="24092" ht="12.75"/>
    <row r="24093" ht="12.75"/>
    <row r="24094" ht="12.75"/>
    <row r="24095" ht="12.75"/>
    <row r="24096" ht="12.75"/>
    <row r="24097" ht="12.75"/>
    <row r="24098" ht="12.75"/>
    <row r="24099" ht="12.75"/>
    <row r="24100" ht="12.75"/>
    <row r="24101" ht="12.75"/>
    <row r="24102" ht="12.75"/>
    <row r="24103" ht="12.75"/>
    <row r="24104" ht="12.75"/>
    <row r="24105" ht="12.75"/>
    <row r="24106" ht="12.75"/>
    <row r="24107" ht="12.75"/>
    <row r="24108" ht="12.75"/>
    <row r="24109" ht="12.75"/>
    <row r="24110" ht="12.75"/>
    <row r="24111" ht="12.75"/>
    <row r="24112" ht="12.75"/>
    <row r="24113" ht="12.75"/>
    <row r="24114" ht="12.75"/>
    <row r="24115" ht="12.75"/>
    <row r="24116" ht="12.75"/>
    <row r="24117" ht="12.75"/>
    <row r="24118" ht="12.75"/>
    <row r="24119" ht="12.75"/>
    <row r="24120" ht="12.75"/>
    <row r="24121" ht="12.75"/>
    <row r="24122" ht="12.75"/>
    <row r="24123" ht="12.75"/>
    <row r="24124" ht="12.75"/>
    <row r="24125" ht="12.75"/>
    <row r="24126" ht="12.75"/>
    <row r="24127" ht="12.75"/>
    <row r="24128" ht="12.75"/>
    <row r="24129" ht="12.75"/>
    <row r="24130" ht="12.75"/>
    <row r="24131" ht="12.75"/>
    <row r="24132" ht="12.75"/>
    <row r="24133" ht="12.75"/>
    <row r="24134" ht="12.75"/>
    <row r="24135" ht="12.75"/>
    <row r="24136" ht="12.75"/>
    <row r="24137" ht="12.75"/>
    <row r="24138" ht="12.75"/>
    <row r="24139" ht="12.75"/>
    <row r="24140" ht="12.75"/>
    <row r="24141" ht="12.75"/>
    <row r="24142" ht="12.75"/>
    <row r="24143" ht="12.75"/>
    <row r="24144" ht="12.75"/>
    <row r="24145" ht="12.75"/>
    <row r="24146" ht="12.75"/>
    <row r="24147" ht="12.75"/>
    <row r="24148" ht="12.75"/>
    <row r="24149" ht="12.75"/>
    <row r="24150" ht="12.75"/>
    <row r="24151" ht="12.75"/>
    <row r="24152" ht="12.75"/>
    <row r="24153" ht="12.75"/>
    <row r="24154" ht="12.75"/>
    <row r="24155" ht="12.75"/>
    <row r="24156" ht="12.75"/>
    <row r="24157" ht="12.75"/>
    <row r="24158" ht="12.75"/>
    <row r="24159" ht="12.75"/>
    <row r="24160" ht="12.75"/>
    <row r="24161" ht="12.75"/>
    <row r="24162" ht="12.75"/>
    <row r="24163" ht="12.75"/>
    <row r="24164" ht="12.75"/>
    <row r="24165" ht="12.75"/>
    <row r="24166" ht="12.75"/>
    <row r="24167" ht="12.75"/>
    <row r="24168" ht="12.75"/>
    <row r="24169" ht="12.75"/>
    <row r="24170" ht="12.75"/>
    <row r="24171" ht="12.75"/>
    <row r="24172" ht="12.75"/>
    <row r="24173" ht="12.75"/>
    <row r="24174" ht="12.75"/>
    <row r="24175" ht="12.75"/>
    <row r="24176" ht="12.75"/>
    <row r="24177" ht="12.75"/>
    <row r="24178" ht="12.75"/>
    <row r="24179" ht="12.75"/>
    <row r="24180" ht="12.75"/>
    <row r="24181" ht="12.75"/>
    <row r="24182" ht="12.75"/>
    <row r="24183" ht="12.75"/>
    <row r="24184" ht="12.75"/>
    <row r="24185" ht="12.75"/>
    <row r="24186" ht="12.75"/>
    <row r="24187" ht="12.75"/>
    <row r="24188" ht="12.75"/>
    <row r="24189" ht="12.75"/>
    <row r="24190" ht="12.75"/>
    <row r="24191" ht="12.75"/>
    <row r="24192" ht="12.75"/>
    <row r="24193" ht="12.75"/>
    <row r="24194" ht="12.75"/>
    <row r="24195" ht="12.75"/>
    <row r="24196" ht="12.75"/>
    <row r="24197" ht="12.75"/>
    <row r="24198" ht="12.75"/>
    <row r="24199" ht="12.75"/>
    <row r="24200" ht="12.75"/>
    <row r="24201" ht="12.75"/>
    <row r="24202" ht="12.75"/>
    <row r="24203" ht="12.75"/>
    <row r="24204" ht="12.75"/>
    <row r="24205" ht="12.75"/>
    <row r="24206" ht="12.75"/>
    <row r="24207" ht="12.75"/>
    <row r="24208" ht="12.75"/>
    <row r="24209" ht="12.75"/>
    <row r="24210" ht="12.75"/>
    <row r="24211" ht="12.75"/>
    <row r="24212" ht="12.75"/>
    <row r="24213" ht="12.75"/>
    <row r="24214" ht="12.75"/>
    <row r="24215" ht="12.75"/>
    <row r="24216" ht="12.75"/>
    <row r="24217" ht="12.75"/>
    <row r="24218" ht="12.75"/>
    <row r="24219" ht="12.75"/>
    <row r="24220" ht="12.75"/>
    <row r="24221" ht="12.75"/>
    <row r="24222" ht="12.75"/>
    <row r="24223" ht="12.75"/>
    <row r="24224" ht="12.75"/>
    <row r="24225" ht="12.75"/>
    <row r="24226" ht="12.75"/>
    <row r="24227" ht="12.75"/>
    <row r="24228" ht="12.75"/>
    <row r="24229" ht="12.75"/>
    <row r="24230" ht="12.75"/>
    <row r="24231" ht="12.75"/>
    <row r="24232" ht="12.75"/>
    <row r="24233" ht="12.75"/>
    <row r="24234" ht="12.75"/>
    <row r="24235" ht="12.75"/>
    <row r="24236" ht="12.75"/>
    <row r="24237" ht="12.75"/>
    <row r="24238" ht="12.75"/>
    <row r="24239" ht="12.75"/>
    <row r="24240" ht="12.75"/>
    <row r="24241" ht="12.75"/>
    <row r="24242" ht="12.75"/>
    <row r="24243" ht="12.75"/>
    <row r="24244" ht="12.75"/>
    <row r="24245" ht="12.75"/>
    <row r="24246" ht="12.75"/>
    <row r="24247" ht="12.75"/>
    <row r="24248" ht="12.75"/>
    <row r="24249" ht="12.75"/>
    <row r="24250" ht="12.75"/>
    <row r="24251" ht="12.75"/>
    <row r="24252" ht="12.75"/>
    <row r="24253" ht="12.75"/>
    <row r="24254" ht="12.75"/>
    <row r="24255" ht="12.75"/>
    <row r="24256" ht="12.75"/>
    <row r="24257" ht="12.75"/>
    <row r="24258" ht="12.75"/>
    <row r="24259" ht="12.75"/>
    <row r="24260" ht="12.75"/>
    <row r="24261" ht="12.75"/>
    <row r="24262" ht="12.75"/>
    <row r="24263" ht="12.75"/>
    <row r="24264" ht="12.75"/>
    <row r="24265" ht="12.75"/>
    <row r="24266" ht="12.75"/>
    <row r="24267" ht="12.75"/>
    <row r="24268" ht="12.75"/>
    <row r="24269" ht="12.75"/>
    <row r="24270" ht="12.75"/>
    <row r="24271" ht="12.75"/>
    <row r="24272" ht="12.75"/>
    <row r="24273" ht="12.75"/>
    <row r="24274" ht="12.75"/>
    <row r="24275" ht="12.75"/>
    <row r="24276" ht="12.75"/>
    <row r="24277" ht="12.75"/>
    <row r="24278" ht="12.75"/>
    <row r="24279" ht="12.75"/>
    <row r="24280" ht="12.75"/>
    <row r="24281" ht="12.75"/>
    <row r="24282" ht="12.75"/>
    <row r="24283" ht="12.75"/>
    <row r="24284" ht="12.75"/>
    <row r="24285" ht="12.75"/>
    <row r="24286" ht="12.75"/>
    <row r="24287" ht="12.75"/>
    <row r="24288" ht="12.75"/>
    <row r="24289" ht="12.75"/>
    <row r="24290" ht="12.75"/>
    <row r="24291" ht="12.75"/>
    <row r="24292" ht="12.75"/>
    <row r="24293" ht="12.75"/>
    <row r="24294" ht="12.75"/>
    <row r="24295" ht="12.75"/>
    <row r="24296" ht="12.75"/>
    <row r="24297" ht="12.75"/>
    <row r="24298" ht="12.75"/>
    <row r="24299" ht="12.75"/>
    <row r="24300" ht="12.75"/>
    <row r="24301" ht="12.75"/>
    <row r="24302" ht="12.75"/>
    <row r="24303" ht="12.75"/>
    <row r="24304" ht="12.75"/>
    <row r="24305" ht="12.75"/>
    <row r="24306" ht="12.75"/>
    <row r="24307" ht="12.75"/>
    <row r="24308" ht="12.75"/>
    <row r="24309" ht="12.75"/>
    <row r="24310" ht="12.75"/>
    <row r="24311" ht="12.75"/>
    <row r="24312" ht="12.75"/>
    <row r="24313" ht="12.75"/>
    <row r="24314" ht="12.75"/>
    <row r="24315" ht="12.75"/>
    <row r="24316" ht="12.75"/>
    <row r="24317" ht="12.75"/>
    <row r="24318" ht="12.75"/>
    <row r="24319" ht="12.75"/>
    <row r="24320" ht="12.75"/>
    <row r="24321" ht="12.75"/>
    <row r="24322" ht="12.75"/>
    <row r="24323" ht="12.75"/>
    <row r="24324" ht="12.75"/>
    <row r="24325" ht="12.75"/>
    <row r="24326" ht="12.75"/>
    <row r="24327" ht="12.75"/>
    <row r="24328" ht="12.75"/>
    <row r="24329" ht="12.75"/>
    <row r="24330" ht="12.75"/>
    <row r="24331" ht="12.75"/>
    <row r="24332" ht="12.75"/>
    <row r="24333" ht="12.75"/>
    <row r="24334" ht="12.75"/>
    <row r="24335" ht="12.75"/>
    <row r="24336" ht="12.75"/>
    <row r="24337" ht="12.75"/>
    <row r="24338" ht="12.75"/>
    <row r="24339" ht="12.75"/>
    <row r="24340" ht="12.75"/>
    <row r="24341" ht="12.75"/>
    <row r="24342" ht="12.75"/>
    <row r="24343" ht="12.75"/>
    <row r="24344" ht="12.75"/>
    <row r="24345" ht="12.75"/>
    <row r="24346" ht="12.75"/>
    <row r="24347" ht="12.75"/>
    <row r="24348" ht="12.75"/>
    <row r="24349" ht="12.75"/>
    <row r="24350" ht="12.75"/>
    <row r="24351" ht="12.75"/>
    <row r="24352" ht="12.75"/>
    <row r="24353" ht="12.75"/>
    <row r="24354" ht="12.75"/>
    <row r="24355" ht="12.75"/>
    <row r="24356" ht="12.75"/>
    <row r="24357" ht="12.75"/>
    <row r="24358" ht="12.75"/>
    <row r="24359" ht="12.75"/>
    <row r="24360" ht="12.75"/>
    <row r="24361" ht="12.75"/>
    <row r="24362" ht="12.75"/>
    <row r="24363" ht="12.75"/>
    <row r="24364" ht="12.75"/>
    <row r="24365" ht="12.75"/>
    <row r="24366" ht="12.75"/>
    <row r="24367" ht="12.75"/>
    <row r="24368" ht="12.75"/>
    <row r="24369" ht="12.75"/>
    <row r="24370" ht="12.75"/>
    <row r="24371" ht="12.75"/>
    <row r="24372" ht="12.75"/>
    <row r="24373" ht="12.75"/>
    <row r="24374" ht="12.75"/>
    <row r="24375" ht="12.75"/>
    <row r="24376" ht="12.75"/>
    <row r="24377" ht="12.75"/>
    <row r="24378" ht="12.75"/>
    <row r="24379" ht="12.75"/>
    <row r="24380" ht="12.75"/>
    <row r="24381" ht="12.75"/>
    <row r="24382" ht="12.75"/>
    <row r="24383" ht="12.75"/>
    <row r="24384" ht="12.75"/>
    <row r="24385" ht="12.75"/>
    <row r="24386" ht="12.75"/>
    <row r="24387" ht="12.75"/>
    <row r="24388" ht="12.75"/>
    <row r="24389" ht="12.75"/>
    <row r="24390" ht="12.75"/>
    <row r="24391" ht="12.75"/>
    <row r="24392" ht="12.75"/>
    <row r="24393" ht="12.75"/>
    <row r="24394" ht="12.75"/>
    <row r="24395" ht="12.75"/>
    <row r="24396" ht="12.75"/>
    <row r="24397" ht="12.75"/>
    <row r="24398" ht="12.75"/>
    <row r="24399" ht="12.75"/>
    <row r="24400" ht="12.75"/>
    <row r="24401" ht="12.75"/>
    <row r="24402" ht="12.75"/>
    <row r="24403" ht="12.75"/>
    <row r="24404" ht="12.75"/>
    <row r="24405" ht="12.75"/>
    <row r="24406" ht="12.75"/>
    <row r="24407" ht="12.75"/>
    <row r="24408" ht="12.75"/>
    <row r="24409" ht="12.75"/>
    <row r="24410" ht="12.75"/>
    <row r="24411" ht="12.75"/>
    <row r="24412" ht="12.75"/>
    <row r="24413" ht="12.75"/>
    <row r="24414" ht="12.75"/>
    <row r="24415" ht="12.75"/>
    <row r="24416" ht="12.75"/>
    <row r="24417" ht="12.75"/>
    <row r="24418" ht="12.75"/>
    <row r="24419" ht="12.75"/>
    <row r="24420" ht="12.75"/>
    <row r="24421" ht="12.75"/>
    <row r="24422" ht="12.75"/>
    <row r="24423" ht="12.75"/>
    <row r="24424" ht="12.75"/>
    <row r="24425" ht="12.75"/>
    <row r="24426" ht="12.75"/>
    <row r="24427" ht="12.75"/>
    <row r="24428" ht="12.75"/>
    <row r="24429" ht="12.75"/>
    <row r="24430" ht="12.75"/>
    <row r="24431" ht="12.75"/>
    <row r="24432" ht="12.75"/>
    <row r="24433" ht="12.75"/>
    <row r="24434" ht="12.75"/>
    <row r="24435" ht="12.75"/>
    <row r="24436" ht="12.75"/>
    <row r="24437" ht="12.75"/>
    <row r="24438" ht="12.75"/>
    <row r="24439" ht="12.75"/>
    <row r="24440" ht="12.75"/>
    <row r="24441" ht="12.75"/>
    <row r="24442" ht="12.75"/>
    <row r="24443" ht="12.75"/>
    <row r="24444" ht="12.75"/>
    <row r="24445" ht="12.75"/>
    <row r="24446" ht="12.75"/>
    <row r="24447" ht="12.75"/>
    <row r="24448" ht="12.75"/>
    <row r="24449" ht="12.75"/>
    <row r="24450" ht="12.75"/>
    <row r="24451" ht="12.75"/>
    <row r="24452" ht="12.75"/>
    <row r="24453" ht="12.75"/>
    <row r="24454" ht="12.75"/>
    <row r="24455" ht="12.75"/>
    <row r="24456" ht="12.75"/>
    <row r="24457" ht="12.75"/>
    <row r="24458" ht="12.75"/>
    <row r="24459" ht="12.75"/>
    <row r="24460" ht="12.75"/>
    <row r="24461" ht="12.75"/>
    <row r="24462" ht="12.75"/>
    <row r="24463" ht="12.75"/>
    <row r="24464" ht="12.75"/>
    <row r="24465" ht="12.75"/>
    <row r="24466" ht="12.75"/>
    <row r="24467" ht="12.75"/>
    <row r="24468" ht="12.75"/>
    <row r="24469" ht="12.75"/>
    <row r="24470" ht="12.75"/>
    <row r="24471" ht="12.75"/>
    <row r="24472" ht="12.75"/>
    <row r="24473" ht="12.75"/>
    <row r="24474" ht="12.75"/>
    <row r="24475" ht="12.75"/>
    <row r="24476" ht="12.75"/>
    <row r="24477" ht="12.75"/>
    <row r="24478" ht="12.75"/>
    <row r="24479" ht="12.75"/>
    <row r="24480" ht="12.75"/>
    <row r="24481" ht="12.75"/>
    <row r="24482" ht="12.75"/>
    <row r="24483" ht="12.75"/>
    <row r="24484" ht="12.75"/>
    <row r="24485" ht="12.75"/>
    <row r="24486" ht="12.75"/>
    <row r="24487" ht="12.75"/>
    <row r="24488" ht="12.75"/>
    <row r="24489" ht="12.75"/>
    <row r="24490" ht="12.75"/>
    <row r="24491" ht="12.75"/>
    <row r="24492" ht="12.75"/>
    <row r="24493" ht="12.75"/>
    <row r="24494" ht="12.75"/>
    <row r="24495" ht="12.75"/>
    <row r="24496" ht="12.75"/>
    <row r="24497" ht="12.75"/>
    <row r="24498" ht="12.75"/>
    <row r="24499" ht="12.75"/>
    <row r="24500" ht="12.75"/>
    <row r="24501" ht="12.75"/>
    <row r="24502" ht="12.75"/>
    <row r="24503" ht="12.75"/>
    <row r="24504" ht="12.75"/>
    <row r="24505" ht="12.75"/>
    <row r="24506" ht="12.75"/>
    <row r="24507" ht="12.75"/>
    <row r="24508" ht="12.75"/>
    <row r="24509" ht="12.75"/>
    <row r="24510" ht="12.75"/>
    <row r="24511" ht="12.75"/>
    <row r="24512" ht="12.75"/>
    <row r="24513" ht="12.75"/>
    <row r="24514" ht="12.75"/>
    <row r="24515" ht="12.75"/>
    <row r="24516" ht="12.75"/>
    <row r="24517" ht="12.75"/>
    <row r="24518" ht="12.75"/>
    <row r="24519" ht="12.75"/>
    <row r="24520" ht="12.75"/>
    <row r="24521" ht="12.75"/>
    <row r="24522" ht="12.75"/>
    <row r="24523" ht="12.75"/>
    <row r="24524" ht="12.75"/>
    <row r="24525" ht="12.75"/>
    <row r="24526" ht="12.75"/>
    <row r="24527" ht="12.75"/>
    <row r="24528" ht="12.75"/>
    <row r="24529" ht="12.75"/>
    <row r="24530" ht="12.75"/>
    <row r="24531" ht="12.75"/>
    <row r="24532" ht="12.75"/>
    <row r="24533" ht="12.75"/>
    <row r="24534" ht="12.75"/>
    <row r="24535" ht="12.75"/>
    <row r="24536" ht="12.75"/>
    <row r="24537" ht="12.75"/>
    <row r="24538" ht="12.75"/>
    <row r="24539" ht="12.75"/>
    <row r="24540" ht="12.75"/>
    <row r="24541" ht="12.75"/>
    <row r="24542" ht="12.75"/>
    <row r="24543" ht="12.75"/>
    <row r="24544" ht="12.75"/>
    <row r="24545" ht="12.75"/>
    <row r="24546" ht="12.75"/>
    <row r="24547" ht="12.75"/>
    <row r="24548" ht="12.75"/>
    <row r="24549" ht="12.75"/>
    <row r="24550" ht="12.75"/>
    <row r="24551" ht="12.75"/>
    <row r="24552" ht="12.75"/>
    <row r="24553" ht="12.75"/>
    <row r="24554" ht="12.75"/>
    <row r="24555" ht="12.75"/>
    <row r="24556" ht="12.75"/>
    <row r="24557" ht="12.75"/>
    <row r="24558" ht="12.75"/>
    <row r="24559" ht="12.75"/>
    <row r="24560" ht="12.75"/>
    <row r="24561" ht="12.75"/>
    <row r="24562" ht="12.75"/>
    <row r="24563" ht="12.75"/>
    <row r="24564" ht="12.75"/>
    <row r="24565" ht="12.75"/>
    <row r="24566" ht="12.75"/>
    <row r="24567" ht="12.75"/>
    <row r="24568" ht="12.75"/>
    <row r="24569" ht="12.75"/>
    <row r="24570" ht="12.75"/>
    <row r="24571" ht="12.75"/>
    <row r="24572" ht="12.75"/>
    <row r="24573" ht="12.75"/>
    <row r="24574" ht="12.75"/>
    <row r="24575" ht="12.75"/>
    <row r="24576" ht="12.75"/>
    <row r="24577" ht="12.75"/>
    <row r="24578" ht="12.75"/>
    <row r="24579" ht="12.75"/>
    <row r="24580" ht="12.75"/>
    <row r="24581" ht="12.75"/>
    <row r="24582" ht="12.75"/>
    <row r="24583" ht="12.75"/>
    <row r="24584" ht="12.75"/>
    <row r="24585" ht="12.75"/>
    <row r="24586" ht="12.75"/>
    <row r="24587" ht="12.75"/>
    <row r="24588" ht="12.75"/>
    <row r="24589" ht="12.75"/>
    <row r="24590" ht="12.75"/>
    <row r="24591" ht="12.75"/>
    <row r="24592" ht="12.75"/>
    <row r="24593" ht="12.75"/>
    <row r="24594" ht="12.75"/>
    <row r="24595" ht="12.75"/>
    <row r="24596" ht="12.75"/>
    <row r="24597" ht="12.75"/>
    <row r="24598" ht="12.75"/>
    <row r="24599" ht="12.75"/>
    <row r="24600" ht="12.75"/>
    <row r="24601" ht="12.75"/>
    <row r="24602" ht="12.75"/>
    <row r="24603" ht="12.75"/>
    <row r="24604" ht="12.75"/>
    <row r="24605" ht="12.75"/>
    <row r="24606" ht="12.75"/>
    <row r="24607" ht="12.75"/>
    <row r="24608" ht="12.75"/>
    <row r="24609" ht="12.75"/>
    <row r="24610" ht="12.75"/>
    <row r="24611" ht="12.75"/>
    <row r="24612" ht="12.75"/>
    <row r="24613" ht="12.75"/>
    <row r="24614" ht="12.75"/>
    <row r="24615" ht="12.75"/>
    <row r="24616" ht="12.75"/>
    <row r="24617" ht="12.75"/>
    <row r="24618" ht="12.75"/>
    <row r="24619" ht="12.75"/>
    <row r="24620" ht="12.75"/>
    <row r="24621" ht="12.75"/>
    <row r="24622" ht="12.75"/>
    <row r="24623" ht="12.75"/>
    <row r="24624" ht="12.75"/>
    <row r="24625" ht="12.75"/>
    <row r="24626" ht="12.75"/>
    <row r="24627" ht="12.75"/>
    <row r="24628" ht="12.75"/>
    <row r="24629" ht="12.75"/>
    <row r="24630" ht="12.75"/>
    <row r="24631" ht="12.75"/>
    <row r="24632" ht="12.75"/>
    <row r="24633" ht="12.75"/>
    <row r="24634" ht="12.75"/>
    <row r="24635" ht="12.75"/>
    <row r="24636" ht="12.75"/>
    <row r="24637" ht="12.75"/>
    <row r="24638" ht="12.75"/>
    <row r="24639" ht="12.75"/>
    <row r="24640" ht="12.75"/>
    <row r="24641" ht="12.75"/>
    <row r="24642" ht="12.75"/>
    <row r="24643" ht="12.75"/>
    <row r="24644" ht="12.75"/>
    <row r="24645" ht="12.75"/>
    <row r="24646" ht="12.75"/>
    <row r="24647" ht="12.75"/>
    <row r="24648" ht="12.75"/>
    <row r="24649" ht="12.75"/>
    <row r="24650" ht="12.75"/>
    <row r="24651" ht="12.75"/>
    <row r="24652" ht="12.75"/>
    <row r="24653" ht="12.75"/>
    <row r="24654" ht="12.75"/>
    <row r="24655" ht="12.75"/>
    <row r="24656" ht="12.75"/>
    <row r="24657" ht="12.75"/>
    <row r="24658" ht="12.75"/>
    <row r="24659" ht="12.75"/>
    <row r="24660" ht="12.75"/>
    <row r="24661" ht="12.75"/>
    <row r="24662" ht="12.75"/>
    <row r="24663" ht="12.75"/>
    <row r="24664" ht="12.75"/>
    <row r="24665" ht="12.75"/>
    <row r="24666" ht="12.75"/>
    <row r="24667" ht="12.75"/>
    <row r="24668" ht="12.75"/>
    <row r="24669" ht="12.75"/>
    <row r="24670" ht="12.75"/>
    <row r="24671" ht="12.75"/>
    <row r="24672" ht="12.75"/>
    <row r="24673" ht="12.75"/>
    <row r="24674" ht="12.75"/>
    <row r="24675" ht="12.75"/>
    <row r="24676" ht="12.75"/>
    <row r="24677" ht="12.75"/>
    <row r="24678" ht="12.75"/>
    <row r="24679" ht="12.75"/>
    <row r="24680" ht="12.75"/>
    <row r="24681" ht="12.75"/>
    <row r="24682" ht="12.75"/>
    <row r="24683" ht="12.75"/>
    <row r="24684" ht="12.75"/>
    <row r="24685" ht="12.75"/>
    <row r="24686" ht="12.75"/>
    <row r="24687" ht="12.75"/>
    <row r="24688" ht="12.75"/>
    <row r="24689" ht="12.75"/>
    <row r="24690" ht="12.75"/>
    <row r="24691" ht="12.75"/>
    <row r="24692" ht="12.75"/>
    <row r="24693" ht="12.75"/>
    <row r="24694" ht="12.75"/>
    <row r="24695" ht="12.75"/>
    <row r="24696" ht="12.75"/>
    <row r="24697" ht="12.75"/>
    <row r="24698" ht="12.75"/>
    <row r="24699" ht="12.75"/>
    <row r="24700" ht="12.75"/>
    <row r="24701" ht="12.75"/>
    <row r="24702" ht="12.75"/>
    <row r="24703" ht="12.75"/>
    <row r="24704" ht="12.75"/>
    <row r="24705" ht="12.75"/>
    <row r="24706" ht="12.75"/>
    <row r="24707" ht="12.75"/>
    <row r="24708" ht="12.75"/>
    <row r="24709" ht="12.75"/>
    <row r="24710" ht="12.75"/>
    <row r="24711" ht="12.75"/>
    <row r="24712" ht="12.75"/>
    <row r="24713" ht="12.75"/>
    <row r="24714" ht="12.75"/>
    <row r="24715" ht="12.75"/>
    <row r="24716" ht="12.75"/>
    <row r="24717" ht="12.75"/>
    <row r="24718" ht="12.75"/>
    <row r="24719" ht="12.75"/>
    <row r="24720" ht="12.75"/>
    <row r="24721" ht="12.75"/>
    <row r="24722" ht="12.75"/>
    <row r="24723" ht="12.75"/>
    <row r="24724" ht="12.75"/>
    <row r="24725" ht="12.75"/>
    <row r="24726" ht="12.75"/>
    <row r="24727" ht="12.75"/>
    <row r="24728" ht="12.75"/>
    <row r="24729" ht="12.75"/>
    <row r="24730" ht="12.75"/>
    <row r="24731" ht="12.75"/>
    <row r="24732" ht="12.75"/>
    <row r="24733" ht="12.75"/>
    <row r="24734" ht="12.75"/>
    <row r="24735" ht="12.75"/>
    <row r="24736" ht="12.75"/>
    <row r="24737" ht="12.75"/>
    <row r="24738" ht="12.75"/>
    <row r="24739" ht="12.75"/>
    <row r="24740" ht="12.75"/>
    <row r="24741" ht="12.75"/>
    <row r="24742" ht="12.75"/>
    <row r="24743" ht="12.75"/>
    <row r="24744" ht="12.75"/>
    <row r="24745" ht="12.75"/>
    <row r="24746" ht="12.75"/>
    <row r="24747" ht="12.75"/>
    <row r="24748" ht="12.75"/>
    <row r="24749" ht="12.75"/>
    <row r="24750" ht="12.75"/>
    <row r="24751" ht="12.75"/>
    <row r="24752" ht="12.75"/>
    <row r="24753" ht="12.75"/>
    <row r="24754" ht="12.75"/>
    <row r="24755" ht="12.75"/>
    <row r="24756" ht="12.75"/>
    <row r="24757" ht="12.75"/>
    <row r="24758" ht="12.75"/>
    <row r="24759" ht="12.75"/>
    <row r="24760" ht="12.75"/>
    <row r="24761" ht="12.75"/>
    <row r="24762" ht="12.75"/>
    <row r="24763" ht="12.75"/>
    <row r="24764" ht="12.75"/>
    <row r="24765" ht="12.75"/>
    <row r="24766" ht="12.75"/>
    <row r="24767" ht="12.75"/>
    <row r="24768" ht="12.75"/>
    <row r="24769" ht="12.75"/>
    <row r="24770" ht="12.75"/>
    <row r="24771" ht="12.75"/>
    <row r="24772" ht="12.75"/>
    <row r="24773" ht="12.75"/>
    <row r="24774" ht="12.75"/>
    <row r="24775" ht="12.75"/>
    <row r="24776" ht="12.75"/>
    <row r="24777" ht="12.75"/>
    <row r="24778" ht="12.75"/>
    <row r="24779" ht="12.75"/>
    <row r="24780" ht="12.75"/>
    <row r="24781" ht="12.75"/>
    <row r="24782" ht="12.75"/>
    <row r="24783" ht="12.75"/>
    <row r="24784" ht="12.75"/>
    <row r="24785" ht="12.75"/>
    <row r="24786" ht="12.75"/>
    <row r="24787" ht="12.75"/>
    <row r="24788" ht="12.75"/>
    <row r="24789" ht="12.75"/>
    <row r="24790" ht="12.75"/>
    <row r="24791" ht="12.75"/>
    <row r="24792" ht="12.75"/>
    <row r="24793" ht="12.75"/>
    <row r="24794" ht="12.75"/>
    <row r="24795" ht="12.75"/>
    <row r="24796" ht="12.75"/>
    <row r="24797" ht="12.75"/>
    <row r="24798" ht="12.75"/>
    <row r="24799" ht="12.75"/>
    <row r="24800" ht="12.75"/>
    <row r="24801" ht="12.75"/>
    <row r="24802" ht="12.75"/>
    <row r="24803" ht="12.75"/>
    <row r="24804" ht="12.75"/>
    <row r="24805" ht="12.75"/>
    <row r="24806" ht="12.75"/>
    <row r="24807" ht="12.75"/>
    <row r="24808" ht="12.75"/>
    <row r="24809" ht="12.75"/>
    <row r="24810" ht="12.75"/>
    <row r="24811" ht="12.75"/>
    <row r="24812" ht="12.75"/>
    <row r="24813" ht="12.75"/>
    <row r="24814" ht="12.75"/>
    <row r="24815" ht="12.75"/>
    <row r="24816" ht="12.75"/>
    <row r="24817" ht="12.75"/>
    <row r="24818" ht="12.75"/>
    <row r="24819" ht="12.75"/>
    <row r="24820" ht="12.75"/>
    <row r="24821" ht="12.75"/>
    <row r="24822" ht="12.75"/>
    <row r="24823" ht="12.75"/>
    <row r="24824" ht="12.75"/>
    <row r="24825" ht="12.75"/>
    <row r="24826" ht="12.75"/>
    <row r="24827" ht="12.75"/>
    <row r="24828" ht="12.75"/>
    <row r="24829" ht="12.75"/>
    <row r="24830" ht="12.75"/>
    <row r="24831" ht="12.75"/>
    <row r="24832" ht="12.75"/>
    <row r="24833" ht="12.75"/>
    <row r="24834" ht="12.75"/>
    <row r="24835" ht="12.75"/>
    <row r="24836" ht="12.75"/>
    <row r="24837" ht="12.75"/>
    <row r="24838" ht="12.75"/>
    <row r="24839" ht="12.75"/>
    <row r="24840" ht="12.75"/>
    <row r="24841" ht="12.75"/>
    <row r="24842" ht="12.75"/>
    <row r="24843" ht="12.75"/>
    <row r="24844" ht="12.75"/>
    <row r="24845" ht="12.75"/>
    <row r="24846" ht="12.75"/>
    <row r="24847" ht="12.75"/>
    <row r="24848" ht="12.75"/>
    <row r="24849" ht="12.75"/>
    <row r="24850" ht="12.75"/>
    <row r="24851" ht="12.75"/>
    <row r="24852" ht="12.75"/>
    <row r="24853" ht="12.75"/>
    <row r="24854" ht="12.75"/>
    <row r="24855" ht="12.75"/>
    <row r="24856" ht="12.75"/>
    <row r="24857" ht="12.75"/>
    <row r="24858" ht="12.75"/>
    <row r="24859" ht="12.75"/>
    <row r="24860" ht="12.75"/>
    <row r="24861" ht="12.75"/>
    <row r="24862" ht="12.75"/>
    <row r="24863" ht="12.75"/>
    <row r="24864" ht="12.75"/>
    <row r="24865" ht="12.75"/>
    <row r="24866" ht="12.75"/>
    <row r="24867" ht="12.75"/>
    <row r="24868" ht="12.75"/>
    <row r="24869" ht="12.75"/>
    <row r="24870" ht="12.75"/>
    <row r="24871" ht="12.75"/>
    <row r="24872" ht="12.75"/>
    <row r="24873" ht="12.75"/>
    <row r="24874" ht="12.75"/>
    <row r="24875" ht="12.75"/>
    <row r="24876" ht="12.75"/>
    <row r="24877" ht="12.75"/>
    <row r="24878" ht="12.75"/>
    <row r="24879" ht="12.75"/>
    <row r="24880" ht="12.75"/>
    <row r="24881" ht="12.75"/>
    <row r="24882" ht="12.75"/>
    <row r="24883" ht="12.75"/>
    <row r="24884" ht="12.75"/>
    <row r="24885" ht="12.75"/>
    <row r="24886" ht="12.75"/>
    <row r="24887" ht="12.75"/>
    <row r="24888" ht="12.75"/>
    <row r="24889" ht="12.75"/>
    <row r="24890" ht="12.75"/>
    <row r="24891" ht="12.75"/>
    <row r="24892" ht="12.75"/>
    <row r="24893" ht="12.75"/>
    <row r="24894" ht="12.75"/>
    <row r="24895" ht="12.75"/>
    <row r="24896" ht="12.75"/>
    <row r="24897" ht="12.75"/>
    <row r="24898" ht="12.75"/>
    <row r="24899" ht="12.75"/>
    <row r="24900" ht="12.75"/>
    <row r="24901" ht="12.75"/>
    <row r="24902" ht="12.75"/>
    <row r="24903" ht="12.75"/>
    <row r="24904" ht="12.75"/>
    <row r="24905" ht="12.75"/>
    <row r="24906" ht="12.75"/>
    <row r="24907" ht="12.75"/>
    <row r="24908" ht="12.75"/>
    <row r="24909" ht="12.75"/>
    <row r="24910" ht="12.75"/>
    <row r="24911" ht="12.75"/>
    <row r="24912" ht="12.75"/>
    <row r="24913" ht="12.75"/>
    <row r="24914" ht="12.75"/>
    <row r="24915" ht="12.75"/>
    <row r="24916" ht="12.75"/>
    <row r="24917" ht="12.75"/>
    <row r="24918" ht="12.75"/>
    <row r="24919" ht="12.75"/>
    <row r="24920" ht="12.75"/>
    <row r="24921" ht="12.75"/>
    <row r="24922" ht="12.75"/>
    <row r="24923" ht="12.75"/>
    <row r="24924" ht="12.75"/>
    <row r="24925" ht="12.75"/>
    <row r="24926" ht="12.75"/>
    <row r="24927" ht="12.75"/>
    <row r="24928" ht="12.75"/>
    <row r="24929" ht="12.75"/>
    <row r="24930" ht="12.75"/>
    <row r="24931" ht="12.75"/>
    <row r="24932" ht="12.75"/>
    <row r="24933" ht="12.75"/>
    <row r="24934" ht="12.75"/>
    <row r="24935" ht="12.75"/>
    <row r="24936" ht="12.75"/>
    <row r="24937" ht="12.75"/>
    <row r="24938" ht="12.75"/>
    <row r="24939" ht="12.75"/>
    <row r="24940" ht="12.75"/>
    <row r="24941" ht="12.75"/>
    <row r="24942" ht="12.75"/>
    <row r="24943" ht="12.75"/>
    <row r="24944" ht="12.75"/>
    <row r="24945" ht="12.75"/>
    <row r="24946" ht="12.75"/>
    <row r="24947" ht="12.75"/>
    <row r="24948" ht="12.75"/>
    <row r="24949" ht="12.75"/>
    <row r="24950" ht="12.75"/>
    <row r="24951" ht="12.75"/>
    <row r="24952" ht="12.75"/>
    <row r="24953" ht="12.75"/>
    <row r="24954" ht="12.75"/>
    <row r="24955" ht="12.75"/>
    <row r="24956" ht="12.75"/>
    <row r="24957" ht="12.75"/>
    <row r="24958" ht="12.75"/>
    <row r="24959" ht="12.75"/>
    <row r="24960" ht="12.75"/>
    <row r="24961" ht="12.75"/>
    <row r="24962" ht="12.75"/>
    <row r="24963" ht="12.75"/>
    <row r="24964" ht="12.75"/>
    <row r="24965" ht="12.75"/>
    <row r="24966" ht="12.75"/>
    <row r="24967" ht="12.75"/>
    <row r="24968" ht="12.75"/>
    <row r="24969" ht="12.75"/>
    <row r="24970" ht="12.75"/>
    <row r="24971" ht="12.75"/>
    <row r="24972" ht="12.75"/>
    <row r="24973" ht="12.75"/>
    <row r="24974" ht="12.75"/>
    <row r="24975" ht="12.75"/>
    <row r="24976" ht="12.75"/>
    <row r="24977" ht="12.75"/>
    <row r="24978" ht="12.75"/>
    <row r="24979" ht="12.75"/>
    <row r="24980" ht="12.75"/>
    <row r="24981" ht="12.75"/>
    <row r="24982" ht="12.75"/>
    <row r="24983" ht="12.75"/>
    <row r="24984" ht="12.75"/>
    <row r="24985" ht="12.75"/>
    <row r="24986" ht="12.75"/>
    <row r="24987" ht="12.75"/>
    <row r="24988" ht="12.75"/>
    <row r="24989" ht="12.75"/>
    <row r="24990" ht="12.75"/>
    <row r="24991" ht="12.75"/>
    <row r="24992" ht="12.75"/>
    <row r="24993" ht="12.75"/>
    <row r="24994" ht="12.75"/>
    <row r="24995" ht="12.75"/>
    <row r="24996" ht="12.75"/>
    <row r="24997" ht="12.75"/>
    <row r="24998" ht="12.75"/>
    <row r="24999" ht="12.75"/>
    <row r="25000" ht="12.75"/>
    <row r="25001" ht="12.75"/>
    <row r="25002" ht="12.75"/>
    <row r="25003" ht="12.75"/>
    <row r="25004" ht="12.75"/>
    <row r="25005" ht="12.75"/>
    <row r="25006" ht="12.75"/>
    <row r="25007" ht="12.75"/>
    <row r="25008" ht="12.75"/>
    <row r="25009" ht="12.75"/>
    <row r="25010" ht="12.75"/>
    <row r="25011" ht="12.75"/>
    <row r="25012" ht="12.75"/>
    <row r="25013" ht="12.75"/>
    <row r="25014" ht="12.75"/>
    <row r="25015" ht="12.75"/>
    <row r="25016" ht="12.75"/>
    <row r="25017" ht="12.75"/>
    <row r="25018" ht="12.75"/>
    <row r="25019" ht="12.75"/>
    <row r="25020" ht="12.75"/>
    <row r="25021" ht="12.75"/>
    <row r="25022" ht="12.75"/>
    <row r="25023" ht="12.75"/>
    <row r="25024" ht="12.75"/>
    <row r="25025" ht="12.75"/>
    <row r="25026" ht="12.75"/>
    <row r="25027" ht="12.75"/>
    <row r="25028" ht="12.75"/>
    <row r="25029" ht="12.75"/>
    <row r="25030" ht="12.75"/>
    <row r="25031" ht="12.75"/>
    <row r="25032" ht="12.75"/>
    <row r="25033" ht="12.75"/>
    <row r="25034" ht="12.75"/>
    <row r="25035" ht="12.75"/>
    <row r="25036" ht="12.75"/>
    <row r="25037" ht="12.75"/>
    <row r="25038" ht="12.75"/>
    <row r="25039" ht="12.75"/>
    <row r="25040" ht="12.75"/>
    <row r="25041" ht="12.75"/>
    <row r="25042" ht="12.75"/>
    <row r="25043" ht="12.75"/>
    <row r="25044" ht="12.75"/>
    <row r="25045" ht="12.75"/>
    <row r="25046" ht="12.75"/>
    <row r="25047" ht="12.75"/>
    <row r="25048" ht="12.75"/>
    <row r="25049" ht="12.75"/>
    <row r="25050" ht="12.75"/>
    <row r="25051" ht="12.75"/>
    <row r="25052" ht="12.75"/>
    <row r="25053" ht="12.75"/>
    <row r="25054" ht="12.75"/>
    <row r="25055" ht="12.75"/>
    <row r="25056" ht="12.75"/>
    <row r="25057" ht="12.75"/>
    <row r="25058" ht="12.75"/>
    <row r="25059" ht="12.75"/>
    <row r="25060" ht="12.75"/>
    <row r="25061" ht="12.75"/>
    <row r="25062" ht="12.75"/>
    <row r="25063" ht="12.75"/>
    <row r="25064" ht="12.75"/>
    <row r="25065" ht="12.75"/>
    <row r="25066" ht="12.75"/>
    <row r="25067" ht="12.75"/>
    <row r="25068" ht="12.75"/>
    <row r="25069" ht="12.75"/>
    <row r="25070" ht="12.75"/>
    <row r="25071" ht="12.75"/>
    <row r="25072" ht="12.75"/>
    <row r="25073" ht="12.75"/>
    <row r="25074" ht="12.75"/>
    <row r="25075" ht="12.75"/>
    <row r="25076" ht="12.75"/>
    <row r="25077" ht="12.75"/>
    <row r="25078" ht="12.75"/>
    <row r="25079" ht="12.75"/>
    <row r="25080" ht="12.75"/>
    <row r="25081" ht="12.75"/>
    <row r="25082" ht="12.75"/>
    <row r="25083" ht="12.75"/>
    <row r="25084" ht="12.75"/>
    <row r="25085" ht="12.75"/>
    <row r="25086" ht="12.75"/>
    <row r="25087" ht="12.75"/>
    <row r="25088" ht="12.75"/>
    <row r="25089" ht="12.75"/>
    <row r="25090" ht="12.75"/>
    <row r="25091" ht="12.75"/>
    <row r="25092" ht="12.75"/>
    <row r="25093" ht="12.75"/>
    <row r="25094" ht="12.75"/>
    <row r="25095" ht="12.75"/>
    <row r="25096" ht="12.75"/>
    <row r="25097" ht="12.75"/>
    <row r="25098" ht="12.75"/>
    <row r="25099" ht="12.75"/>
    <row r="25100" ht="12.75"/>
    <row r="25101" ht="12.75"/>
    <row r="25102" ht="12.75"/>
    <row r="25103" ht="12.75"/>
    <row r="25104" ht="12.75"/>
    <row r="25105" ht="12.75"/>
    <row r="25106" ht="12.75"/>
    <row r="25107" ht="12.75"/>
    <row r="25108" ht="12.75"/>
    <row r="25109" ht="12.75"/>
    <row r="25110" ht="12.75"/>
    <row r="25111" ht="12.75"/>
    <row r="25112" ht="12.75"/>
    <row r="25113" ht="12.75"/>
    <row r="25114" ht="12.75"/>
    <row r="25115" ht="12.75"/>
    <row r="25116" ht="12.75"/>
    <row r="25117" ht="12.75"/>
    <row r="25118" ht="12.75"/>
    <row r="25119" ht="12.75"/>
    <row r="25120" ht="12.75"/>
    <row r="25121" ht="12.75"/>
    <row r="25122" ht="12.75"/>
    <row r="25123" ht="12.75"/>
    <row r="25124" ht="12.75"/>
    <row r="25125" ht="12.75"/>
    <row r="25126" ht="12.75"/>
    <row r="25127" ht="12.75"/>
    <row r="25128" ht="12.75"/>
    <row r="25129" ht="12.75"/>
    <row r="25130" ht="12.75"/>
    <row r="25131" ht="12.75"/>
    <row r="25132" ht="12.75"/>
    <row r="25133" ht="12.75"/>
    <row r="25134" ht="12.75"/>
    <row r="25135" ht="12.75"/>
    <row r="25136" ht="12.75"/>
    <row r="25137" ht="12.75"/>
    <row r="25138" ht="12.75"/>
    <row r="25139" ht="12.75"/>
    <row r="25140" ht="12.75"/>
    <row r="25141" ht="12.75"/>
    <row r="25142" ht="12.75"/>
    <row r="25143" ht="12.75"/>
    <row r="25144" ht="12.75"/>
    <row r="25145" ht="12.75"/>
    <row r="25146" ht="12.75"/>
    <row r="25147" ht="12.75"/>
    <row r="25148" ht="12.75"/>
    <row r="25149" ht="12.75"/>
    <row r="25150" ht="12.75"/>
    <row r="25151" ht="12.75"/>
    <row r="25152" ht="12.75"/>
    <row r="25153" ht="12.75"/>
    <row r="25154" ht="12.75"/>
    <row r="25155" ht="12.75"/>
    <row r="25156" ht="12.75"/>
    <row r="25157" ht="12.75"/>
    <row r="25158" ht="12.75"/>
    <row r="25159" ht="12.75"/>
    <row r="25160" ht="12.75"/>
    <row r="25161" ht="12.75"/>
    <row r="25162" ht="12.75"/>
    <row r="25163" ht="12.75"/>
    <row r="25164" ht="12.75"/>
    <row r="25165" ht="12.75"/>
    <row r="25166" ht="12.75"/>
    <row r="25167" ht="12.75"/>
    <row r="25168" ht="12.75"/>
    <row r="25169" ht="12.75"/>
    <row r="25170" ht="12.75"/>
    <row r="25171" ht="12.75"/>
    <row r="25172" ht="12.75"/>
    <row r="25173" ht="12.75"/>
    <row r="25174" ht="12.75"/>
    <row r="25175" ht="12.75"/>
    <row r="25176" ht="12.75"/>
    <row r="25177" ht="12.75"/>
    <row r="25178" ht="12.75"/>
    <row r="25179" ht="12.75"/>
    <row r="25180" ht="12.75"/>
    <row r="25181" ht="12.75"/>
    <row r="25182" ht="12.75"/>
    <row r="25183" ht="12.75"/>
    <row r="25184" ht="12.75"/>
    <row r="25185" ht="12.75"/>
    <row r="25186" ht="12.75"/>
    <row r="25187" ht="12.75"/>
    <row r="25188" ht="12.75"/>
    <row r="25189" ht="12.75"/>
    <row r="25190" ht="12.75"/>
    <row r="25191" ht="12.75"/>
    <row r="25192" ht="12.75"/>
    <row r="25193" ht="12.75"/>
    <row r="25194" ht="12.75"/>
    <row r="25195" ht="12.75"/>
    <row r="25196" ht="12.75"/>
    <row r="25197" ht="12.75"/>
    <row r="25198" ht="12.75"/>
    <row r="25199" ht="12.75"/>
    <row r="25200" ht="12.75"/>
    <row r="25201" ht="12.75"/>
    <row r="25202" ht="12.75"/>
    <row r="25203" ht="12.75"/>
    <row r="25204" ht="12.75"/>
    <row r="25205" ht="12.75"/>
    <row r="25206" ht="12.75"/>
    <row r="25207" ht="12.75"/>
    <row r="25208" ht="12.75"/>
    <row r="25209" ht="12.75"/>
    <row r="25210" ht="12.75"/>
    <row r="25211" ht="12.75"/>
    <row r="25212" ht="12.75"/>
    <row r="25213" ht="12.75"/>
    <row r="25214" ht="12.75"/>
    <row r="25215" ht="12.75"/>
    <row r="25216" ht="12.75"/>
    <row r="25217" ht="12.75"/>
    <row r="25218" ht="12.75"/>
    <row r="25219" ht="12.75"/>
    <row r="25220" ht="12.75"/>
    <row r="25221" ht="12.75"/>
    <row r="25222" ht="12.75"/>
    <row r="25223" ht="12.75"/>
    <row r="25224" ht="12.75"/>
    <row r="25225" ht="12.75"/>
    <row r="25226" ht="12.75"/>
    <row r="25227" ht="12.75"/>
    <row r="25228" ht="12.75"/>
    <row r="25229" ht="12.75"/>
    <row r="25230" ht="12.75"/>
    <row r="25231" ht="12.75"/>
    <row r="25232" ht="12.75"/>
    <row r="25233" ht="12.75"/>
    <row r="25234" ht="12.75"/>
    <row r="25235" ht="12.75"/>
    <row r="25236" ht="12.75"/>
    <row r="25237" ht="12.75"/>
    <row r="25238" ht="12.75"/>
    <row r="25239" ht="12.75"/>
    <row r="25240" ht="12.75"/>
    <row r="25241" ht="12.75"/>
    <row r="25242" ht="12.75"/>
    <row r="25243" ht="12.75"/>
    <row r="25244" ht="12.75"/>
    <row r="25245" ht="12.75"/>
    <row r="25246" ht="12.75"/>
    <row r="25247" ht="12.75"/>
    <row r="25248" ht="12.75"/>
    <row r="25249" ht="12.75"/>
    <row r="25250" ht="12.75"/>
    <row r="25251" ht="12.75"/>
    <row r="25252" ht="12.75"/>
    <row r="25253" ht="12.75"/>
    <row r="25254" ht="12.75"/>
    <row r="25255" ht="12.75"/>
    <row r="25256" ht="12.75"/>
    <row r="25257" ht="12.75"/>
    <row r="25258" ht="12.75"/>
    <row r="25259" ht="12.75"/>
    <row r="25260" ht="12.75"/>
    <row r="25261" ht="12.75"/>
    <row r="25262" ht="12.75"/>
    <row r="25263" ht="12.75"/>
    <row r="25264" ht="12.75"/>
    <row r="25265" ht="12.75"/>
    <row r="25266" ht="12.75"/>
    <row r="25267" ht="12.75"/>
    <row r="25268" ht="12.75"/>
    <row r="25269" ht="12.75"/>
    <row r="25270" ht="12.75"/>
    <row r="25271" ht="12.75"/>
    <row r="25272" ht="12.75"/>
    <row r="25273" ht="12.75"/>
    <row r="25274" ht="12.75"/>
    <row r="25275" ht="12.75"/>
    <row r="25276" ht="12.75"/>
    <row r="25277" ht="12.75"/>
    <row r="25278" ht="12.75"/>
    <row r="25279" ht="12.75"/>
    <row r="25280" ht="12.75"/>
    <row r="25281" ht="12.75"/>
    <row r="25282" ht="12.75"/>
    <row r="25283" ht="12.75"/>
    <row r="25284" ht="12.75"/>
    <row r="25285" ht="12.75"/>
    <row r="25286" ht="12.75"/>
    <row r="25287" ht="12.75"/>
    <row r="25288" ht="12.75"/>
    <row r="25289" ht="12.75"/>
    <row r="25290" ht="12.75"/>
    <row r="25291" ht="12.75"/>
    <row r="25292" ht="12.75"/>
    <row r="25293" ht="12.75"/>
    <row r="25294" ht="12.75"/>
    <row r="25295" ht="12.75"/>
    <row r="25296" ht="12.75"/>
    <row r="25297" ht="12.75"/>
    <row r="25298" ht="12.75"/>
    <row r="25299" ht="12.75"/>
    <row r="25300" ht="12.75"/>
    <row r="25301" ht="12.75"/>
    <row r="25302" ht="12.75"/>
    <row r="25303" ht="12.75"/>
    <row r="25304" ht="12.75"/>
    <row r="25305" ht="12.75"/>
    <row r="25306" ht="12.75"/>
    <row r="25307" ht="12.75"/>
    <row r="25308" ht="12.75"/>
    <row r="25309" ht="12.75"/>
    <row r="25310" ht="12.75"/>
    <row r="25311" ht="12.75"/>
    <row r="25312" ht="12.75"/>
    <row r="25313" ht="12.75"/>
    <row r="25314" ht="12.75"/>
    <row r="25315" ht="12.75"/>
    <row r="25316" ht="12.75"/>
    <row r="25317" ht="12.75"/>
    <row r="25318" ht="12.75"/>
    <row r="25319" ht="12.75"/>
    <row r="25320" ht="12.75"/>
    <row r="25321" ht="12.75"/>
    <row r="25322" ht="12.75"/>
    <row r="25323" ht="12.75"/>
    <row r="25324" ht="12.75"/>
    <row r="25325" ht="12.75"/>
    <row r="25326" ht="12.75"/>
    <row r="25327" ht="12.75"/>
    <row r="25328" ht="12.75"/>
    <row r="25329" ht="12.75"/>
    <row r="25330" ht="12.75"/>
    <row r="25331" ht="12.75"/>
    <row r="25332" ht="12.75"/>
    <row r="25333" ht="12.75"/>
    <row r="25334" ht="12.75"/>
    <row r="25335" ht="12.75"/>
    <row r="25336" ht="12.75"/>
    <row r="25337" ht="12.75"/>
    <row r="25338" ht="12.75"/>
    <row r="25339" ht="12.75"/>
    <row r="25340" ht="12.75"/>
    <row r="25341" ht="12.75"/>
    <row r="25342" ht="12.75"/>
    <row r="25343" ht="12.75"/>
    <row r="25344" ht="12.75"/>
    <row r="25345" ht="12.75"/>
    <row r="25346" ht="12.75"/>
    <row r="25347" ht="12.75"/>
    <row r="25348" ht="12.75"/>
    <row r="25349" ht="12.75"/>
    <row r="25350" ht="12.75"/>
    <row r="25351" ht="12.75"/>
    <row r="25352" ht="12.75"/>
    <row r="25353" ht="12.75"/>
    <row r="25354" ht="12.75"/>
    <row r="25355" ht="12.75"/>
    <row r="25356" ht="12.75"/>
    <row r="25357" ht="12.75"/>
    <row r="25358" ht="12.75"/>
    <row r="25359" ht="12.75"/>
    <row r="25360" ht="12.75"/>
    <row r="25361" ht="12.75"/>
    <row r="25362" ht="12.75"/>
    <row r="25363" ht="12.75"/>
    <row r="25364" ht="12.75"/>
    <row r="25365" ht="12.75"/>
    <row r="25366" ht="12.75"/>
    <row r="25367" ht="12.75"/>
    <row r="25368" ht="12.75"/>
    <row r="25369" ht="12.75"/>
    <row r="25370" ht="12.75"/>
    <row r="25371" ht="12.75"/>
    <row r="25372" ht="12.75"/>
    <row r="25373" ht="12.75"/>
    <row r="25374" ht="12.75"/>
    <row r="25375" ht="12.75"/>
    <row r="25376" ht="12.75"/>
    <row r="25377" ht="12.75"/>
    <row r="25378" ht="12.75"/>
    <row r="25379" ht="12.75"/>
    <row r="25380" ht="12.75"/>
    <row r="25381" ht="12.75"/>
    <row r="25382" ht="12.75"/>
    <row r="25383" ht="12.75"/>
    <row r="25384" ht="12.75"/>
    <row r="25385" ht="12.75"/>
    <row r="25386" ht="12.75"/>
    <row r="25387" ht="12.75"/>
    <row r="25388" ht="12.75"/>
    <row r="25389" ht="12.75"/>
    <row r="25390" ht="12.75"/>
    <row r="25391" ht="12.75"/>
    <row r="25392" ht="12.75"/>
    <row r="25393" ht="12.75"/>
    <row r="25394" ht="12.75"/>
    <row r="25395" ht="12.75"/>
    <row r="25396" ht="12.75"/>
    <row r="25397" ht="12.75"/>
    <row r="25398" ht="12.75"/>
    <row r="25399" ht="12.75"/>
    <row r="25400" ht="12.75"/>
    <row r="25401" ht="12.75"/>
    <row r="25402" ht="12.75"/>
    <row r="25403" ht="12.75"/>
    <row r="25404" ht="12.75"/>
    <row r="25405" ht="12.75"/>
    <row r="25406" ht="12.75"/>
    <row r="25407" ht="12.75"/>
    <row r="25408" ht="12.75"/>
    <row r="25409" ht="12.75"/>
    <row r="25410" ht="12.75"/>
    <row r="25411" ht="12.75"/>
    <row r="25412" ht="12.75"/>
    <row r="25413" ht="12.75"/>
    <row r="25414" ht="12.75"/>
    <row r="25415" ht="12.75"/>
    <row r="25416" ht="12.75"/>
    <row r="25417" ht="12.75"/>
    <row r="25418" ht="12.75"/>
    <row r="25419" ht="12.75"/>
    <row r="25420" ht="12.75"/>
    <row r="25421" ht="12.75"/>
    <row r="25422" ht="12.75"/>
    <row r="25423" ht="12.75"/>
    <row r="25424" ht="12.75"/>
    <row r="25425" ht="12.75"/>
    <row r="25426" ht="12.75"/>
    <row r="25427" ht="12.75"/>
    <row r="25428" ht="12.75"/>
    <row r="25429" ht="12.75"/>
    <row r="25430" ht="12.75"/>
    <row r="25431" ht="12.75"/>
    <row r="25432" ht="12.75"/>
    <row r="25433" ht="12.75"/>
    <row r="25434" ht="12.75"/>
    <row r="25435" ht="12.75"/>
    <row r="25436" ht="12.75"/>
    <row r="25437" ht="12.75"/>
    <row r="25438" ht="12.75"/>
    <row r="25439" ht="12.75"/>
    <row r="25440" ht="12.75"/>
    <row r="25441" ht="12.75"/>
    <row r="25442" ht="12.75"/>
    <row r="25443" ht="12.75"/>
    <row r="25444" ht="12.75"/>
    <row r="25445" ht="12.75"/>
    <row r="25446" ht="12.75"/>
    <row r="25447" ht="12.75"/>
    <row r="25448" ht="12.75"/>
    <row r="25449" ht="12.75"/>
    <row r="25450" ht="12.75"/>
    <row r="25451" ht="12.75"/>
    <row r="25452" ht="12.75"/>
    <row r="25453" ht="12.75"/>
    <row r="25454" ht="12.75"/>
    <row r="25455" ht="12.75"/>
    <row r="25456" ht="12.75"/>
    <row r="25457" ht="12.75"/>
    <row r="25458" ht="12.75"/>
    <row r="25459" ht="12.75"/>
    <row r="25460" ht="12.75"/>
    <row r="25461" ht="12.75"/>
    <row r="25462" ht="12.75"/>
    <row r="25463" ht="12.75"/>
    <row r="25464" ht="12.75"/>
    <row r="25465" ht="12.75"/>
    <row r="25466" ht="12.75"/>
    <row r="25467" ht="12.75"/>
    <row r="25468" ht="12.75"/>
    <row r="25469" ht="12.75"/>
    <row r="25470" ht="12.75"/>
    <row r="25471" ht="12.75"/>
    <row r="25472" ht="12.75"/>
    <row r="25473" ht="12.75"/>
    <row r="25474" ht="12.75"/>
    <row r="25475" ht="12.75"/>
    <row r="25476" ht="12.75"/>
    <row r="25477" ht="12.75"/>
    <row r="25478" ht="12.75"/>
    <row r="25479" ht="12.75"/>
    <row r="25480" ht="12.75"/>
    <row r="25481" ht="12.75"/>
    <row r="25482" ht="12.75"/>
    <row r="25483" ht="12.75"/>
    <row r="25484" ht="12.75"/>
    <row r="25485" ht="12.75"/>
    <row r="25486" ht="12.75"/>
    <row r="25487" ht="12.75"/>
    <row r="25488" ht="12.75"/>
    <row r="25489" ht="12.75"/>
    <row r="25490" ht="12.75"/>
    <row r="25491" ht="12.75"/>
    <row r="25492" ht="12.75"/>
    <row r="25493" ht="12.75"/>
    <row r="25494" ht="12.75"/>
    <row r="25495" ht="12.75"/>
    <row r="25496" ht="12.75"/>
    <row r="25497" ht="12.75"/>
    <row r="25498" ht="12.75"/>
    <row r="25499" ht="12.75"/>
    <row r="25500" ht="12.75"/>
    <row r="25501" ht="12.75"/>
    <row r="25502" ht="12.75"/>
    <row r="25503" ht="12.75"/>
    <row r="25504" ht="12.75"/>
    <row r="25505" ht="12.75"/>
    <row r="25506" ht="12.75"/>
    <row r="25507" ht="12.75"/>
    <row r="25508" ht="12.75"/>
    <row r="25509" ht="12.75"/>
    <row r="25510" ht="12.75"/>
    <row r="25511" ht="12.75"/>
    <row r="25512" ht="12.75"/>
    <row r="25513" ht="12.75"/>
    <row r="25514" ht="12.75"/>
    <row r="25515" ht="12.75"/>
    <row r="25516" ht="12.75"/>
    <row r="25517" ht="12.75"/>
    <row r="25518" ht="12.75"/>
    <row r="25519" ht="12.75"/>
    <row r="25520" ht="12.75"/>
    <row r="25521" ht="12.75"/>
    <row r="25522" ht="12.75"/>
    <row r="25523" ht="12.75"/>
    <row r="25524" ht="12.75"/>
    <row r="25525" ht="12.75"/>
    <row r="25526" ht="12.75"/>
    <row r="25527" ht="12.75"/>
    <row r="25528" ht="12.75"/>
    <row r="25529" ht="12.75"/>
    <row r="25530" ht="12.75"/>
    <row r="25531" ht="12.75"/>
    <row r="25532" ht="12.75"/>
    <row r="25533" ht="12.75"/>
    <row r="25534" ht="12.75"/>
    <row r="25535" ht="12.75"/>
    <row r="25536" ht="12.75"/>
    <row r="25537" ht="12.75"/>
    <row r="25538" ht="12.75"/>
    <row r="25539" ht="12.75"/>
    <row r="25540" ht="12.75"/>
    <row r="25541" ht="12.75"/>
    <row r="25542" ht="12.75"/>
    <row r="25543" ht="12.75"/>
    <row r="25544" ht="12.75"/>
    <row r="25545" ht="12.75"/>
    <row r="25546" ht="12.75"/>
    <row r="25547" ht="12.75"/>
    <row r="25548" ht="12.75"/>
    <row r="25549" ht="12.75"/>
    <row r="25550" ht="12.75"/>
    <row r="25551" ht="12.75"/>
    <row r="25552" ht="12.75"/>
    <row r="25553" ht="12.75"/>
    <row r="25554" ht="12.75"/>
    <row r="25555" ht="12.75"/>
    <row r="25556" ht="12.75"/>
    <row r="25557" ht="12.75"/>
    <row r="25558" ht="12.75"/>
    <row r="25559" ht="12.75"/>
    <row r="25560" ht="12.75"/>
    <row r="25561" ht="12.75"/>
    <row r="25562" ht="12.75"/>
    <row r="25563" ht="12.75"/>
    <row r="25564" ht="12.75"/>
    <row r="25565" ht="12.75"/>
    <row r="25566" ht="12.75"/>
    <row r="25567" ht="12.75"/>
    <row r="25568" ht="12.75"/>
    <row r="25569" ht="12.75"/>
    <row r="25570" ht="12.75"/>
    <row r="25571" ht="12.75"/>
    <row r="25572" ht="12.75"/>
    <row r="25573" ht="12.75"/>
    <row r="25574" ht="12.75"/>
    <row r="25575" ht="12.75"/>
    <row r="25576" ht="12.75"/>
    <row r="25577" ht="12.75"/>
    <row r="25578" ht="12.75"/>
    <row r="25579" ht="12.75"/>
    <row r="25580" ht="12.75"/>
    <row r="25581" ht="12.75"/>
    <row r="25582" ht="12.75"/>
    <row r="25583" ht="12.75"/>
    <row r="25584" ht="12.75"/>
    <row r="25585" ht="12.75"/>
    <row r="25586" ht="12.75"/>
    <row r="25587" ht="12.75"/>
    <row r="25588" ht="12.75"/>
    <row r="25589" ht="12.75"/>
    <row r="25590" ht="12.75"/>
    <row r="25591" ht="12.75"/>
    <row r="25592" ht="12.75"/>
    <row r="25593" ht="12.75"/>
    <row r="25594" ht="12.75"/>
    <row r="25595" ht="12.75"/>
    <row r="25596" ht="12.75"/>
    <row r="25597" ht="12.75"/>
    <row r="25598" ht="12.75"/>
    <row r="25599" ht="12.75"/>
    <row r="25600" ht="12.75"/>
    <row r="25601" ht="12.75"/>
    <row r="25602" ht="12.75"/>
    <row r="25603" ht="12.75"/>
    <row r="25604" ht="12.75"/>
    <row r="25605" ht="12.75"/>
    <row r="25606" ht="12.75"/>
    <row r="25607" ht="12.75"/>
    <row r="25608" ht="12.75"/>
    <row r="25609" ht="12.75"/>
    <row r="25610" ht="12.75"/>
    <row r="25611" ht="12.75"/>
    <row r="25612" ht="12.75"/>
    <row r="25613" ht="12.75"/>
    <row r="25614" ht="12.75"/>
    <row r="25615" ht="12.75"/>
    <row r="25616" ht="12.75"/>
    <row r="25617" ht="12.75"/>
    <row r="25618" ht="12.75"/>
    <row r="25619" ht="12.75"/>
    <row r="25620" ht="12.75"/>
    <row r="25621" ht="12.75"/>
    <row r="25622" ht="12.75"/>
    <row r="25623" ht="12.75"/>
    <row r="25624" ht="12.75"/>
    <row r="25625" ht="12.75"/>
    <row r="25626" ht="12.75"/>
    <row r="25627" ht="12.75"/>
    <row r="25628" ht="12.75"/>
    <row r="25629" ht="12.75"/>
    <row r="25630" ht="12.75"/>
    <row r="25631" ht="12.75"/>
    <row r="25632" ht="12.75"/>
    <row r="25633" ht="12.75"/>
    <row r="25634" ht="12.75"/>
    <row r="25635" ht="12.75"/>
    <row r="25636" ht="12.75"/>
    <row r="25637" ht="12.75"/>
    <row r="25638" ht="12.75"/>
    <row r="25639" ht="12.75"/>
    <row r="25640" ht="12.75"/>
    <row r="25641" ht="12.75"/>
    <row r="25642" ht="12.75"/>
    <row r="25643" ht="12.75"/>
    <row r="25644" ht="12.75"/>
    <row r="25645" ht="12.75"/>
    <row r="25646" ht="12.75"/>
    <row r="25647" ht="12.75"/>
    <row r="25648" ht="12.75"/>
    <row r="25649" ht="12.75"/>
    <row r="25650" ht="12.75"/>
    <row r="25651" ht="12.75"/>
    <row r="25652" ht="12.75"/>
    <row r="25653" ht="12.75"/>
    <row r="25654" ht="12.75"/>
    <row r="25655" ht="12.75"/>
    <row r="25656" ht="12.75"/>
    <row r="25657" ht="12.75"/>
    <row r="25658" ht="12.75"/>
    <row r="25659" ht="12.75"/>
    <row r="25660" ht="12.75"/>
    <row r="25661" ht="12.75"/>
    <row r="25662" ht="12.75"/>
    <row r="25663" ht="12.75"/>
    <row r="25664" ht="12.75"/>
    <row r="25665" ht="12.75"/>
    <row r="25666" ht="12.75"/>
    <row r="25667" ht="12.75"/>
    <row r="25668" ht="12.75"/>
    <row r="25669" ht="12.75"/>
    <row r="25670" ht="12.75"/>
    <row r="25671" ht="12.75"/>
    <row r="25672" ht="12.75"/>
    <row r="25673" ht="12.75"/>
    <row r="25674" ht="12.75"/>
    <row r="25675" ht="12.75"/>
    <row r="25676" ht="12.75"/>
    <row r="25677" ht="12.75"/>
    <row r="25678" ht="12.75"/>
    <row r="25679" ht="12.75"/>
    <row r="25680" ht="12.75"/>
    <row r="25681" ht="12.75"/>
    <row r="25682" ht="12.75"/>
    <row r="25683" ht="12.75"/>
    <row r="25684" ht="12.75"/>
    <row r="25685" ht="12.75"/>
    <row r="25686" ht="12.75"/>
    <row r="25687" ht="12.75"/>
    <row r="25688" ht="12.75"/>
    <row r="25689" ht="12.75"/>
    <row r="25690" ht="12.75"/>
    <row r="25691" ht="12.75"/>
    <row r="25692" ht="12.75"/>
    <row r="25693" ht="12.75"/>
    <row r="25694" ht="12.75"/>
    <row r="25695" ht="12.75"/>
    <row r="25696" ht="12.75"/>
    <row r="25697" ht="12.75"/>
    <row r="25698" ht="12.75"/>
    <row r="25699" ht="12.75"/>
    <row r="25700" ht="12.75"/>
    <row r="25701" ht="12.75"/>
    <row r="25702" ht="12.75"/>
    <row r="25703" ht="12.75"/>
    <row r="25704" ht="12.75"/>
    <row r="25705" ht="12.75"/>
    <row r="25706" ht="12.75"/>
    <row r="25707" ht="12.75"/>
    <row r="25708" ht="12.75"/>
    <row r="25709" ht="12.75"/>
    <row r="25710" ht="12.75"/>
    <row r="25711" ht="12.75"/>
    <row r="25712" ht="12.75"/>
    <row r="25713" ht="12.75"/>
    <row r="25714" ht="12.75"/>
    <row r="25715" ht="12.75"/>
    <row r="25716" ht="12.75"/>
    <row r="25717" ht="12.75"/>
    <row r="25718" ht="12.75"/>
    <row r="25719" ht="12.75"/>
    <row r="25720" ht="12.75"/>
    <row r="25721" ht="12.75"/>
    <row r="25722" ht="12.75"/>
    <row r="25723" ht="12.75"/>
    <row r="25724" ht="12.75"/>
    <row r="25725" ht="12.75"/>
    <row r="25726" ht="12.75"/>
    <row r="25727" ht="12.75"/>
    <row r="25728" ht="12.75"/>
    <row r="25729" ht="12.75"/>
    <row r="25730" ht="12.75"/>
    <row r="25731" ht="12.75"/>
    <row r="25732" ht="12.75"/>
    <row r="25733" ht="12.75"/>
    <row r="25734" ht="12.75"/>
    <row r="25735" ht="12.75"/>
    <row r="25736" ht="12.75"/>
    <row r="25737" ht="12.75"/>
    <row r="25738" ht="12.75"/>
    <row r="25739" ht="12.75"/>
    <row r="25740" ht="12.75"/>
    <row r="25741" ht="12.75"/>
    <row r="25742" ht="12.75"/>
    <row r="25743" ht="12.75"/>
    <row r="25744" ht="12.75"/>
    <row r="25745" ht="12.75"/>
    <row r="25746" ht="12.75"/>
    <row r="25747" ht="12.75"/>
    <row r="25748" ht="12.75"/>
    <row r="25749" ht="12.75"/>
    <row r="25750" ht="12.75"/>
    <row r="25751" ht="12.75"/>
    <row r="25752" ht="12.75"/>
    <row r="25753" ht="12.75"/>
    <row r="25754" ht="12.75"/>
    <row r="25755" ht="12.75"/>
    <row r="25756" ht="12.75"/>
    <row r="25757" ht="12.75"/>
    <row r="25758" ht="12.75"/>
    <row r="25759" ht="12.75"/>
    <row r="25760" ht="12.75"/>
    <row r="25761" ht="12.75"/>
    <row r="25762" ht="12.75"/>
    <row r="25763" ht="12.75"/>
    <row r="25764" ht="12.75"/>
    <row r="25765" ht="12.75"/>
    <row r="25766" ht="12.75"/>
    <row r="25767" ht="12.75"/>
    <row r="25768" ht="12.75"/>
    <row r="25769" ht="12.75"/>
    <row r="25770" ht="12.75"/>
    <row r="25771" ht="12.75"/>
    <row r="25772" ht="12.75"/>
    <row r="25773" ht="12.75"/>
    <row r="25774" ht="12.75"/>
    <row r="25775" ht="12.75"/>
    <row r="25776" ht="12.75"/>
    <row r="25777" ht="12.75"/>
    <row r="25778" ht="12.75"/>
    <row r="25779" ht="12.75"/>
    <row r="25780" ht="12.75"/>
    <row r="25781" ht="12.75"/>
    <row r="25782" ht="12.75"/>
    <row r="25783" ht="12.75"/>
    <row r="25784" ht="12.75"/>
    <row r="25785" ht="12.75"/>
    <row r="25786" ht="12.75"/>
    <row r="25787" ht="12.75"/>
    <row r="25788" ht="12.75"/>
    <row r="25789" ht="12.75"/>
    <row r="25790" ht="12.75"/>
    <row r="25791" ht="12.75"/>
    <row r="25792" ht="12.75"/>
    <row r="25793" ht="12.75"/>
    <row r="25794" ht="12.75"/>
    <row r="25795" ht="12.75"/>
    <row r="25796" ht="12.75"/>
    <row r="25797" ht="12.75"/>
    <row r="25798" ht="12.75"/>
    <row r="25799" ht="12.75"/>
    <row r="25800" ht="12.75"/>
    <row r="25801" ht="12.75"/>
    <row r="25802" ht="12.75"/>
    <row r="25803" ht="12.75"/>
    <row r="25804" ht="12.75"/>
    <row r="25805" ht="12.75"/>
    <row r="25806" ht="12.75"/>
    <row r="25807" ht="12.75"/>
    <row r="25808" ht="12.75"/>
    <row r="25809" ht="12.75"/>
    <row r="25810" ht="12.75"/>
    <row r="25811" ht="12.75"/>
    <row r="25812" ht="12.75"/>
    <row r="25813" ht="12.75"/>
    <row r="25814" ht="12.75"/>
    <row r="25815" ht="12.75"/>
    <row r="25816" ht="12.75"/>
    <row r="25817" ht="12.75"/>
    <row r="25818" ht="12.75"/>
    <row r="25819" ht="12.75"/>
    <row r="25820" ht="12.75"/>
    <row r="25821" ht="12.75"/>
    <row r="25822" ht="12.75"/>
    <row r="25823" ht="12.75"/>
    <row r="25824" ht="12.75"/>
    <row r="25825" ht="12.75"/>
    <row r="25826" ht="12.75"/>
    <row r="25827" ht="12.75"/>
    <row r="25828" ht="12.75"/>
    <row r="25829" ht="12.75"/>
    <row r="25830" ht="12.75"/>
    <row r="25831" ht="12.75"/>
    <row r="25832" ht="12.75"/>
    <row r="25833" ht="12.75"/>
    <row r="25834" ht="12.75"/>
    <row r="25835" ht="12.75"/>
    <row r="25836" ht="12.75"/>
    <row r="25837" ht="12.75"/>
    <row r="25838" ht="12.75"/>
    <row r="25839" ht="12.75"/>
    <row r="25840" ht="12.75"/>
    <row r="25841" ht="12.75"/>
    <row r="25842" ht="12.75"/>
    <row r="25843" ht="12.75"/>
    <row r="25844" ht="12.75"/>
    <row r="25845" ht="12.75"/>
    <row r="25846" ht="12.75"/>
    <row r="25847" ht="12.75"/>
    <row r="25848" ht="12.75"/>
    <row r="25849" ht="12.75"/>
    <row r="25850" ht="12.75"/>
    <row r="25851" ht="12.75"/>
    <row r="25852" ht="12.75"/>
    <row r="25853" ht="12.75"/>
    <row r="25854" ht="12.75"/>
    <row r="25855" ht="12.75"/>
    <row r="25856" ht="12.75"/>
    <row r="25857" ht="12.75"/>
    <row r="25858" ht="12.75"/>
    <row r="25859" ht="12.75"/>
    <row r="25860" ht="12.75"/>
    <row r="25861" ht="12.75"/>
    <row r="25862" ht="12.75"/>
    <row r="25863" ht="12.75"/>
    <row r="25864" ht="12.75"/>
    <row r="25865" ht="12.75"/>
    <row r="25866" ht="12.75"/>
    <row r="25867" ht="12.75"/>
    <row r="25868" ht="12.75"/>
    <row r="25869" ht="12.75"/>
    <row r="25870" ht="12.75"/>
    <row r="25871" ht="12.75"/>
    <row r="25872" ht="12.75"/>
    <row r="25873" ht="12.75"/>
    <row r="25874" ht="12.75"/>
    <row r="25875" ht="12.75"/>
    <row r="25876" ht="12.75"/>
    <row r="25877" ht="12.75"/>
    <row r="25878" ht="12.75"/>
    <row r="25879" ht="12.75"/>
    <row r="25880" ht="12.75"/>
    <row r="25881" ht="12.75"/>
    <row r="25882" ht="12.75"/>
    <row r="25883" ht="12.75"/>
    <row r="25884" ht="12.75"/>
    <row r="25885" ht="12.75"/>
    <row r="25886" ht="12.75"/>
    <row r="25887" ht="12.75"/>
    <row r="25888" ht="12.75"/>
    <row r="25889" ht="12.75"/>
    <row r="25890" ht="12.75"/>
    <row r="25891" ht="12.75"/>
    <row r="25892" ht="12.75"/>
    <row r="25893" ht="12.75"/>
    <row r="25894" ht="12.75"/>
    <row r="25895" ht="12.75"/>
    <row r="25896" ht="12.75"/>
    <row r="25897" ht="12.75"/>
    <row r="25898" ht="12.75"/>
    <row r="25899" ht="12.75"/>
    <row r="25900" ht="12.75"/>
    <row r="25901" ht="12.75"/>
    <row r="25902" ht="12.75"/>
    <row r="25903" ht="12.75"/>
    <row r="25904" ht="12.75"/>
    <row r="25905" ht="12.75"/>
    <row r="25906" ht="12.75"/>
    <row r="25907" ht="12.75"/>
    <row r="25908" ht="12.75"/>
    <row r="25909" ht="12.75"/>
    <row r="25910" ht="12.75"/>
    <row r="25911" ht="12.75"/>
    <row r="25912" ht="12.75"/>
    <row r="25913" ht="12.75"/>
    <row r="25914" ht="12.75"/>
    <row r="25915" ht="12.75"/>
    <row r="25916" ht="12.75"/>
    <row r="25917" ht="12.75"/>
    <row r="25918" ht="12.75"/>
    <row r="25919" ht="12.75"/>
    <row r="25920" ht="12.75"/>
    <row r="25921" ht="12.75"/>
    <row r="25922" ht="12.75"/>
    <row r="25923" ht="12.75"/>
    <row r="25924" ht="12.75"/>
    <row r="25925" ht="12.75"/>
    <row r="25926" ht="12.75"/>
    <row r="25927" ht="12.75"/>
    <row r="25928" ht="12.75"/>
    <row r="25929" ht="12.75"/>
    <row r="25930" ht="12.75"/>
    <row r="25931" ht="12.75"/>
    <row r="25932" ht="12.75"/>
    <row r="25933" ht="12.75"/>
    <row r="25934" ht="12.75"/>
    <row r="25935" ht="12.75"/>
    <row r="25936" ht="12.75"/>
    <row r="25937" ht="12.75"/>
    <row r="25938" ht="12.75"/>
    <row r="25939" ht="12.75"/>
    <row r="25940" ht="12.75"/>
    <row r="25941" ht="12.75"/>
    <row r="25942" ht="12.75"/>
    <row r="25943" ht="12.75"/>
    <row r="25944" ht="12.75"/>
    <row r="25945" ht="12.75"/>
    <row r="25946" ht="12.75"/>
    <row r="25947" ht="12.75"/>
    <row r="25948" ht="12.75"/>
    <row r="25949" ht="12.75"/>
    <row r="25950" ht="12.75"/>
    <row r="25951" ht="12.75"/>
    <row r="25952" ht="12.75"/>
    <row r="25953" ht="12.75"/>
    <row r="25954" ht="12.75"/>
    <row r="25955" ht="12.75"/>
    <row r="25956" ht="12.75"/>
    <row r="25957" ht="12.75"/>
    <row r="25958" ht="12.75"/>
    <row r="25959" ht="12.75"/>
    <row r="25960" ht="12.75"/>
    <row r="25961" ht="12.75"/>
    <row r="25962" ht="12.75"/>
    <row r="25963" ht="12.75"/>
    <row r="25964" ht="12.75"/>
    <row r="25965" ht="12.75"/>
    <row r="25966" ht="12.75"/>
    <row r="25967" ht="12.75"/>
    <row r="25968" ht="12.75"/>
    <row r="25969" ht="12.75"/>
    <row r="25970" ht="12.75"/>
    <row r="25971" ht="12.75"/>
    <row r="25972" ht="12.75"/>
    <row r="25973" ht="12.75"/>
    <row r="25974" ht="12.75"/>
    <row r="25975" ht="12.75"/>
    <row r="25976" ht="12.75"/>
    <row r="25977" ht="12.75"/>
    <row r="25978" ht="12.75"/>
    <row r="25979" ht="12.75"/>
    <row r="25980" ht="12.75"/>
    <row r="25981" ht="12.75"/>
    <row r="25982" ht="12.75"/>
    <row r="25983" ht="12.75"/>
    <row r="25984" ht="12.75"/>
    <row r="25985" ht="12.75"/>
    <row r="25986" ht="12.75"/>
    <row r="25987" ht="12.75"/>
    <row r="25988" ht="12.75"/>
    <row r="25989" ht="12.75"/>
    <row r="25990" ht="12.75"/>
    <row r="25991" ht="12.75"/>
    <row r="25992" ht="12.75"/>
    <row r="25993" ht="12.75"/>
    <row r="25994" ht="12.75"/>
    <row r="25995" ht="12.75"/>
    <row r="25996" ht="12.75"/>
    <row r="25997" ht="12.75"/>
    <row r="25998" ht="12.75"/>
    <row r="25999" ht="12.75"/>
    <row r="26000" ht="12.75"/>
    <row r="26001" ht="12.75"/>
    <row r="26002" ht="12.75"/>
    <row r="26003" ht="12.75"/>
    <row r="26004" ht="12.75"/>
    <row r="26005" ht="12.75"/>
    <row r="26006" ht="12.75"/>
    <row r="26007" ht="12.75"/>
    <row r="26008" ht="12.75"/>
    <row r="26009" ht="12.75"/>
    <row r="26010" ht="12.75"/>
    <row r="26011" ht="12.75"/>
    <row r="26012" ht="12.75"/>
    <row r="26013" ht="12.75"/>
    <row r="26014" ht="12.75"/>
    <row r="26015" ht="12.75"/>
    <row r="26016" ht="12.75"/>
    <row r="26017" ht="12.75"/>
    <row r="26018" ht="12.75"/>
    <row r="26019" ht="12.75"/>
    <row r="26020" ht="12.75"/>
    <row r="26021" ht="12.75"/>
    <row r="26022" ht="12.75"/>
    <row r="26023" ht="12.75"/>
    <row r="26024" ht="12.75"/>
    <row r="26025" ht="12.75"/>
    <row r="26026" ht="12.75"/>
    <row r="26027" ht="12.75"/>
    <row r="26028" ht="12.75"/>
    <row r="26029" ht="12.75"/>
    <row r="26030" ht="12.75"/>
    <row r="26031" ht="12.75"/>
    <row r="26032" ht="12.75"/>
    <row r="26033" ht="12.75"/>
    <row r="26034" ht="12.75"/>
    <row r="26035" ht="12.75"/>
    <row r="26036" ht="12.75"/>
    <row r="26037" ht="12.75"/>
    <row r="26038" ht="12.75"/>
    <row r="26039" ht="12.75"/>
    <row r="26040" ht="12.75"/>
    <row r="26041" ht="12.75"/>
    <row r="26042" ht="12.75"/>
    <row r="26043" ht="12.75"/>
    <row r="26044" ht="12.75"/>
    <row r="26045" ht="12.75"/>
    <row r="26046" ht="12.75"/>
    <row r="26047" ht="12.75"/>
    <row r="26048" ht="12.75"/>
    <row r="26049" ht="12.75"/>
    <row r="26050" ht="12.75"/>
    <row r="26051" ht="12.75"/>
    <row r="26052" ht="12.75"/>
    <row r="26053" ht="12.75"/>
    <row r="26054" ht="12.75"/>
    <row r="26055" ht="12.75"/>
    <row r="26056" ht="12.75"/>
    <row r="26057" ht="12.75"/>
    <row r="26058" ht="12.75"/>
    <row r="26059" ht="12.75"/>
    <row r="26060" ht="12.75"/>
    <row r="26061" ht="12.75"/>
    <row r="26062" ht="12.75"/>
    <row r="26063" ht="12.75"/>
    <row r="26064" ht="12.75"/>
    <row r="26065" ht="12.75"/>
    <row r="26066" ht="12.75"/>
    <row r="26067" ht="12.75"/>
    <row r="26068" ht="12.75"/>
    <row r="26069" ht="12.75"/>
    <row r="26070" ht="12.75"/>
    <row r="26071" ht="12.75"/>
    <row r="26072" ht="12.75"/>
    <row r="26073" ht="12.75"/>
    <row r="26074" ht="12.75"/>
    <row r="26075" ht="12.75"/>
    <row r="26076" ht="12.75"/>
    <row r="26077" ht="12.75"/>
    <row r="26078" ht="12.75"/>
    <row r="26079" ht="12.75"/>
    <row r="26080" ht="12.75"/>
    <row r="26081" ht="12.75"/>
    <row r="26082" ht="12.75"/>
    <row r="26083" ht="12.75"/>
    <row r="26084" ht="12.75"/>
    <row r="26085" ht="12.75"/>
    <row r="26086" ht="12.75"/>
    <row r="26087" ht="12.75"/>
    <row r="26088" ht="12.75"/>
    <row r="26089" ht="12.75"/>
    <row r="26090" ht="12.75"/>
    <row r="26091" ht="12.75"/>
    <row r="26092" ht="12.75"/>
    <row r="26093" ht="12.75"/>
    <row r="26094" ht="12.75"/>
    <row r="26095" ht="12.75"/>
    <row r="26096" ht="12.75"/>
    <row r="26097" ht="12.75"/>
    <row r="26098" ht="12.75"/>
    <row r="26099" ht="12.75"/>
    <row r="26100" ht="12.75"/>
    <row r="26101" ht="12.75"/>
    <row r="26102" ht="12.75"/>
    <row r="26103" ht="12.75"/>
    <row r="26104" ht="12.75"/>
    <row r="26105" ht="12.75"/>
    <row r="26106" ht="12.75"/>
    <row r="26107" ht="12.75"/>
    <row r="26108" ht="12.75"/>
    <row r="26109" ht="12.75"/>
    <row r="26110" ht="12.75"/>
    <row r="26111" ht="12.75"/>
    <row r="26112" ht="12.75"/>
    <row r="26113" ht="12.75"/>
    <row r="26114" ht="12.75"/>
    <row r="26115" ht="12.75"/>
    <row r="26116" ht="12.75"/>
    <row r="26117" ht="12.75"/>
    <row r="26118" ht="12.75"/>
    <row r="26119" ht="12.75"/>
    <row r="26120" ht="12.75"/>
    <row r="26121" ht="12.75"/>
    <row r="26122" ht="12.75"/>
    <row r="26123" ht="12.75"/>
    <row r="26124" ht="12.75"/>
    <row r="26125" ht="12.75"/>
    <row r="26126" ht="12.75"/>
    <row r="26127" ht="12.75"/>
    <row r="26128" ht="12.75"/>
    <row r="26129" ht="12.75"/>
    <row r="26130" ht="12.75"/>
    <row r="26131" ht="12.75"/>
    <row r="26132" ht="12.75"/>
    <row r="26133" ht="12.75"/>
    <row r="26134" ht="12.75"/>
    <row r="26135" ht="12.75"/>
    <row r="26136" ht="12.75"/>
    <row r="26137" ht="12.75"/>
    <row r="26138" ht="12.75"/>
    <row r="26139" ht="12.75"/>
    <row r="26140" ht="12.75"/>
    <row r="26141" ht="12.75"/>
    <row r="26142" ht="12.75"/>
    <row r="26143" ht="12.75"/>
    <row r="26144" ht="12.75"/>
    <row r="26145" ht="12.75"/>
    <row r="26146" ht="12.75"/>
    <row r="26147" ht="12.75"/>
    <row r="26148" ht="12.75"/>
    <row r="26149" ht="12.75"/>
    <row r="26150" ht="12.75"/>
    <row r="26151" ht="12.75"/>
    <row r="26152" ht="12.75"/>
    <row r="26153" ht="12.75"/>
    <row r="26154" ht="12.75"/>
    <row r="26155" ht="12.75"/>
    <row r="26156" ht="12.75"/>
    <row r="26157" ht="12.75"/>
    <row r="26158" ht="12.75"/>
    <row r="26159" ht="12.75"/>
    <row r="26160" ht="12.75"/>
    <row r="26161" ht="12.75"/>
    <row r="26162" ht="12.75"/>
    <row r="26163" ht="12.75"/>
    <row r="26164" ht="12.75"/>
    <row r="26165" ht="12.75"/>
    <row r="26166" ht="12.75"/>
    <row r="26167" ht="12.75"/>
    <row r="26168" ht="12.75"/>
    <row r="26169" ht="12.75"/>
    <row r="26170" ht="12.75"/>
    <row r="26171" ht="12.75"/>
    <row r="26172" ht="12.75"/>
    <row r="26173" ht="12.75"/>
    <row r="26174" ht="12.75"/>
    <row r="26175" ht="12.75"/>
    <row r="26176" ht="12.75"/>
    <row r="26177" ht="12.75"/>
    <row r="26178" ht="12.75"/>
    <row r="26179" ht="12.75"/>
    <row r="26180" ht="12.75"/>
    <row r="26181" ht="12.75"/>
    <row r="26182" ht="12.75"/>
    <row r="26183" ht="12.75"/>
    <row r="26184" ht="12.75"/>
    <row r="26185" ht="12.75"/>
    <row r="26186" ht="12.75"/>
    <row r="26187" ht="12.75"/>
    <row r="26188" ht="12.75"/>
    <row r="26189" ht="12.75"/>
    <row r="26190" ht="12.75"/>
    <row r="26191" ht="12.75"/>
    <row r="26192" ht="12.75"/>
    <row r="26193" ht="12.75"/>
    <row r="26194" ht="12.75"/>
    <row r="26195" ht="12.75"/>
    <row r="26196" ht="12.75"/>
    <row r="26197" ht="12.75"/>
    <row r="26198" ht="12.75"/>
    <row r="26199" ht="12.75"/>
    <row r="26200" ht="12.75"/>
    <row r="26201" ht="12.75"/>
    <row r="26202" ht="12.75"/>
    <row r="26203" ht="12.75"/>
    <row r="26204" ht="12.75"/>
    <row r="26205" ht="12.75"/>
    <row r="26206" ht="12.75"/>
    <row r="26207" ht="12.75"/>
    <row r="26208" ht="12.75"/>
    <row r="26209" ht="12.75"/>
    <row r="26210" ht="12.75"/>
    <row r="26211" ht="12.75"/>
    <row r="26212" ht="12.75"/>
    <row r="26213" ht="12.75"/>
    <row r="26214" ht="12.75"/>
    <row r="26215" ht="12.75"/>
    <row r="26216" ht="12.75"/>
    <row r="26217" ht="12.75"/>
    <row r="26218" ht="12.75"/>
    <row r="26219" ht="12.75"/>
    <row r="26220" ht="12.75"/>
    <row r="26221" ht="12.75"/>
    <row r="26222" ht="12.75"/>
    <row r="26223" ht="12.75"/>
    <row r="26224" ht="12.75"/>
    <row r="26225" ht="12.75"/>
    <row r="26226" ht="12.75"/>
    <row r="26227" ht="12.75"/>
    <row r="26228" ht="12.75"/>
    <row r="26229" ht="12.75"/>
    <row r="26230" ht="12.75"/>
    <row r="26231" ht="12.75"/>
    <row r="26232" ht="12.75"/>
    <row r="26233" ht="12.75"/>
    <row r="26234" ht="12.75"/>
    <row r="26235" ht="12.75"/>
    <row r="26236" ht="12.75"/>
    <row r="26237" ht="12.75"/>
    <row r="26238" ht="12.75"/>
    <row r="26239" ht="12.75"/>
    <row r="26240" ht="12.75"/>
    <row r="26241" ht="12.75"/>
    <row r="26242" ht="12.75"/>
    <row r="26243" ht="12.75"/>
    <row r="26244" ht="12.75"/>
    <row r="26245" ht="12.75"/>
    <row r="26246" ht="12.75"/>
    <row r="26247" ht="12.75"/>
    <row r="26248" ht="12.75"/>
    <row r="26249" ht="12.75"/>
    <row r="26250" ht="12.75"/>
    <row r="26251" ht="12.75"/>
    <row r="26252" ht="12.75"/>
    <row r="26253" ht="12.75"/>
    <row r="26254" ht="12.75"/>
    <row r="26255" ht="12.75"/>
    <row r="26256" ht="12.75"/>
    <row r="26257" ht="12.75"/>
    <row r="26258" ht="12.75"/>
    <row r="26259" ht="12.75"/>
    <row r="26260" ht="12.75"/>
    <row r="26261" ht="12.75"/>
    <row r="26262" ht="12.75"/>
    <row r="26263" ht="12.75"/>
    <row r="26264" ht="12.75"/>
    <row r="26265" ht="12.75"/>
    <row r="26266" ht="12.75"/>
    <row r="26267" ht="12.75"/>
    <row r="26268" ht="12.75"/>
    <row r="26269" ht="12.75"/>
    <row r="26270" ht="12.75"/>
    <row r="26271" ht="12.75"/>
    <row r="26272" ht="12.75"/>
    <row r="26273" ht="12.75"/>
    <row r="26274" ht="12.75"/>
    <row r="26275" ht="12.75"/>
    <row r="26276" ht="12.75"/>
    <row r="26277" ht="12.75"/>
    <row r="26278" ht="12.75"/>
    <row r="26279" ht="12.75"/>
    <row r="26280" ht="12.75"/>
    <row r="26281" ht="12.75"/>
    <row r="26282" ht="12.75"/>
    <row r="26283" ht="12.75"/>
    <row r="26284" ht="12.75"/>
    <row r="26285" ht="12.75"/>
    <row r="26286" ht="12.75"/>
    <row r="26287" ht="12.75"/>
    <row r="26288" ht="12.75"/>
    <row r="26289" ht="12.75"/>
    <row r="26290" ht="12.75"/>
    <row r="26291" ht="12.75"/>
    <row r="26292" ht="12.75"/>
    <row r="26293" ht="12.75"/>
    <row r="26294" ht="12.75"/>
    <row r="26295" ht="12.75"/>
    <row r="26296" ht="12.75"/>
    <row r="26297" ht="12.75"/>
    <row r="26298" ht="12.75"/>
    <row r="26299" ht="12.75"/>
    <row r="26300" ht="12.75"/>
    <row r="26301" ht="12.75"/>
    <row r="26302" ht="12.75"/>
    <row r="26303" ht="12.75"/>
    <row r="26304" ht="12.75"/>
    <row r="26305" ht="12.75"/>
    <row r="26306" ht="12.75"/>
    <row r="26307" ht="12.75"/>
    <row r="26308" ht="12.75"/>
    <row r="26309" ht="12.75"/>
    <row r="26310" ht="12.75"/>
    <row r="26311" ht="12.75"/>
    <row r="26312" ht="12.75"/>
    <row r="26313" ht="12.75"/>
    <row r="26314" ht="12.75"/>
    <row r="26315" ht="12.75"/>
    <row r="26316" ht="12.75"/>
    <row r="26317" ht="12.75"/>
    <row r="26318" ht="12.75"/>
    <row r="26319" ht="12.75"/>
    <row r="26320" ht="12.75"/>
    <row r="26321" ht="12.75"/>
    <row r="26322" ht="12.75"/>
    <row r="26323" ht="12.75"/>
    <row r="26324" ht="12.75"/>
    <row r="26325" ht="12.75"/>
    <row r="26326" ht="12.75"/>
    <row r="26327" ht="12.75"/>
    <row r="26328" ht="12.75"/>
    <row r="26329" ht="12.75"/>
    <row r="26330" ht="12.75"/>
    <row r="26331" ht="12.75"/>
    <row r="26332" ht="12.75"/>
    <row r="26333" ht="12.75"/>
    <row r="26334" ht="12.75"/>
    <row r="26335" ht="12.75"/>
    <row r="26336" ht="12.75"/>
    <row r="26337" ht="12.75"/>
    <row r="26338" ht="12.75"/>
    <row r="26339" ht="12.75"/>
    <row r="26340" ht="12.75"/>
    <row r="26341" ht="12.75"/>
    <row r="26342" ht="12.75"/>
    <row r="26343" ht="12.75"/>
    <row r="26344" ht="12.75"/>
    <row r="26345" ht="12.75"/>
    <row r="26346" ht="12.75"/>
    <row r="26347" ht="12.75"/>
    <row r="26348" ht="12.75"/>
    <row r="26349" ht="12.75"/>
    <row r="26350" ht="12.75"/>
    <row r="26351" ht="12.75"/>
    <row r="26352" ht="12.75"/>
    <row r="26353" ht="12.75"/>
    <row r="26354" ht="12.75"/>
    <row r="26355" ht="12.75"/>
    <row r="26356" ht="12.75"/>
    <row r="26357" ht="12.75"/>
    <row r="26358" ht="12.75"/>
    <row r="26359" ht="12.75"/>
    <row r="26360" ht="12.75"/>
    <row r="26361" ht="12.75"/>
    <row r="26362" ht="12.75"/>
    <row r="26363" ht="12.75"/>
    <row r="26364" ht="12.75"/>
    <row r="26365" ht="12.75"/>
    <row r="26366" ht="12.75"/>
    <row r="26367" ht="12.75"/>
    <row r="26368" ht="12.75"/>
    <row r="26369" ht="12.75"/>
    <row r="26370" ht="12.75"/>
    <row r="26371" ht="12.75"/>
    <row r="26372" ht="12.75"/>
    <row r="26373" ht="12.75"/>
    <row r="26374" ht="12.75"/>
    <row r="26375" ht="12.75"/>
    <row r="26376" ht="12.75"/>
    <row r="26377" ht="12.75"/>
    <row r="26378" ht="12.75"/>
    <row r="26379" ht="12.75"/>
    <row r="26380" ht="12.75"/>
    <row r="26381" ht="12.75"/>
    <row r="26382" ht="12.75"/>
    <row r="26383" ht="12.75"/>
    <row r="26384" ht="12.75"/>
    <row r="26385" ht="12.75"/>
    <row r="26386" ht="12.75"/>
    <row r="26387" ht="12.75"/>
    <row r="26388" ht="12.75"/>
    <row r="26389" ht="12.75"/>
    <row r="26390" ht="12.75"/>
    <row r="26391" ht="12.75"/>
    <row r="26392" ht="12.75"/>
    <row r="26393" ht="12.75"/>
    <row r="26394" ht="12.75"/>
    <row r="26395" ht="12.75"/>
    <row r="26396" ht="12.75"/>
    <row r="26397" ht="12.75"/>
    <row r="26398" ht="12.75"/>
    <row r="26399" ht="12.75"/>
    <row r="26400" ht="12.75"/>
    <row r="26401" ht="12.75"/>
    <row r="26402" ht="12.75"/>
    <row r="26403" ht="12.75"/>
    <row r="26404" ht="12.75"/>
    <row r="26405" ht="12.75"/>
    <row r="26406" ht="12.75"/>
    <row r="26407" ht="12.75"/>
    <row r="26408" ht="12.75"/>
    <row r="26409" ht="12.75"/>
    <row r="26410" ht="12.75"/>
    <row r="26411" ht="12.75"/>
    <row r="26412" ht="12.75"/>
    <row r="26413" ht="12.75"/>
    <row r="26414" ht="12.75"/>
    <row r="26415" ht="12.75"/>
    <row r="26416" ht="12.75"/>
    <row r="26417" ht="12.75"/>
    <row r="26418" ht="12.75"/>
    <row r="26419" ht="12.75"/>
    <row r="26420" ht="12.75"/>
    <row r="26421" ht="12.75"/>
    <row r="26422" ht="12.75"/>
    <row r="26423" ht="12.75"/>
    <row r="26424" ht="12.75"/>
    <row r="26425" ht="12.75"/>
    <row r="26426" ht="12.75"/>
    <row r="26427" ht="12.75"/>
    <row r="26428" ht="12.75"/>
    <row r="26429" ht="12.75"/>
    <row r="26430" ht="12.75"/>
    <row r="26431" ht="12.75"/>
    <row r="26432" ht="12.75"/>
    <row r="26433" ht="12.75"/>
    <row r="26434" ht="12.75"/>
    <row r="26435" ht="12.75"/>
    <row r="26436" ht="12.75"/>
    <row r="26437" ht="12.75"/>
    <row r="26438" ht="12.75"/>
    <row r="26439" ht="12.75"/>
    <row r="26440" ht="12.75"/>
    <row r="26441" ht="12.75"/>
    <row r="26442" ht="12.75"/>
    <row r="26443" ht="12.75"/>
    <row r="26444" ht="12.75"/>
    <row r="26445" ht="12.75"/>
    <row r="26446" ht="12.75"/>
    <row r="26447" ht="12.75"/>
    <row r="26448" ht="12.75"/>
    <row r="26449" ht="12.75"/>
    <row r="26450" ht="12.75"/>
    <row r="26451" ht="12.75"/>
    <row r="26452" ht="12.75"/>
    <row r="26453" ht="12.75"/>
    <row r="26454" ht="12.75"/>
    <row r="26455" ht="12.75"/>
    <row r="26456" ht="12.75"/>
    <row r="26457" ht="12.75"/>
    <row r="26458" ht="12.75"/>
    <row r="26459" ht="12.75"/>
    <row r="26460" ht="12.75"/>
    <row r="26461" ht="12.75"/>
    <row r="26462" ht="12.75"/>
    <row r="26463" ht="12.75"/>
    <row r="26464" ht="12.75"/>
    <row r="26465" ht="12.75"/>
    <row r="26466" ht="12.75"/>
    <row r="26467" ht="12.75"/>
    <row r="26468" ht="12.75"/>
    <row r="26469" ht="12.75"/>
    <row r="26470" ht="12.75"/>
    <row r="26471" ht="12.75"/>
    <row r="26472" ht="12.75"/>
    <row r="26473" ht="12.75"/>
    <row r="26474" ht="12.75"/>
    <row r="26475" ht="12.75"/>
    <row r="26476" ht="12.75"/>
    <row r="26477" ht="12.75"/>
    <row r="26478" ht="12.75"/>
    <row r="26479" ht="12.75"/>
    <row r="26480" ht="12.75"/>
    <row r="26481" ht="12.75"/>
    <row r="26482" ht="12.75"/>
    <row r="26483" ht="12.75"/>
    <row r="26484" ht="12.75"/>
    <row r="26485" ht="12.75"/>
    <row r="26486" ht="12.75"/>
    <row r="26487" ht="12.75"/>
    <row r="26488" ht="12.75"/>
    <row r="26489" ht="12.75"/>
    <row r="26490" ht="12.75"/>
    <row r="26491" ht="12.75"/>
    <row r="26492" ht="12.75"/>
    <row r="26493" ht="12.75"/>
    <row r="26494" ht="12.75"/>
    <row r="26495" ht="12.75"/>
    <row r="26496" ht="12.75"/>
    <row r="26497" ht="12.75"/>
    <row r="26498" ht="12.75"/>
    <row r="26499" ht="12.75"/>
    <row r="26500" ht="12.75"/>
    <row r="26501" ht="12.75"/>
    <row r="26502" ht="12.75"/>
    <row r="26503" ht="12.75"/>
    <row r="26504" ht="12.75"/>
    <row r="26505" ht="12.75"/>
    <row r="26506" ht="12.75"/>
    <row r="26507" ht="12.75"/>
    <row r="26508" ht="12.75"/>
    <row r="26509" ht="12.75"/>
    <row r="26510" ht="12.75"/>
    <row r="26511" ht="12.75"/>
    <row r="26512" ht="12.75"/>
    <row r="26513" ht="12.75"/>
    <row r="26514" ht="12.75"/>
    <row r="26515" ht="12.75"/>
    <row r="26516" ht="12.75"/>
    <row r="26517" ht="12.75"/>
    <row r="26518" ht="12.75"/>
    <row r="26519" ht="12.75"/>
    <row r="26520" ht="12.75"/>
    <row r="26521" ht="12.75"/>
    <row r="26522" ht="12.75"/>
    <row r="26523" ht="12.75"/>
    <row r="26524" ht="12.75"/>
    <row r="26525" ht="12.75"/>
    <row r="26526" ht="12.75"/>
    <row r="26527" ht="12.75"/>
    <row r="26528" ht="12.75"/>
    <row r="26529" ht="12.75"/>
    <row r="26530" ht="12.75"/>
    <row r="26531" ht="12.75"/>
    <row r="26532" ht="12.75"/>
    <row r="26533" ht="12.75"/>
    <row r="26534" ht="12.75"/>
    <row r="26535" ht="12.75"/>
    <row r="26536" ht="12.75"/>
    <row r="26537" ht="12.75"/>
    <row r="26538" ht="12.75"/>
    <row r="26539" ht="12.75"/>
    <row r="26540" ht="12.75"/>
    <row r="26541" ht="12.75"/>
    <row r="26542" ht="12.75"/>
    <row r="26543" ht="12.75"/>
    <row r="26544" ht="12.75"/>
    <row r="26545" ht="12.75"/>
    <row r="26546" ht="12.75"/>
    <row r="26547" ht="12.75"/>
    <row r="26548" ht="12.75"/>
    <row r="26549" ht="12.75"/>
    <row r="26550" ht="12.75"/>
    <row r="26551" ht="12.75"/>
    <row r="26552" ht="12.75"/>
    <row r="26553" ht="12.75"/>
    <row r="26554" ht="12.75"/>
    <row r="26555" ht="12.75"/>
    <row r="26556" ht="12.75"/>
    <row r="26557" ht="12.75"/>
    <row r="26558" ht="12.75"/>
    <row r="26559" ht="12.75"/>
    <row r="26560" ht="12.75"/>
    <row r="26561" ht="12.75"/>
    <row r="26562" ht="12.75"/>
    <row r="26563" ht="12.75"/>
    <row r="26564" ht="12.75"/>
    <row r="26565" ht="12.75"/>
    <row r="26566" ht="12.75"/>
    <row r="26567" ht="12.75"/>
    <row r="26568" ht="12.75"/>
    <row r="26569" ht="12.75"/>
    <row r="26570" ht="12.75"/>
    <row r="26571" ht="12.75"/>
    <row r="26572" ht="12.75"/>
    <row r="26573" ht="12.75"/>
    <row r="26574" ht="12.75"/>
    <row r="26575" ht="12.75"/>
    <row r="26576" ht="12.75"/>
    <row r="26577" ht="12.75"/>
    <row r="26578" ht="12.75"/>
    <row r="26579" ht="12.75"/>
    <row r="26580" ht="12.75"/>
    <row r="26581" ht="12.75"/>
    <row r="26582" ht="12.75"/>
    <row r="26583" ht="12.75"/>
    <row r="26584" ht="12.75"/>
    <row r="26585" ht="12.75"/>
    <row r="26586" ht="12.75"/>
    <row r="26587" ht="12.75"/>
    <row r="26588" ht="12.75"/>
    <row r="26589" ht="12.75"/>
    <row r="26590" ht="12.75"/>
    <row r="26591" ht="12.75"/>
    <row r="26592" ht="12.75"/>
    <row r="26593" ht="12.75"/>
    <row r="26594" ht="12.75"/>
    <row r="26595" ht="12.75"/>
    <row r="26596" ht="12.75"/>
    <row r="26597" ht="12.75"/>
    <row r="26598" ht="12.75"/>
    <row r="26599" ht="12.75"/>
    <row r="26600" ht="12.75"/>
    <row r="26601" ht="12.75"/>
    <row r="26602" ht="12.75"/>
    <row r="26603" ht="12.75"/>
    <row r="26604" ht="12.75"/>
    <row r="26605" ht="12.75"/>
    <row r="26606" ht="12.75"/>
    <row r="26607" ht="12.75"/>
    <row r="26608" ht="12.75"/>
    <row r="26609" ht="12.75"/>
    <row r="26610" ht="12.75"/>
    <row r="26611" ht="12.75"/>
    <row r="26612" ht="12.75"/>
    <row r="26613" ht="12.75"/>
    <row r="26614" ht="12.75"/>
    <row r="26615" ht="12.75"/>
    <row r="26616" ht="12.75"/>
    <row r="26617" ht="12.75"/>
    <row r="26618" ht="12.75"/>
    <row r="26619" ht="12.75"/>
    <row r="26620" ht="12.75"/>
    <row r="26621" ht="12.75"/>
    <row r="26622" ht="12.75"/>
    <row r="26623" ht="12.75"/>
    <row r="26624" ht="12.75"/>
    <row r="26625" ht="12.75"/>
    <row r="26626" ht="12.75"/>
    <row r="26627" ht="12.75"/>
    <row r="26628" ht="12.75"/>
    <row r="26629" ht="12.75"/>
    <row r="26630" ht="12.75"/>
    <row r="26631" ht="12.75"/>
    <row r="26632" ht="12.75"/>
    <row r="26633" ht="12.75"/>
    <row r="26634" ht="12.75"/>
    <row r="26635" ht="12.75"/>
    <row r="26636" ht="12.75"/>
    <row r="26637" ht="12.75"/>
    <row r="26638" ht="12.75"/>
    <row r="26639" ht="12.75"/>
    <row r="26640" ht="12.75"/>
    <row r="26641" ht="12.75"/>
    <row r="26642" ht="12.75"/>
    <row r="26643" ht="12.75"/>
    <row r="26644" ht="12.75"/>
    <row r="26645" ht="12.75"/>
    <row r="26646" ht="12.75"/>
    <row r="26647" ht="12.75"/>
    <row r="26648" ht="12.75"/>
    <row r="26649" ht="12.75"/>
    <row r="26650" ht="12.75"/>
    <row r="26651" ht="12.75"/>
    <row r="26652" ht="12.75"/>
    <row r="26653" ht="12.75"/>
    <row r="26654" ht="12.75"/>
    <row r="26655" ht="12.75"/>
    <row r="26656" ht="12.75"/>
    <row r="26657" ht="12.75"/>
    <row r="26658" ht="12.75"/>
    <row r="26659" ht="12.75"/>
    <row r="26660" ht="12.75"/>
    <row r="26661" ht="12.75"/>
    <row r="26662" ht="12.75"/>
    <row r="26663" ht="12.75"/>
    <row r="26664" ht="12.75"/>
    <row r="26665" ht="12.75"/>
    <row r="26666" ht="12.75"/>
    <row r="26667" ht="12.75"/>
    <row r="26668" ht="12.75"/>
    <row r="26669" ht="12.75"/>
    <row r="26670" ht="12.75"/>
    <row r="26671" ht="12.75"/>
    <row r="26672" ht="12.75"/>
    <row r="26673" ht="12.75"/>
    <row r="26674" ht="12.75"/>
    <row r="26675" ht="12.75"/>
    <row r="26676" ht="12.75"/>
    <row r="26677" ht="12.75"/>
    <row r="26678" ht="12.75"/>
    <row r="26679" ht="12.75"/>
    <row r="26680" ht="12.75"/>
    <row r="26681" ht="12.75"/>
    <row r="26682" ht="12.75"/>
    <row r="26683" ht="12.75"/>
    <row r="26684" ht="12.75"/>
    <row r="26685" ht="12.75"/>
    <row r="26686" ht="12.75"/>
    <row r="26687" ht="12.75"/>
    <row r="26688" ht="12.75"/>
    <row r="26689" ht="12.75"/>
    <row r="26690" ht="12.75"/>
    <row r="26691" ht="12.75"/>
    <row r="26692" ht="12.75"/>
    <row r="26693" ht="12.75"/>
    <row r="26694" ht="12.75"/>
    <row r="26695" ht="12.75"/>
    <row r="26696" ht="12.75"/>
    <row r="26697" ht="12.75"/>
    <row r="26698" ht="12.75"/>
    <row r="26699" ht="12.75"/>
    <row r="26700" ht="12.75"/>
    <row r="26701" ht="12.75"/>
    <row r="26702" ht="12.75"/>
    <row r="26703" ht="12.75"/>
    <row r="26704" ht="12.75"/>
    <row r="26705" ht="12.75"/>
    <row r="26706" ht="12.75"/>
    <row r="26707" ht="12.75"/>
    <row r="26708" ht="12.75"/>
    <row r="26709" ht="12.75"/>
    <row r="26710" ht="12.75"/>
    <row r="26711" ht="12.75"/>
    <row r="26712" ht="12.75"/>
    <row r="26713" ht="12.75"/>
    <row r="26714" ht="12.75"/>
    <row r="26715" ht="12.75"/>
    <row r="26716" ht="12.75"/>
    <row r="26717" ht="12.75"/>
    <row r="26718" ht="12.75"/>
    <row r="26719" ht="12.75"/>
    <row r="26720" ht="12.75"/>
    <row r="26721" ht="12.75"/>
    <row r="26722" ht="12.75"/>
    <row r="26723" ht="12.75"/>
    <row r="26724" ht="12.75"/>
    <row r="26725" ht="12.75"/>
    <row r="26726" ht="12.75"/>
    <row r="26727" ht="12.75"/>
    <row r="26728" ht="12.75"/>
    <row r="26729" ht="12.75"/>
    <row r="26730" ht="12.75"/>
    <row r="26731" ht="12.75"/>
    <row r="26732" ht="12.75"/>
    <row r="26733" ht="12.75"/>
    <row r="26734" ht="12.75"/>
    <row r="26735" ht="12.75"/>
    <row r="26736" ht="12.75"/>
    <row r="26737" ht="12.75"/>
    <row r="26738" ht="12.75"/>
    <row r="26739" ht="12.75"/>
    <row r="26740" ht="12.75"/>
    <row r="26741" ht="12.75"/>
    <row r="26742" ht="12.75"/>
    <row r="26743" ht="12.75"/>
    <row r="26744" ht="12.75"/>
    <row r="26745" ht="12.75"/>
    <row r="26746" ht="12.75"/>
    <row r="26747" ht="12.75"/>
    <row r="26748" ht="12.75"/>
    <row r="26749" ht="12.75"/>
    <row r="26750" ht="12.75"/>
    <row r="26751" ht="12.75"/>
    <row r="26752" ht="12.75"/>
    <row r="26753" ht="12.75"/>
    <row r="26754" ht="12.75"/>
    <row r="26755" ht="12.75"/>
    <row r="26756" ht="12.75"/>
    <row r="26757" ht="12.75"/>
    <row r="26758" ht="12.75"/>
    <row r="26759" ht="12.75"/>
    <row r="26760" ht="12.75"/>
    <row r="26761" ht="12.75"/>
    <row r="26762" ht="12.75"/>
    <row r="26763" ht="12.75"/>
    <row r="26764" ht="12.75"/>
    <row r="26765" ht="12.75"/>
    <row r="26766" ht="12.75"/>
    <row r="26767" ht="12.75"/>
    <row r="26768" ht="12.75"/>
    <row r="26769" ht="12.75"/>
    <row r="26770" ht="12.75"/>
    <row r="26771" ht="12.75"/>
    <row r="26772" ht="12.75"/>
    <row r="26773" ht="12.75"/>
    <row r="26774" ht="12.75"/>
    <row r="26775" ht="12.75"/>
    <row r="26776" ht="12.75"/>
    <row r="26777" ht="12.75"/>
    <row r="26778" ht="12.75"/>
    <row r="26779" ht="12.75"/>
    <row r="26780" ht="12.75"/>
    <row r="26781" ht="12.75"/>
    <row r="26782" ht="12.75"/>
    <row r="26783" ht="12.75"/>
    <row r="26784" ht="12.75"/>
    <row r="26785" ht="12.75"/>
    <row r="26786" ht="12.75"/>
    <row r="26787" ht="12.75"/>
    <row r="26788" ht="12.75"/>
    <row r="26789" ht="12.75"/>
    <row r="26790" ht="12.75"/>
    <row r="26791" ht="12.75"/>
    <row r="26792" ht="12.75"/>
    <row r="26793" ht="12.75"/>
    <row r="26794" ht="12.75"/>
    <row r="26795" ht="12.75"/>
    <row r="26796" ht="12.75"/>
    <row r="26797" ht="12.75"/>
    <row r="26798" ht="12.75"/>
    <row r="26799" ht="12.75"/>
    <row r="26800" ht="12.75"/>
    <row r="26801" ht="12.75"/>
    <row r="26802" ht="12.75"/>
    <row r="26803" ht="12.75"/>
    <row r="26804" ht="12.75"/>
    <row r="26805" ht="12.75"/>
    <row r="26806" ht="12.75"/>
    <row r="26807" ht="12.75"/>
    <row r="26808" ht="12.75"/>
    <row r="26809" ht="12.75"/>
    <row r="26810" ht="12.75"/>
    <row r="26811" ht="12.75"/>
    <row r="26812" ht="12.75"/>
    <row r="26813" ht="12.75"/>
    <row r="26814" ht="12.75"/>
    <row r="26815" ht="12.75"/>
    <row r="26816" ht="12.75"/>
    <row r="26817" ht="12.75"/>
    <row r="26818" ht="12.75"/>
    <row r="26819" ht="12.75"/>
    <row r="26820" ht="12.75"/>
    <row r="26821" ht="12.75"/>
    <row r="26822" ht="12.75"/>
    <row r="26823" ht="12.75"/>
    <row r="26824" ht="12.75"/>
    <row r="26825" ht="12.75"/>
    <row r="26826" ht="12.75"/>
    <row r="26827" ht="12.75"/>
    <row r="26828" ht="12.75"/>
    <row r="26829" ht="12.75"/>
    <row r="26830" ht="12.75"/>
    <row r="26831" ht="12.75"/>
    <row r="26832" ht="12.75"/>
    <row r="26833" ht="12.75"/>
    <row r="26834" ht="12.75"/>
    <row r="26835" ht="12.75"/>
    <row r="26836" ht="12.75"/>
    <row r="26837" ht="12.75"/>
    <row r="26838" ht="12.75"/>
    <row r="26839" ht="12.75"/>
    <row r="26840" ht="12.75"/>
    <row r="26841" ht="12.75"/>
    <row r="26842" ht="12.75"/>
    <row r="26843" ht="12.75"/>
    <row r="26844" ht="12.75"/>
    <row r="26845" ht="12.75"/>
    <row r="26846" ht="12.75"/>
    <row r="26847" ht="12.75"/>
    <row r="26848" ht="12.75"/>
    <row r="26849" ht="12.75"/>
    <row r="26850" ht="12.75"/>
    <row r="26851" ht="12.75"/>
    <row r="26852" ht="12.75"/>
    <row r="26853" ht="12.75"/>
    <row r="26854" ht="12.75"/>
    <row r="26855" ht="12.75"/>
    <row r="26856" ht="12.75"/>
    <row r="26857" ht="12.75"/>
    <row r="26858" ht="12.75"/>
    <row r="26859" ht="12.75"/>
    <row r="26860" ht="12.75"/>
    <row r="26861" ht="12.75"/>
    <row r="26862" ht="12.75"/>
    <row r="26863" ht="12.75"/>
    <row r="26864" ht="12.75"/>
    <row r="26865" ht="12.75"/>
    <row r="26866" ht="12.75"/>
    <row r="26867" ht="12.75"/>
    <row r="26868" ht="12.75"/>
    <row r="26869" ht="12.75"/>
    <row r="26870" ht="12.75"/>
    <row r="26871" ht="12.75"/>
    <row r="26872" ht="12.75"/>
    <row r="26873" ht="12.75"/>
    <row r="26874" ht="12.75"/>
    <row r="26875" ht="12.75"/>
    <row r="26876" ht="12.75"/>
    <row r="26877" ht="12.75"/>
    <row r="26878" ht="12.75"/>
    <row r="26879" ht="12.75"/>
    <row r="26880" ht="12.75"/>
    <row r="26881" ht="12.75"/>
    <row r="26882" ht="12.75"/>
    <row r="26883" ht="12.75"/>
    <row r="26884" ht="12.75"/>
    <row r="26885" ht="12.75"/>
    <row r="26886" ht="12.75"/>
    <row r="26887" ht="12.75"/>
    <row r="26888" ht="12.75"/>
    <row r="26889" ht="12.75"/>
    <row r="26890" ht="12.75"/>
    <row r="26891" ht="12.75"/>
    <row r="26892" ht="12.75"/>
    <row r="26893" ht="12.75"/>
    <row r="26894" ht="12.75"/>
    <row r="26895" ht="12.75"/>
    <row r="26896" ht="12.75"/>
    <row r="26897" ht="12.75"/>
    <row r="26898" ht="12.75"/>
    <row r="26899" ht="12.75"/>
    <row r="26900" ht="12.75"/>
    <row r="26901" ht="12.75"/>
    <row r="26902" ht="12.75"/>
    <row r="26903" ht="12.75"/>
    <row r="26904" ht="12.75"/>
    <row r="26905" ht="12.75"/>
    <row r="26906" ht="12.75"/>
    <row r="26907" ht="12.75"/>
    <row r="26908" ht="12.75"/>
    <row r="26909" ht="12.75"/>
    <row r="26910" ht="12.75"/>
    <row r="26911" ht="12.75"/>
    <row r="26912" ht="12.75"/>
    <row r="26913" ht="12.75"/>
    <row r="26914" ht="12.75"/>
    <row r="26915" ht="12.75"/>
    <row r="26916" ht="12.75"/>
    <row r="26917" ht="12.75"/>
    <row r="26918" ht="12.75"/>
    <row r="26919" ht="12.75"/>
    <row r="26920" ht="12.75"/>
    <row r="26921" ht="12.75"/>
    <row r="26922" ht="12.75"/>
    <row r="26923" ht="12.75"/>
    <row r="26924" ht="12.75"/>
    <row r="26925" ht="12.75"/>
    <row r="26926" ht="12.75"/>
    <row r="26927" ht="12.75"/>
    <row r="26928" ht="12.75"/>
    <row r="26929" ht="12.75"/>
    <row r="26930" ht="12.75"/>
    <row r="26931" ht="12.75"/>
    <row r="26932" ht="12.75"/>
    <row r="26933" ht="12.75"/>
    <row r="26934" ht="12.75"/>
    <row r="26935" ht="12.75"/>
    <row r="26936" ht="12.75"/>
    <row r="26937" ht="12.75"/>
    <row r="26938" ht="12.75"/>
    <row r="26939" ht="12.75"/>
    <row r="26940" ht="12.75"/>
    <row r="26941" ht="12.75"/>
    <row r="26942" ht="12.75"/>
    <row r="26943" ht="12.75"/>
    <row r="26944" ht="12.75"/>
    <row r="26945" ht="12.75"/>
    <row r="26946" ht="12.75"/>
    <row r="26947" ht="12.75"/>
    <row r="26948" ht="12.75"/>
    <row r="26949" ht="12.75"/>
    <row r="26950" ht="12.75"/>
    <row r="26951" ht="12.75"/>
    <row r="26952" ht="12.75"/>
    <row r="26953" ht="12.75"/>
    <row r="26954" ht="12.75"/>
    <row r="26955" ht="12.75"/>
    <row r="26956" ht="12.75"/>
    <row r="26957" ht="12.75"/>
    <row r="26958" ht="12.75"/>
    <row r="26959" ht="12.75"/>
    <row r="26960" ht="12.75"/>
    <row r="26961" ht="12.75"/>
    <row r="26962" ht="12.75"/>
    <row r="26963" ht="12.75"/>
    <row r="26964" ht="12.75"/>
    <row r="26965" ht="12.75"/>
    <row r="26966" ht="12.75"/>
    <row r="26967" ht="12.75"/>
    <row r="26968" ht="12.75"/>
    <row r="26969" ht="12.75"/>
    <row r="26970" ht="12.75"/>
    <row r="26971" ht="12.75"/>
    <row r="26972" ht="12.75"/>
    <row r="26973" ht="12.75"/>
    <row r="26974" ht="12.75"/>
    <row r="26975" ht="12.75"/>
    <row r="26976" ht="12.75"/>
    <row r="26977" ht="12.75"/>
    <row r="26978" ht="12.75"/>
    <row r="26979" ht="12.75"/>
    <row r="26980" ht="12.75"/>
    <row r="26981" ht="12.75"/>
    <row r="26982" ht="12.75"/>
    <row r="26983" ht="12.75"/>
    <row r="26984" ht="12.75"/>
    <row r="26985" ht="12.75"/>
    <row r="26986" ht="12.75"/>
    <row r="26987" ht="12.75"/>
    <row r="26988" ht="12.75"/>
    <row r="26989" ht="12.75"/>
    <row r="26990" ht="12.75"/>
    <row r="26991" ht="12.75"/>
    <row r="26992" ht="12.75"/>
    <row r="26993" ht="12.75"/>
    <row r="26994" ht="12.75"/>
    <row r="26995" ht="12.75"/>
    <row r="26996" ht="12.75"/>
    <row r="26997" ht="12.75"/>
    <row r="26998" ht="12.75"/>
    <row r="26999" ht="12.75"/>
    <row r="27000" ht="12.75"/>
    <row r="27001" ht="12.75"/>
    <row r="27002" ht="12.75"/>
    <row r="27003" ht="12.75"/>
    <row r="27004" ht="12.75"/>
    <row r="27005" ht="12.75"/>
    <row r="27006" ht="12.75"/>
    <row r="27007" ht="12.75"/>
    <row r="27008" ht="12.75"/>
    <row r="27009" ht="12.75"/>
    <row r="27010" ht="12.75"/>
    <row r="27011" ht="12.75"/>
    <row r="27012" ht="12.75"/>
    <row r="27013" ht="12.75"/>
    <row r="27014" ht="12.75"/>
    <row r="27015" ht="12.75"/>
    <row r="27016" ht="12.75"/>
    <row r="27017" ht="12.75"/>
    <row r="27018" ht="12.75"/>
    <row r="27019" ht="12.75"/>
    <row r="27020" ht="12.75"/>
    <row r="27021" ht="12.75"/>
    <row r="27022" ht="12.75"/>
    <row r="27023" ht="12.75"/>
    <row r="27024" ht="12.75"/>
    <row r="27025" ht="12.75"/>
    <row r="27026" ht="12.75"/>
    <row r="27027" ht="12.75"/>
    <row r="27028" ht="12.75"/>
    <row r="27029" ht="12.75"/>
    <row r="27030" ht="12.75"/>
    <row r="27031" ht="12.75"/>
    <row r="27032" ht="12.75"/>
    <row r="27033" ht="12.75"/>
    <row r="27034" ht="12.75"/>
    <row r="27035" ht="12.75"/>
    <row r="27036" ht="12.75"/>
    <row r="27037" ht="12.75"/>
    <row r="27038" ht="12.75"/>
    <row r="27039" ht="12.75"/>
    <row r="27040" ht="12.75"/>
    <row r="27041" ht="12.75"/>
    <row r="27042" ht="12.75"/>
    <row r="27043" ht="12.75"/>
    <row r="27044" ht="12.75"/>
    <row r="27045" ht="12.75"/>
    <row r="27046" ht="12.75"/>
    <row r="27047" ht="12.75"/>
    <row r="27048" ht="12.75"/>
    <row r="27049" ht="12.75"/>
    <row r="27050" ht="12.75"/>
    <row r="27051" ht="12.75"/>
    <row r="27052" ht="12.75"/>
    <row r="27053" ht="12.75"/>
    <row r="27054" ht="12.75"/>
    <row r="27055" ht="12.75"/>
    <row r="27056" ht="12.75"/>
    <row r="27057" ht="12.75"/>
    <row r="27058" ht="12.75"/>
    <row r="27059" ht="12.75"/>
    <row r="27060" ht="12.75"/>
    <row r="27061" ht="12.75"/>
    <row r="27062" ht="12.75"/>
    <row r="27063" ht="12.75"/>
    <row r="27064" ht="12.75"/>
    <row r="27065" ht="12.75"/>
    <row r="27066" ht="12.75"/>
    <row r="27067" ht="12.75"/>
    <row r="27068" ht="12.75"/>
    <row r="27069" ht="12.75"/>
    <row r="27070" ht="12.75"/>
    <row r="27071" ht="12.75"/>
    <row r="27072" ht="12.75"/>
    <row r="27073" ht="12.75"/>
    <row r="27074" ht="12.75"/>
    <row r="27075" ht="12.75"/>
    <row r="27076" ht="12.75"/>
    <row r="27077" ht="12.75"/>
    <row r="27078" ht="12.75"/>
    <row r="27079" ht="12.75"/>
    <row r="27080" ht="12.75"/>
    <row r="27081" ht="12.75"/>
    <row r="27082" ht="12.75"/>
    <row r="27083" ht="12.75"/>
    <row r="27084" ht="12.75"/>
    <row r="27085" ht="12.75"/>
    <row r="27086" ht="12.75"/>
    <row r="27087" ht="12.75"/>
    <row r="27088" ht="12.75"/>
    <row r="27089" ht="12.75"/>
    <row r="27090" ht="12.75"/>
    <row r="27091" ht="12.75"/>
    <row r="27092" ht="12.75"/>
    <row r="27093" ht="12.75"/>
    <row r="27094" ht="12.75"/>
    <row r="27095" ht="12.75"/>
    <row r="27096" ht="12.75"/>
    <row r="27097" ht="12.75"/>
    <row r="27098" ht="12.75"/>
    <row r="27099" ht="12.75"/>
    <row r="27100" ht="12.75"/>
    <row r="27101" ht="12.75"/>
    <row r="27102" ht="12.75"/>
    <row r="27103" ht="12.75"/>
    <row r="27104" ht="12.75"/>
    <row r="27105" ht="12.75"/>
    <row r="27106" ht="12.75"/>
    <row r="27107" ht="12.75"/>
    <row r="27108" ht="12.75"/>
    <row r="27109" ht="12.75"/>
    <row r="27110" ht="12.75"/>
    <row r="27111" ht="12.75"/>
    <row r="27112" ht="12.75"/>
    <row r="27113" ht="12.75"/>
    <row r="27114" ht="12.75"/>
    <row r="27115" ht="12.75"/>
    <row r="27116" ht="12.75"/>
    <row r="27117" ht="12.75"/>
    <row r="27118" ht="12.75"/>
    <row r="27119" ht="12.75"/>
    <row r="27120" ht="12.75"/>
    <row r="27121" ht="12.75"/>
    <row r="27122" ht="12.75"/>
    <row r="27123" ht="12.75"/>
    <row r="27124" ht="12.75"/>
    <row r="27125" ht="12.75"/>
    <row r="27126" ht="12.75"/>
    <row r="27127" ht="12.75"/>
    <row r="27128" ht="12.75"/>
    <row r="27129" ht="12.75"/>
    <row r="27130" ht="12.75"/>
    <row r="27131" ht="12.75"/>
    <row r="27132" ht="12.75"/>
    <row r="27133" ht="12.75"/>
    <row r="27134" ht="12.75"/>
    <row r="27135" ht="12.75"/>
    <row r="27136" ht="12.75"/>
    <row r="27137" ht="12.75"/>
    <row r="27138" ht="12.75"/>
    <row r="27139" ht="12.75"/>
    <row r="27140" ht="12.75"/>
    <row r="27141" ht="12.75"/>
    <row r="27142" ht="12.75"/>
    <row r="27143" ht="12.75"/>
    <row r="27144" ht="12.75"/>
    <row r="27145" ht="12.75"/>
    <row r="27146" ht="12.75"/>
    <row r="27147" ht="12.75"/>
    <row r="27148" ht="12.75"/>
    <row r="27149" ht="12.75"/>
    <row r="27150" ht="12.75"/>
    <row r="27151" ht="12.75"/>
    <row r="27152" ht="12.75"/>
    <row r="27153" ht="12.75"/>
    <row r="27154" ht="12.75"/>
    <row r="27155" ht="12.75"/>
    <row r="27156" ht="12.75"/>
    <row r="27157" ht="12.75"/>
    <row r="27158" ht="12.75"/>
    <row r="27159" ht="12.75"/>
    <row r="27160" ht="12.75"/>
    <row r="27161" ht="12.75"/>
    <row r="27162" ht="12.75"/>
    <row r="27163" ht="12.75"/>
    <row r="27164" ht="12.75"/>
    <row r="27165" ht="12.75"/>
    <row r="27166" ht="12.75"/>
    <row r="27167" ht="12.75"/>
    <row r="27168" ht="12.75"/>
    <row r="27169" ht="12.75"/>
    <row r="27170" ht="12.75"/>
    <row r="27171" ht="12.75"/>
    <row r="27172" ht="12.75"/>
    <row r="27173" ht="12.75"/>
    <row r="27174" ht="12.75"/>
    <row r="27175" ht="12.75"/>
    <row r="27176" ht="12.75"/>
    <row r="27177" ht="12.75"/>
    <row r="27178" ht="12.75"/>
    <row r="27179" ht="12.75"/>
    <row r="27180" ht="12.75"/>
    <row r="27181" ht="12.75"/>
    <row r="27182" ht="12.75"/>
    <row r="27183" ht="12.75"/>
    <row r="27184" ht="12.75"/>
    <row r="27185" ht="12.75"/>
    <row r="27186" ht="12.75"/>
    <row r="27187" ht="12.75"/>
    <row r="27188" ht="12.75"/>
    <row r="27189" ht="12.75"/>
    <row r="27190" ht="12.75"/>
    <row r="27191" ht="12.75"/>
    <row r="27192" ht="12.75"/>
    <row r="27193" ht="12.75"/>
    <row r="27194" ht="12.75"/>
    <row r="27195" ht="12.75"/>
    <row r="27196" ht="12.75"/>
    <row r="27197" ht="12.75"/>
    <row r="27198" ht="12.75"/>
    <row r="27199" ht="12.75"/>
    <row r="27200" ht="12.75"/>
    <row r="27201" ht="12.75"/>
    <row r="27202" ht="12.75"/>
    <row r="27203" ht="12.75"/>
    <row r="27204" ht="12.75"/>
    <row r="27205" ht="12.75"/>
    <row r="27206" ht="12.75"/>
    <row r="27207" ht="12.75"/>
    <row r="27208" ht="12.75"/>
    <row r="27209" ht="12.75"/>
    <row r="27210" ht="12.75"/>
    <row r="27211" ht="12.75"/>
    <row r="27212" ht="12.75"/>
    <row r="27213" ht="12.75"/>
    <row r="27214" ht="12.75"/>
    <row r="27215" ht="12.75"/>
    <row r="27216" ht="12.75"/>
    <row r="27217" ht="12.75"/>
    <row r="27218" ht="12.75"/>
    <row r="27219" ht="12.75"/>
    <row r="27220" ht="12.75"/>
    <row r="27221" ht="12.75"/>
    <row r="27222" ht="12.75"/>
    <row r="27223" ht="12.75"/>
    <row r="27224" ht="12.75"/>
    <row r="27225" ht="12.75"/>
    <row r="27226" ht="12.75"/>
    <row r="27227" ht="12.75"/>
    <row r="27228" ht="12.75"/>
    <row r="27229" ht="12.75"/>
    <row r="27230" ht="12.75"/>
    <row r="27231" ht="12.75"/>
    <row r="27232" ht="12.75"/>
    <row r="27233" ht="12.75"/>
    <row r="27234" ht="12.75"/>
    <row r="27235" ht="12.75"/>
    <row r="27236" ht="12.75"/>
    <row r="27237" ht="12.75"/>
    <row r="27238" ht="12.75"/>
    <row r="27239" ht="12.75"/>
    <row r="27240" ht="12.75"/>
    <row r="27241" ht="12.75"/>
    <row r="27242" ht="12.75"/>
    <row r="27243" ht="12.75"/>
    <row r="27244" ht="12.75"/>
    <row r="27245" ht="12.75"/>
    <row r="27246" ht="12.75"/>
    <row r="27247" ht="12.75"/>
    <row r="27248" ht="12.75"/>
    <row r="27249" ht="12.75"/>
    <row r="27250" ht="12.75"/>
    <row r="27251" ht="12.75"/>
    <row r="27252" ht="12.75"/>
    <row r="27253" ht="12.75"/>
    <row r="27254" ht="12.75"/>
    <row r="27255" ht="12.75"/>
    <row r="27256" ht="12.75"/>
    <row r="27257" ht="12.75"/>
    <row r="27258" ht="12.75"/>
    <row r="27259" ht="12.75"/>
    <row r="27260" ht="12.75"/>
    <row r="27261" ht="12.75"/>
    <row r="27262" ht="12.75"/>
    <row r="27263" ht="12.75"/>
    <row r="27264" ht="12.75"/>
    <row r="27265" ht="12.75"/>
    <row r="27266" ht="12.75"/>
    <row r="27267" ht="12.75"/>
    <row r="27268" ht="12.75"/>
    <row r="27269" ht="12.75"/>
    <row r="27270" ht="12.75"/>
    <row r="27271" ht="12.75"/>
    <row r="27272" ht="12.75"/>
    <row r="27273" ht="12.75"/>
    <row r="27274" ht="12.75"/>
    <row r="27275" ht="12.75"/>
    <row r="27276" ht="12.75"/>
    <row r="27277" ht="12.75"/>
    <row r="27278" ht="12.75"/>
    <row r="27279" ht="12.75"/>
    <row r="27280" ht="12.75"/>
    <row r="27281" ht="12.75"/>
    <row r="27282" ht="12.75"/>
    <row r="27283" ht="12.75"/>
    <row r="27284" ht="12.75"/>
    <row r="27285" ht="12.75"/>
    <row r="27286" ht="12.75"/>
    <row r="27287" ht="12.75"/>
    <row r="27288" ht="12.75"/>
    <row r="27289" ht="12.75"/>
    <row r="27290" ht="12.75"/>
    <row r="27291" ht="12.75"/>
    <row r="27292" ht="12.75"/>
    <row r="27293" ht="12.75"/>
    <row r="27294" ht="12.75"/>
    <row r="27295" ht="12.75"/>
    <row r="27296" ht="12.75"/>
    <row r="27297" ht="12.75"/>
    <row r="27298" ht="12.75"/>
    <row r="27299" ht="12.75"/>
    <row r="27300" ht="12.75"/>
    <row r="27301" ht="12.75"/>
    <row r="27302" ht="12.75"/>
    <row r="27303" ht="12.75"/>
    <row r="27304" ht="12.75"/>
    <row r="27305" ht="12.75"/>
    <row r="27306" ht="12.75"/>
    <row r="27307" ht="12.75"/>
    <row r="27308" ht="12.75"/>
    <row r="27309" ht="12.75"/>
    <row r="27310" ht="12.75"/>
    <row r="27311" ht="12.75"/>
    <row r="27312" ht="12.75"/>
    <row r="27313" ht="12.75"/>
    <row r="27314" ht="12.75"/>
    <row r="27315" ht="12.75"/>
    <row r="27316" ht="12.75"/>
    <row r="27317" ht="12.75"/>
    <row r="27318" ht="12.75"/>
    <row r="27319" ht="12.75"/>
    <row r="27320" ht="12.75"/>
    <row r="27321" ht="12.75"/>
    <row r="27322" ht="12.75"/>
    <row r="27323" ht="12.75"/>
    <row r="27324" ht="12.75"/>
    <row r="27325" ht="12.75"/>
    <row r="27326" ht="12.75"/>
    <row r="27327" ht="12.75"/>
    <row r="27328" ht="12.75"/>
    <row r="27329" ht="12.75"/>
    <row r="27330" ht="12.75"/>
    <row r="27331" ht="12.75"/>
    <row r="27332" ht="12.75"/>
    <row r="27333" ht="12.75"/>
    <row r="27334" ht="12.75"/>
    <row r="27335" ht="12.75"/>
    <row r="27336" ht="12.75"/>
    <row r="27337" ht="12.75"/>
    <row r="27338" ht="12.75"/>
    <row r="27339" ht="12.75"/>
    <row r="27340" ht="12.75"/>
    <row r="27341" ht="12.75"/>
    <row r="27342" ht="12.75"/>
    <row r="27343" ht="12.75"/>
    <row r="27344" ht="12.75"/>
    <row r="27345" ht="12.75"/>
    <row r="27346" ht="12.75"/>
    <row r="27347" ht="12.75"/>
    <row r="27348" ht="12.75"/>
    <row r="27349" ht="12.75"/>
    <row r="27350" ht="12.75"/>
    <row r="27351" ht="12.75"/>
    <row r="27352" ht="12.75"/>
    <row r="27353" ht="12.75"/>
    <row r="27354" ht="12.75"/>
    <row r="27355" ht="12.75"/>
    <row r="27356" ht="12.75"/>
    <row r="27357" ht="12.75"/>
    <row r="27358" ht="12.75"/>
    <row r="27359" ht="12.75"/>
    <row r="27360" ht="12.75"/>
    <row r="27361" ht="12.75"/>
    <row r="27362" ht="12.75"/>
    <row r="27363" ht="12.75"/>
    <row r="27364" ht="12.75"/>
    <row r="27365" ht="12.75"/>
    <row r="27366" ht="12.75"/>
    <row r="27367" ht="12.75"/>
    <row r="27368" ht="12.75"/>
    <row r="27369" ht="12.75"/>
    <row r="27370" ht="12.75"/>
    <row r="27371" ht="12.75"/>
    <row r="27372" ht="12.75"/>
    <row r="27373" ht="12.75"/>
    <row r="27374" ht="12.75"/>
    <row r="27375" ht="12.75"/>
    <row r="27376" ht="12.75"/>
    <row r="27377" ht="12.75"/>
    <row r="27378" ht="12.75"/>
    <row r="27379" ht="12.75"/>
    <row r="27380" ht="12.75"/>
    <row r="27381" ht="12.75"/>
    <row r="27382" ht="12.75"/>
    <row r="27383" ht="12.75"/>
    <row r="27384" ht="12.75"/>
    <row r="27385" ht="12.75"/>
    <row r="27386" ht="12.75"/>
    <row r="27387" ht="12.75"/>
    <row r="27388" ht="12.75"/>
    <row r="27389" ht="12.75"/>
    <row r="27390" ht="12.75"/>
    <row r="27391" ht="12.75"/>
    <row r="27392" ht="12.75"/>
    <row r="27393" ht="12.75"/>
    <row r="27394" ht="12.75"/>
    <row r="27395" ht="12.75"/>
    <row r="27396" ht="12.75"/>
    <row r="27397" ht="12.75"/>
    <row r="27398" ht="12.75"/>
    <row r="27399" ht="12.75"/>
    <row r="27400" ht="12.75"/>
    <row r="27401" ht="12.75"/>
    <row r="27402" ht="12.75"/>
    <row r="27403" ht="12.75"/>
    <row r="27404" ht="12.75"/>
    <row r="27405" ht="12.75"/>
    <row r="27406" ht="12.75"/>
    <row r="27407" ht="12.75"/>
    <row r="27408" ht="12.75"/>
    <row r="27409" ht="12.75"/>
    <row r="27410" ht="12.75"/>
    <row r="27411" ht="12.75"/>
    <row r="27412" ht="12.75"/>
    <row r="27413" ht="12.75"/>
    <row r="27414" ht="12.75"/>
    <row r="27415" ht="12.75"/>
    <row r="27416" ht="12.75"/>
    <row r="27417" ht="12.75"/>
    <row r="27418" ht="12.75"/>
    <row r="27419" ht="12.75"/>
    <row r="27420" ht="12.75"/>
    <row r="27421" ht="12.75"/>
    <row r="27422" ht="12.75"/>
    <row r="27423" ht="12.75"/>
    <row r="27424" ht="12.75"/>
    <row r="27425" ht="12.75"/>
    <row r="27426" ht="12.75"/>
    <row r="27427" ht="12.75"/>
    <row r="27428" ht="12.75"/>
    <row r="27429" ht="12.75"/>
    <row r="27430" ht="12.75"/>
    <row r="27431" ht="12.75"/>
    <row r="27432" ht="12.75"/>
    <row r="27433" ht="12.75"/>
    <row r="27434" ht="12.75"/>
    <row r="27435" ht="12.75"/>
    <row r="27436" ht="12.75"/>
    <row r="27437" ht="12.75"/>
    <row r="27438" ht="12.75"/>
    <row r="27439" ht="12.75"/>
    <row r="27440" ht="12.75"/>
    <row r="27441" ht="12.75"/>
    <row r="27442" ht="12.75"/>
    <row r="27443" ht="12.75"/>
    <row r="27444" ht="12.75"/>
    <row r="27445" ht="12.75"/>
    <row r="27446" ht="12.75"/>
    <row r="27447" ht="12.75"/>
    <row r="27448" ht="12.75"/>
    <row r="27449" ht="12.75"/>
    <row r="27450" ht="12.75"/>
    <row r="27451" ht="12.75"/>
    <row r="27452" ht="12.75"/>
    <row r="27453" ht="12.75"/>
    <row r="27454" ht="12.75"/>
    <row r="27455" ht="12.75"/>
    <row r="27456" ht="12.75"/>
    <row r="27457" ht="12.75"/>
    <row r="27458" ht="12.75"/>
    <row r="27459" ht="12.75"/>
    <row r="27460" ht="12.75"/>
    <row r="27461" ht="12.75"/>
    <row r="27462" ht="12.75"/>
    <row r="27463" ht="12.75"/>
    <row r="27464" ht="12.75"/>
    <row r="27465" ht="12.75"/>
    <row r="27466" ht="12.75"/>
    <row r="27467" ht="12.75"/>
    <row r="27468" ht="12.75"/>
    <row r="27469" ht="12.75"/>
    <row r="27470" ht="12.75"/>
    <row r="27471" ht="12.75"/>
    <row r="27472" ht="12.75"/>
    <row r="27473" ht="12.75"/>
    <row r="27474" ht="12.75"/>
    <row r="27475" ht="12.75"/>
    <row r="27476" ht="12.75"/>
    <row r="27477" ht="12.75"/>
    <row r="27478" ht="12.75"/>
    <row r="27479" ht="12.75"/>
    <row r="27480" ht="12.75"/>
    <row r="27481" ht="12.75"/>
    <row r="27482" ht="12.75"/>
    <row r="27483" ht="12.75"/>
    <row r="27484" ht="12.75"/>
    <row r="27485" ht="12.75"/>
    <row r="27486" ht="12.75"/>
    <row r="27487" ht="12.75"/>
    <row r="27488" ht="12.75"/>
    <row r="27489" ht="12.75"/>
    <row r="27490" ht="12.75"/>
    <row r="27491" ht="12.75"/>
    <row r="27492" ht="12.75"/>
    <row r="27493" ht="12.75"/>
    <row r="27494" ht="12.75"/>
    <row r="27495" ht="12.75"/>
    <row r="27496" ht="12.75"/>
    <row r="27497" ht="12.75"/>
    <row r="27498" ht="12.75"/>
    <row r="27499" ht="12.75"/>
    <row r="27500" ht="12.75"/>
    <row r="27501" ht="12.75"/>
    <row r="27502" ht="12.75"/>
    <row r="27503" ht="12.75"/>
    <row r="27504" ht="12.75"/>
    <row r="27505" ht="12.75"/>
    <row r="27506" ht="12.75"/>
    <row r="27507" ht="12.75"/>
    <row r="27508" ht="12.75"/>
    <row r="27509" ht="12.75"/>
    <row r="27510" ht="12.75"/>
    <row r="27511" ht="12.75"/>
    <row r="27512" ht="12.75"/>
    <row r="27513" ht="12.75"/>
    <row r="27514" ht="12.75"/>
    <row r="27515" ht="12.75"/>
    <row r="27516" ht="12.75"/>
    <row r="27517" ht="12.75"/>
    <row r="27518" ht="12.75"/>
    <row r="27519" ht="12.75"/>
    <row r="27520" ht="12.75"/>
    <row r="27521" ht="12.75"/>
    <row r="27522" ht="12.75"/>
    <row r="27523" ht="12.75"/>
    <row r="27524" ht="12.75"/>
    <row r="27525" ht="12.75"/>
    <row r="27526" ht="12.75"/>
    <row r="27527" ht="12.75"/>
    <row r="27528" ht="12.75"/>
    <row r="27529" ht="12.75"/>
    <row r="27530" ht="12.75"/>
    <row r="27531" ht="12.75"/>
    <row r="27532" ht="12.75"/>
    <row r="27533" ht="12.75"/>
    <row r="27534" ht="12.75"/>
    <row r="27535" ht="12.75"/>
    <row r="27536" ht="12.75"/>
    <row r="27537" ht="12.75"/>
    <row r="27538" ht="12.75"/>
    <row r="27539" ht="12.75"/>
    <row r="27540" ht="12.75"/>
    <row r="27541" ht="12.75"/>
    <row r="27542" ht="12.75"/>
    <row r="27543" ht="12.75"/>
    <row r="27544" ht="12.75"/>
    <row r="27545" ht="12.75"/>
    <row r="27546" ht="12.75"/>
    <row r="27547" ht="12.75"/>
    <row r="27548" ht="12.75"/>
    <row r="27549" ht="12.75"/>
    <row r="27550" ht="12.75"/>
    <row r="27551" ht="12.75"/>
    <row r="27552" ht="12.75"/>
    <row r="27553" ht="12.75"/>
    <row r="27554" ht="12.75"/>
    <row r="27555" ht="12.75"/>
    <row r="27556" ht="12.75"/>
    <row r="27557" ht="12.75"/>
    <row r="27558" ht="12.75"/>
    <row r="27559" ht="12.75"/>
    <row r="27560" ht="12.75"/>
    <row r="27561" ht="12.75"/>
    <row r="27562" ht="12.75"/>
    <row r="27563" ht="12.75"/>
    <row r="27564" ht="12.75"/>
    <row r="27565" ht="12.75"/>
    <row r="27566" ht="12.75"/>
    <row r="27567" ht="12.75"/>
    <row r="27568" ht="12.75"/>
    <row r="27569" ht="12.75"/>
    <row r="27570" ht="12.75"/>
    <row r="27571" ht="12.75"/>
    <row r="27572" ht="12.75"/>
    <row r="27573" ht="12.75"/>
    <row r="27574" ht="12.75"/>
    <row r="27575" ht="12.75"/>
    <row r="27576" ht="12.75"/>
    <row r="27577" ht="12.75"/>
    <row r="27578" ht="12.75"/>
    <row r="27579" ht="12.75"/>
    <row r="27580" ht="12.75"/>
    <row r="27581" ht="12.75"/>
    <row r="27582" ht="12.75"/>
    <row r="27583" ht="12.75"/>
    <row r="27584" ht="12.75"/>
    <row r="27585" ht="12.75"/>
    <row r="27586" ht="12.75"/>
    <row r="27587" ht="12.75"/>
    <row r="27588" ht="12.75"/>
    <row r="27589" ht="12.75"/>
    <row r="27590" ht="12.75"/>
    <row r="27591" ht="12.75"/>
    <row r="27592" ht="12.75"/>
    <row r="27593" ht="12.75"/>
    <row r="27594" ht="12.75"/>
    <row r="27595" ht="12.75"/>
    <row r="27596" ht="12.75"/>
    <row r="27597" ht="12.75"/>
    <row r="27598" ht="12.75"/>
    <row r="27599" ht="12.75"/>
    <row r="27600" ht="12.75"/>
    <row r="27601" ht="12.75"/>
    <row r="27602" ht="12.75"/>
    <row r="27603" ht="12.75"/>
    <row r="27604" ht="12.75"/>
    <row r="27605" ht="12.75"/>
    <row r="27606" ht="12.75"/>
    <row r="27607" ht="12.75"/>
    <row r="27608" ht="12.75"/>
    <row r="27609" ht="12.75"/>
    <row r="27610" ht="12.75"/>
    <row r="27611" ht="12.75"/>
    <row r="27612" ht="12.75"/>
    <row r="27613" ht="12.75"/>
    <row r="27614" ht="12.75"/>
    <row r="27615" ht="12.75"/>
    <row r="27616" ht="12.75"/>
    <row r="27617" ht="12.75"/>
    <row r="27618" ht="12.75"/>
    <row r="27619" ht="12.75"/>
    <row r="27620" ht="12.75"/>
    <row r="27621" ht="12.75"/>
    <row r="27622" ht="12.75"/>
    <row r="27623" ht="12.75"/>
    <row r="27624" ht="12.75"/>
    <row r="27625" ht="12.75"/>
    <row r="27626" ht="12.75"/>
    <row r="27627" ht="12.75"/>
    <row r="27628" ht="12.75"/>
    <row r="27629" ht="12.75"/>
    <row r="27630" ht="12.75"/>
    <row r="27631" ht="12.75"/>
    <row r="27632" ht="12.75"/>
    <row r="27633" ht="12.75"/>
    <row r="27634" ht="12.75"/>
    <row r="27635" ht="12.75"/>
    <row r="27636" ht="12.75"/>
    <row r="27637" ht="12.75"/>
    <row r="27638" ht="12.75"/>
    <row r="27639" ht="12.75"/>
    <row r="27640" ht="12.75"/>
    <row r="27641" ht="12.75"/>
    <row r="27642" ht="12.75"/>
    <row r="27643" ht="12.75"/>
    <row r="27644" ht="12.75"/>
    <row r="27645" ht="12.75"/>
    <row r="27646" ht="12.75"/>
    <row r="27647" ht="12.75"/>
    <row r="27648" ht="12.75"/>
    <row r="27649" ht="12.75"/>
    <row r="27650" ht="12.75"/>
    <row r="27651" ht="12.75"/>
    <row r="27652" ht="12.75"/>
    <row r="27653" ht="12.75"/>
    <row r="27654" ht="12.75"/>
    <row r="27655" ht="12.75"/>
    <row r="27656" ht="12.75"/>
    <row r="27657" ht="12.75"/>
    <row r="27658" ht="12.75"/>
    <row r="27659" ht="12.75"/>
    <row r="27660" ht="12.75"/>
    <row r="27661" ht="12.75"/>
    <row r="27662" ht="12.75"/>
    <row r="27663" ht="12.75"/>
    <row r="27664" ht="12.75"/>
    <row r="27665" ht="12.75"/>
    <row r="27666" ht="12.75"/>
    <row r="27667" ht="12.75"/>
    <row r="27668" ht="12.75"/>
    <row r="27669" ht="12.75"/>
    <row r="27670" ht="12.75"/>
    <row r="27671" ht="12.75"/>
    <row r="27672" ht="12.75"/>
    <row r="27673" ht="12.75"/>
    <row r="27674" ht="12.75"/>
    <row r="27675" ht="12.75"/>
    <row r="27676" ht="12.75"/>
    <row r="27677" ht="12.75"/>
    <row r="27678" ht="12.75"/>
    <row r="27679" ht="12.75"/>
    <row r="27680" ht="12.75"/>
    <row r="27681" ht="12.75"/>
    <row r="27682" ht="12.75"/>
    <row r="27683" ht="12.75"/>
    <row r="27684" ht="12.75"/>
    <row r="27685" ht="12.75"/>
    <row r="27686" ht="12.75"/>
    <row r="27687" ht="12.75"/>
    <row r="27688" ht="12.75"/>
    <row r="27689" ht="12.75"/>
    <row r="27690" ht="12.75"/>
    <row r="27691" ht="12.75"/>
    <row r="27692" ht="12.75"/>
    <row r="27693" ht="12.75"/>
    <row r="27694" ht="12.75"/>
    <row r="27695" ht="12.75"/>
    <row r="27696" ht="12.75"/>
    <row r="27697" ht="12.75"/>
    <row r="27698" ht="12.75"/>
    <row r="27699" ht="12.75"/>
    <row r="27700" ht="12.75"/>
    <row r="27701" ht="12.75"/>
    <row r="27702" ht="12.75"/>
    <row r="27703" ht="12.75"/>
    <row r="27704" ht="12.75"/>
    <row r="27705" ht="12.75"/>
    <row r="27706" ht="12.75"/>
    <row r="27707" ht="12.75"/>
    <row r="27708" ht="12.75"/>
    <row r="27709" ht="12.75"/>
    <row r="27710" ht="12.75"/>
    <row r="27711" ht="12.75"/>
    <row r="27712" ht="12.75"/>
    <row r="27713" ht="12.75"/>
    <row r="27714" ht="12.75"/>
    <row r="27715" ht="12.75"/>
    <row r="27716" ht="12.75"/>
    <row r="27717" ht="12.75"/>
    <row r="27718" ht="12.75"/>
    <row r="27719" ht="12.75"/>
    <row r="27720" ht="12.75"/>
    <row r="27721" ht="12.75"/>
    <row r="27722" ht="12.75"/>
    <row r="27723" ht="12.75"/>
    <row r="27724" ht="12.75"/>
    <row r="27725" ht="12.75"/>
    <row r="27726" ht="12.75"/>
    <row r="27727" ht="12.75"/>
    <row r="27728" ht="12.75"/>
    <row r="27729" ht="12.75"/>
    <row r="27730" ht="12.75"/>
    <row r="27731" ht="12.75"/>
    <row r="27732" ht="12.75"/>
    <row r="27733" ht="12.75"/>
    <row r="27734" ht="12.75"/>
    <row r="27735" ht="12.75"/>
    <row r="27736" ht="12.75"/>
    <row r="27737" ht="12.75"/>
    <row r="27738" ht="12.75"/>
    <row r="27739" ht="12.75"/>
    <row r="27740" ht="12.75"/>
    <row r="27741" ht="12.75"/>
    <row r="27742" ht="12.75"/>
    <row r="27743" ht="12.75"/>
    <row r="27744" ht="12.75"/>
    <row r="27745" ht="12.75"/>
    <row r="27746" ht="12.75"/>
    <row r="27747" ht="12.75"/>
    <row r="27748" ht="12.75"/>
    <row r="27749" ht="12.75"/>
    <row r="27750" ht="12.75"/>
    <row r="27751" ht="12.75"/>
    <row r="27752" ht="12.75"/>
    <row r="27753" ht="12.75"/>
    <row r="27754" ht="12.75"/>
    <row r="27755" ht="12.75"/>
    <row r="27756" ht="12.75"/>
    <row r="27757" ht="12.75"/>
    <row r="27758" ht="12.75"/>
    <row r="27759" ht="12.75"/>
    <row r="27760" ht="12.75"/>
    <row r="27761" ht="12.75"/>
    <row r="27762" ht="12.75"/>
    <row r="27763" ht="12.75"/>
    <row r="27764" ht="12.75"/>
    <row r="27765" ht="12.75"/>
    <row r="27766" ht="12.75"/>
    <row r="27767" ht="12.75"/>
    <row r="27768" ht="12.75"/>
    <row r="27769" ht="12.75"/>
    <row r="27770" ht="12.75"/>
    <row r="27771" ht="12.75"/>
    <row r="27772" ht="12.75"/>
    <row r="27773" ht="12.75"/>
    <row r="27774" ht="12.75"/>
    <row r="27775" ht="12.75"/>
    <row r="27776" ht="12.75"/>
    <row r="27777" ht="12.75"/>
    <row r="27778" ht="12.75"/>
    <row r="27779" ht="12.75"/>
    <row r="27780" ht="12.75"/>
    <row r="27781" ht="12.75"/>
    <row r="27782" ht="12.75"/>
    <row r="27783" ht="12.75"/>
    <row r="27784" ht="12.75"/>
    <row r="27785" ht="12.75"/>
    <row r="27786" ht="12.75"/>
    <row r="27787" ht="12.75"/>
    <row r="27788" ht="12.75"/>
    <row r="27789" ht="12.75"/>
    <row r="27790" ht="12.75"/>
    <row r="27791" ht="12.75"/>
    <row r="27792" ht="12.75"/>
    <row r="27793" ht="12.75"/>
    <row r="27794" ht="12.75"/>
    <row r="27795" ht="12.75"/>
    <row r="27796" ht="12.75"/>
    <row r="27797" ht="12.75"/>
    <row r="27798" ht="12.75"/>
    <row r="27799" ht="12.75"/>
    <row r="27800" ht="12.75"/>
    <row r="27801" ht="12.75"/>
    <row r="27802" ht="12.75"/>
    <row r="27803" ht="12.75"/>
    <row r="27804" ht="12.75"/>
    <row r="27805" ht="12.75"/>
    <row r="27806" ht="12.75"/>
    <row r="27807" ht="12.75"/>
    <row r="27808" ht="12.75"/>
    <row r="27809" ht="12.75"/>
    <row r="27810" ht="12.75"/>
    <row r="27811" ht="12.75"/>
    <row r="27812" ht="12.75"/>
    <row r="27813" ht="12.75"/>
    <row r="27814" ht="12.75"/>
    <row r="27815" ht="12.75"/>
    <row r="27816" ht="12.75"/>
    <row r="27817" ht="12.75"/>
    <row r="27818" ht="12.75"/>
    <row r="27819" ht="12.75"/>
    <row r="27820" ht="12.75"/>
    <row r="27821" ht="12.75"/>
    <row r="27822" ht="12.75"/>
    <row r="27823" ht="12.75"/>
    <row r="27824" ht="12.75"/>
    <row r="27825" ht="12.75"/>
    <row r="27826" ht="12.75"/>
    <row r="27827" ht="12.75"/>
    <row r="27828" ht="12.75"/>
    <row r="27829" ht="12.75"/>
    <row r="27830" ht="12.75"/>
    <row r="27831" ht="12.75"/>
    <row r="27832" ht="12.75"/>
    <row r="27833" ht="12.75"/>
    <row r="27834" ht="12.75"/>
    <row r="27835" ht="12.75"/>
    <row r="27836" ht="12.75"/>
    <row r="27837" ht="12.75"/>
    <row r="27838" ht="12.75"/>
    <row r="27839" ht="12.75"/>
    <row r="27840" ht="12.75"/>
    <row r="27841" ht="12.75"/>
    <row r="27842" ht="12.75"/>
    <row r="27843" ht="12.75"/>
    <row r="27844" ht="12.75"/>
    <row r="27845" ht="12.75"/>
    <row r="27846" ht="12.75"/>
    <row r="27847" ht="12.75"/>
    <row r="27848" ht="12.75"/>
    <row r="27849" ht="12.75"/>
    <row r="27850" ht="12.75"/>
    <row r="27851" ht="12.75"/>
    <row r="27852" ht="12.75"/>
    <row r="27853" ht="12.75"/>
    <row r="27854" ht="12.75"/>
    <row r="27855" ht="12.75"/>
    <row r="27856" ht="12.75"/>
    <row r="27857" ht="12.75"/>
    <row r="27858" ht="12.75"/>
    <row r="27859" ht="12.75"/>
    <row r="27860" ht="12.75"/>
    <row r="27861" ht="12.75"/>
    <row r="27862" ht="12.75"/>
    <row r="27863" ht="12.75"/>
    <row r="27864" ht="12.75"/>
    <row r="27865" ht="12.75"/>
    <row r="27866" ht="12.75"/>
    <row r="27867" ht="12.75"/>
    <row r="27868" ht="12.75"/>
    <row r="27869" ht="12.75"/>
    <row r="27870" ht="12.75"/>
    <row r="27871" ht="12.75"/>
    <row r="27872" ht="12.75"/>
    <row r="27873" ht="12.75"/>
    <row r="27874" ht="12.75"/>
    <row r="27875" ht="12.75"/>
    <row r="27876" ht="12.75"/>
    <row r="27877" ht="12.75"/>
    <row r="27878" ht="12.75"/>
    <row r="27879" ht="12.75"/>
    <row r="27880" ht="12.75"/>
    <row r="27881" ht="12.75"/>
    <row r="27882" ht="12.75"/>
    <row r="27883" ht="12.75"/>
    <row r="27884" ht="12.75"/>
    <row r="27885" ht="12.75"/>
    <row r="27886" ht="12.75"/>
    <row r="27887" ht="12.75"/>
    <row r="27888" ht="12.75"/>
    <row r="27889" ht="12.75"/>
    <row r="27890" ht="12.75"/>
    <row r="27891" ht="12.75"/>
    <row r="27892" ht="12.75"/>
    <row r="27893" ht="12.75"/>
    <row r="27894" ht="12.75"/>
    <row r="27895" ht="12.75"/>
    <row r="27896" ht="12.75"/>
    <row r="27897" ht="12.75"/>
    <row r="27898" ht="12.75"/>
    <row r="27899" ht="12.75"/>
    <row r="27900" ht="12.75"/>
    <row r="27901" ht="12.75"/>
    <row r="27902" ht="12.75"/>
    <row r="27903" ht="12.75"/>
    <row r="27904" ht="12.75"/>
    <row r="27905" ht="12.75"/>
    <row r="27906" ht="12.75"/>
    <row r="27907" ht="12.75"/>
    <row r="27908" ht="12.75"/>
    <row r="27909" ht="12.75"/>
    <row r="27910" ht="12.75"/>
    <row r="27911" ht="12.75"/>
    <row r="27912" ht="12.75"/>
    <row r="27913" ht="12.75"/>
    <row r="27914" ht="12.75"/>
    <row r="27915" ht="12.75"/>
    <row r="27916" ht="12.75"/>
    <row r="27917" ht="12.75"/>
    <row r="27918" ht="12.75"/>
    <row r="27919" ht="12.75"/>
    <row r="27920" ht="12.75"/>
    <row r="27921" ht="12.75"/>
    <row r="27922" ht="12.75"/>
    <row r="27923" ht="12.75"/>
    <row r="27924" ht="12.75"/>
    <row r="27925" ht="12.75"/>
    <row r="27926" ht="12.75"/>
    <row r="27927" ht="12.75"/>
    <row r="27928" ht="12.75"/>
    <row r="27929" ht="12.75"/>
    <row r="27930" ht="12.75"/>
    <row r="27931" ht="12.75"/>
    <row r="27932" ht="12.75"/>
    <row r="27933" ht="12.75"/>
    <row r="27934" ht="12.75"/>
    <row r="27935" ht="12.75"/>
    <row r="27936" ht="12.75"/>
    <row r="27937" ht="12.75"/>
    <row r="27938" ht="12.75"/>
    <row r="27939" ht="12.75"/>
    <row r="27940" ht="12.75"/>
    <row r="27941" ht="12.75"/>
    <row r="27942" ht="12.75"/>
    <row r="27943" ht="12.75"/>
    <row r="27944" ht="12.75"/>
    <row r="27945" ht="12.75"/>
    <row r="27946" ht="12.75"/>
    <row r="27947" ht="12.75"/>
    <row r="27948" ht="12.75"/>
    <row r="27949" ht="12.75"/>
    <row r="27950" ht="12.75"/>
    <row r="27951" ht="12.75"/>
    <row r="27952" ht="12.75"/>
    <row r="27953" ht="12.75"/>
    <row r="27954" ht="12.75"/>
    <row r="27955" ht="12.75"/>
    <row r="27956" ht="12.75"/>
    <row r="27957" ht="12.75"/>
    <row r="27958" ht="12.75"/>
    <row r="27959" ht="12.75"/>
    <row r="27960" ht="12.75"/>
    <row r="27961" ht="12.75"/>
    <row r="27962" ht="12.75"/>
    <row r="27963" ht="12.75"/>
    <row r="27964" ht="12.75"/>
    <row r="27965" ht="12.75"/>
    <row r="27966" ht="12.75"/>
    <row r="27967" ht="12.75"/>
    <row r="27968" ht="12.75"/>
    <row r="27969" ht="12.75"/>
    <row r="27970" ht="12.75"/>
    <row r="27971" ht="12.75"/>
    <row r="27972" ht="12.75"/>
    <row r="27973" ht="12.75"/>
    <row r="27974" ht="12.75"/>
    <row r="27975" ht="12.75"/>
    <row r="27976" ht="12.75"/>
    <row r="27977" ht="12.75"/>
    <row r="27978" ht="12.75"/>
    <row r="27979" ht="12.75"/>
    <row r="27980" ht="12.75"/>
    <row r="27981" ht="12.75"/>
    <row r="27982" ht="12.75"/>
    <row r="27983" ht="12.75"/>
    <row r="27984" ht="12.75"/>
    <row r="27985" ht="12.75"/>
    <row r="27986" ht="12.75"/>
    <row r="27987" ht="12.75"/>
    <row r="27988" ht="12.75"/>
    <row r="27989" ht="12.75"/>
    <row r="27990" ht="12.75"/>
    <row r="27991" ht="12.75"/>
    <row r="27992" ht="12.75"/>
    <row r="27993" ht="12.75"/>
    <row r="27994" ht="12.75"/>
    <row r="27995" ht="12.75"/>
    <row r="27996" ht="12.75"/>
    <row r="27997" ht="12.75"/>
    <row r="27998" ht="12.75"/>
    <row r="27999" ht="12.75"/>
    <row r="28000" ht="12.75"/>
    <row r="28001" ht="12.75"/>
    <row r="28002" ht="12.75"/>
    <row r="28003" ht="12.75"/>
    <row r="28004" ht="12.75"/>
    <row r="28005" ht="12.75"/>
    <row r="28006" ht="12.75"/>
    <row r="28007" ht="12.75"/>
    <row r="28008" ht="12.75"/>
    <row r="28009" ht="12.75"/>
    <row r="28010" ht="12.75"/>
    <row r="28011" ht="12.75"/>
    <row r="28012" ht="12.75"/>
    <row r="28013" ht="12.75"/>
    <row r="28014" ht="12.75"/>
    <row r="28015" ht="12.75"/>
    <row r="28016" ht="12.75"/>
    <row r="28017" ht="12.75"/>
    <row r="28018" ht="12.75"/>
    <row r="28019" ht="12.75"/>
    <row r="28020" ht="12.75"/>
    <row r="28021" ht="12.75"/>
    <row r="28022" ht="12.75"/>
    <row r="28023" ht="12.75"/>
    <row r="28024" ht="12.75"/>
    <row r="28025" ht="12.75"/>
    <row r="28026" ht="12.75"/>
    <row r="28027" ht="12.75"/>
    <row r="28028" ht="12.75"/>
    <row r="28029" ht="12.75"/>
    <row r="28030" ht="12.75"/>
    <row r="28031" ht="12.75"/>
    <row r="28032" ht="12.75"/>
    <row r="28033" ht="12.75"/>
    <row r="28034" ht="12.75"/>
    <row r="28035" ht="12.75"/>
    <row r="28036" ht="12.75"/>
    <row r="28037" ht="12.75"/>
    <row r="28038" ht="12.75"/>
    <row r="28039" ht="12.75"/>
    <row r="28040" ht="12.75"/>
    <row r="28041" ht="12.75"/>
    <row r="28042" ht="12.75"/>
    <row r="28043" ht="12.75"/>
    <row r="28044" ht="12.75"/>
    <row r="28045" ht="12.75"/>
    <row r="28046" ht="12.75"/>
    <row r="28047" ht="12.75"/>
    <row r="28048" ht="12.75"/>
    <row r="28049" ht="12.75"/>
    <row r="28050" ht="12.75"/>
    <row r="28051" ht="12.75"/>
    <row r="28052" ht="12.75"/>
    <row r="28053" ht="12.75"/>
    <row r="28054" ht="12.75"/>
    <row r="28055" ht="12.75"/>
    <row r="28056" ht="12.75"/>
    <row r="28057" ht="12.75"/>
    <row r="28058" ht="12.75"/>
    <row r="28059" ht="12.75"/>
    <row r="28060" ht="12.75"/>
    <row r="28061" ht="12.75"/>
    <row r="28062" ht="12.75"/>
    <row r="28063" ht="12.75"/>
    <row r="28064" ht="12.75"/>
    <row r="28065" ht="12.75"/>
    <row r="28066" ht="12.75"/>
    <row r="28067" ht="12.75"/>
    <row r="28068" ht="12.75"/>
    <row r="28069" ht="12.75"/>
    <row r="28070" ht="12.75"/>
    <row r="28071" ht="12.75"/>
    <row r="28072" ht="12.75"/>
    <row r="28073" ht="12.75"/>
    <row r="28074" ht="12.75"/>
    <row r="28075" ht="12.75"/>
    <row r="28076" ht="12.75"/>
    <row r="28077" ht="12.75"/>
    <row r="28078" ht="12.75"/>
    <row r="28079" ht="12.75"/>
    <row r="28080" ht="12.75"/>
    <row r="28081" ht="12.75"/>
    <row r="28082" ht="12.75"/>
    <row r="28083" ht="12.75"/>
    <row r="28084" ht="12.75"/>
    <row r="28085" ht="12.75"/>
    <row r="28086" ht="12.75"/>
    <row r="28087" ht="12.75"/>
    <row r="28088" ht="12.75"/>
    <row r="28089" ht="12.75"/>
    <row r="28090" ht="12.75"/>
    <row r="28091" ht="12.75"/>
    <row r="28092" ht="12.75"/>
    <row r="28093" ht="12.75"/>
    <row r="28094" ht="12.75"/>
    <row r="28095" ht="12.75"/>
    <row r="28096" ht="12.75"/>
    <row r="28097" ht="12.75"/>
    <row r="28098" ht="12.75"/>
    <row r="28099" ht="12.75"/>
    <row r="28100" ht="12.75"/>
    <row r="28101" ht="12.75"/>
    <row r="28102" ht="12.75"/>
    <row r="28103" ht="12.75"/>
    <row r="28104" ht="12.75"/>
    <row r="28105" ht="12.75"/>
    <row r="28106" ht="12.75"/>
    <row r="28107" ht="12.75"/>
    <row r="28108" ht="12.75"/>
    <row r="28109" ht="12.75"/>
    <row r="28110" ht="12.75"/>
    <row r="28111" ht="12.75"/>
    <row r="28112" ht="12.75"/>
    <row r="28113" ht="12.75"/>
    <row r="28114" ht="12.75"/>
    <row r="28115" ht="12.75"/>
    <row r="28116" ht="12.75"/>
    <row r="28117" ht="12.75"/>
    <row r="28118" ht="12.75"/>
    <row r="28119" ht="12.75"/>
    <row r="28120" ht="12.75"/>
    <row r="28121" ht="12.75"/>
    <row r="28122" ht="12.75"/>
    <row r="28123" ht="12.75"/>
    <row r="28124" ht="12.75"/>
    <row r="28125" ht="12.75"/>
    <row r="28126" ht="12.75"/>
    <row r="28127" ht="12.75"/>
    <row r="28128" ht="12.75"/>
    <row r="28129" ht="12.75"/>
    <row r="28130" ht="12.75"/>
    <row r="28131" ht="12.75"/>
    <row r="28132" ht="12.75"/>
    <row r="28133" ht="12.75"/>
    <row r="28134" ht="12.75"/>
    <row r="28135" ht="12.75"/>
    <row r="28136" ht="12.75"/>
    <row r="28137" ht="12.75"/>
    <row r="28138" ht="12.75"/>
    <row r="28139" ht="12.75"/>
    <row r="28140" ht="12.75"/>
    <row r="28141" ht="12.75"/>
    <row r="28142" ht="12.75"/>
    <row r="28143" ht="12.75"/>
    <row r="28144" ht="12.75"/>
    <row r="28145" ht="12.75"/>
    <row r="28146" ht="12.75"/>
    <row r="28147" ht="12.75"/>
    <row r="28148" ht="12.75"/>
    <row r="28149" ht="12.75"/>
    <row r="28150" ht="12.75"/>
    <row r="28151" ht="12.75"/>
    <row r="28152" ht="12.75"/>
    <row r="28153" ht="12.75"/>
    <row r="28154" ht="12.75"/>
    <row r="28155" ht="12.75"/>
    <row r="28156" ht="12.75"/>
    <row r="28157" ht="12.75"/>
    <row r="28158" ht="12.75"/>
    <row r="28159" ht="12.75"/>
    <row r="28160" ht="12.75"/>
    <row r="28161" ht="12.75"/>
    <row r="28162" ht="12.75"/>
    <row r="28163" ht="12.75"/>
    <row r="28164" ht="12.75"/>
    <row r="28165" ht="12.75"/>
    <row r="28166" ht="12.75"/>
    <row r="28167" ht="12.75"/>
    <row r="28168" ht="12.75"/>
    <row r="28169" ht="12.75"/>
    <row r="28170" ht="12.75"/>
    <row r="28171" ht="12.75"/>
    <row r="28172" ht="12.75"/>
    <row r="28173" ht="12.75"/>
    <row r="28174" ht="12.75"/>
    <row r="28175" ht="12.75"/>
    <row r="28176" ht="12.75"/>
    <row r="28177" ht="12.75"/>
    <row r="28178" ht="12.75"/>
    <row r="28179" ht="12.75"/>
    <row r="28180" ht="12.75"/>
    <row r="28181" ht="12.75"/>
    <row r="28182" ht="12.75"/>
    <row r="28183" ht="12.75"/>
    <row r="28184" ht="12.75"/>
    <row r="28185" ht="12.75"/>
    <row r="28186" ht="12.75"/>
    <row r="28187" ht="12.75"/>
    <row r="28188" ht="12.75"/>
    <row r="28189" ht="12.75"/>
    <row r="28190" ht="12.75"/>
    <row r="28191" ht="12.75"/>
    <row r="28192" ht="12.75"/>
    <row r="28193" ht="12.75"/>
    <row r="28194" ht="12.75"/>
    <row r="28195" ht="12.75"/>
    <row r="28196" ht="12.75"/>
    <row r="28197" ht="12.75"/>
    <row r="28198" ht="12.75"/>
    <row r="28199" ht="12.75"/>
    <row r="28200" ht="12.75"/>
    <row r="28201" ht="12.75"/>
    <row r="28202" ht="12.75"/>
    <row r="28203" ht="12.75"/>
    <row r="28204" ht="12.75"/>
    <row r="28205" ht="12.75"/>
    <row r="28206" ht="12.75"/>
    <row r="28207" ht="12.75"/>
    <row r="28208" ht="12.75"/>
    <row r="28209" ht="12.75"/>
    <row r="28210" ht="12.75"/>
    <row r="28211" ht="12.75"/>
    <row r="28212" ht="12.75"/>
    <row r="28213" ht="12.75"/>
    <row r="28214" ht="12.75"/>
    <row r="28215" ht="12.75"/>
    <row r="28216" ht="12.75"/>
    <row r="28217" ht="12.75"/>
    <row r="28218" ht="12.75"/>
    <row r="28219" ht="12.75"/>
    <row r="28220" ht="12.75"/>
    <row r="28221" ht="12.75"/>
    <row r="28222" ht="12.75"/>
    <row r="28223" ht="12.75"/>
    <row r="28224" ht="12.75"/>
    <row r="28225" ht="12.75"/>
    <row r="28226" ht="12.75"/>
    <row r="28227" ht="12.75"/>
    <row r="28228" ht="12.75"/>
    <row r="28229" ht="12.75"/>
    <row r="28230" ht="12.75"/>
    <row r="28231" ht="12.75"/>
    <row r="28232" ht="12.75"/>
    <row r="28233" ht="12.75"/>
    <row r="28234" ht="12.75"/>
    <row r="28235" ht="12.75"/>
    <row r="28236" ht="12.75"/>
    <row r="28237" ht="12.75"/>
    <row r="28238" ht="12.75"/>
    <row r="28239" ht="12.75"/>
    <row r="28240" ht="12.75"/>
    <row r="28241" ht="12.75"/>
    <row r="28242" ht="12.75"/>
    <row r="28243" ht="12.75"/>
    <row r="28244" ht="12.75"/>
    <row r="28245" ht="12.75"/>
    <row r="28246" ht="12.75"/>
    <row r="28247" ht="12.75"/>
    <row r="28248" ht="12.75"/>
    <row r="28249" ht="12.75"/>
    <row r="28250" ht="12.75"/>
    <row r="28251" ht="12.75"/>
    <row r="28252" ht="12.75"/>
    <row r="28253" ht="12.75"/>
    <row r="28254" ht="12.75"/>
    <row r="28255" ht="12.75"/>
    <row r="28256" ht="12.75"/>
    <row r="28257" ht="12.75"/>
    <row r="28258" ht="12.75"/>
    <row r="28259" ht="12.75"/>
    <row r="28260" ht="12.75"/>
    <row r="28261" ht="12.75"/>
    <row r="28262" ht="12.75"/>
    <row r="28263" ht="12.75"/>
    <row r="28264" ht="12.75"/>
    <row r="28265" ht="12.75"/>
    <row r="28266" ht="12.75"/>
    <row r="28267" ht="12.75"/>
    <row r="28268" ht="12.75"/>
    <row r="28269" ht="12.75"/>
    <row r="28270" ht="12.75"/>
    <row r="28271" ht="12.75"/>
    <row r="28272" ht="12.75"/>
    <row r="28273" ht="12.75"/>
    <row r="28274" ht="12.75"/>
    <row r="28275" ht="12.75"/>
    <row r="28276" ht="12.75"/>
    <row r="28277" ht="12.75"/>
    <row r="28278" ht="12.75"/>
    <row r="28279" ht="12.75"/>
    <row r="28280" ht="12.75"/>
    <row r="28281" ht="12.75"/>
    <row r="28282" ht="12.75"/>
    <row r="28283" ht="12.75"/>
    <row r="28284" ht="12.75"/>
    <row r="28285" ht="12.75"/>
    <row r="28286" ht="12.75"/>
    <row r="28287" ht="12.75"/>
    <row r="28288" ht="12.75"/>
    <row r="28289" ht="12.75"/>
    <row r="28290" ht="12.75"/>
    <row r="28291" ht="12.75"/>
    <row r="28292" ht="12.75"/>
    <row r="28293" ht="12.75"/>
    <row r="28294" ht="12.75"/>
    <row r="28295" ht="12.75"/>
    <row r="28296" ht="12.75"/>
    <row r="28297" ht="12.75"/>
    <row r="28298" ht="12.75"/>
    <row r="28299" ht="12.75"/>
    <row r="28300" ht="12.75"/>
    <row r="28301" ht="12.75"/>
    <row r="28302" ht="12.75"/>
    <row r="28303" ht="12.75"/>
    <row r="28304" ht="12.75"/>
    <row r="28305" ht="12.75"/>
    <row r="28306" ht="12.75"/>
    <row r="28307" ht="12.75"/>
    <row r="28308" ht="12.75"/>
    <row r="28309" ht="12.75"/>
    <row r="28310" ht="12.75"/>
    <row r="28311" ht="12.75"/>
    <row r="28312" ht="12.75"/>
    <row r="28313" ht="12.75"/>
    <row r="28314" ht="12.75"/>
    <row r="28315" ht="12.75"/>
    <row r="28316" ht="12.75"/>
    <row r="28317" ht="12.75"/>
    <row r="28318" ht="12.75"/>
    <row r="28319" ht="12.75"/>
    <row r="28320" ht="12.75"/>
    <row r="28321" ht="12.75"/>
    <row r="28322" ht="12.75"/>
    <row r="28323" ht="12.75"/>
    <row r="28324" ht="12.75"/>
    <row r="28325" ht="12.75"/>
    <row r="28326" ht="12.75"/>
    <row r="28327" ht="12.75"/>
    <row r="28328" ht="12.75"/>
    <row r="28329" ht="12.75"/>
    <row r="28330" ht="12.75"/>
    <row r="28331" ht="12.75"/>
    <row r="28332" ht="12.75"/>
    <row r="28333" ht="12.75"/>
    <row r="28334" ht="12.75"/>
    <row r="28335" ht="12.75"/>
    <row r="28336" ht="12.75"/>
    <row r="28337" ht="12.75"/>
    <row r="28338" ht="12.75"/>
    <row r="28339" ht="12.75"/>
    <row r="28340" ht="12.75"/>
    <row r="28341" ht="12.75"/>
    <row r="28342" ht="12.75"/>
    <row r="28343" ht="12.75"/>
    <row r="28344" ht="12.75"/>
    <row r="28345" ht="12.75"/>
    <row r="28346" ht="12.75"/>
    <row r="28347" ht="12.75"/>
    <row r="28348" ht="12.75"/>
    <row r="28349" ht="12.75"/>
    <row r="28350" ht="12.75"/>
    <row r="28351" ht="12.75"/>
    <row r="28352" ht="12.75"/>
    <row r="28353" ht="12.75"/>
    <row r="28354" ht="12.75"/>
    <row r="28355" ht="12.75"/>
    <row r="28356" ht="12.75"/>
    <row r="28357" ht="12.75"/>
    <row r="28358" ht="12.75"/>
    <row r="28359" ht="12.75"/>
    <row r="28360" ht="12.75"/>
    <row r="28361" ht="12.75"/>
    <row r="28362" ht="12.75"/>
    <row r="28363" ht="12.75"/>
    <row r="28364" ht="12.75"/>
    <row r="28365" ht="12.75"/>
    <row r="28366" ht="12.75"/>
    <row r="28367" ht="12.75"/>
    <row r="28368" ht="12.75"/>
    <row r="28369" ht="12.75"/>
    <row r="28370" ht="12.75"/>
    <row r="28371" ht="12.75"/>
    <row r="28372" ht="12.75"/>
    <row r="28373" ht="12.75"/>
    <row r="28374" ht="12.75"/>
    <row r="28375" ht="12.75"/>
    <row r="28376" ht="12.75"/>
    <row r="28377" ht="12.75"/>
    <row r="28378" ht="12.75"/>
    <row r="28379" ht="12.75"/>
    <row r="28380" ht="12.75"/>
    <row r="28381" ht="12.75"/>
    <row r="28382" ht="12.75"/>
    <row r="28383" ht="12.75"/>
    <row r="28384" ht="12.75"/>
    <row r="28385" ht="12.75"/>
    <row r="28386" ht="12.75"/>
    <row r="28387" ht="12.75"/>
    <row r="28388" ht="12.75"/>
    <row r="28389" ht="12.75"/>
    <row r="28390" ht="12.75"/>
    <row r="28391" ht="12.75"/>
    <row r="28392" ht="12.75"/>
    <row r="28393" ht="12.75"/>
    <row r="28394" ht="12.75"/>
    <row r="28395" ht="12.75"/>
    <row r="28396" ht="12.75"/>
    <row r="28397" ht="12.75"/>
    <row r="28398" ht="12.75"/>
    <row r="28399" ht="12.75"/>
    <row r="28400" ht="12.75"/>
    <row r="28401" ht="12.75"/>
    <row r="28402" ht="12.75"/>
    <row r="28403" ht="12.75"/>
    <row r="28404" ht="12.75"/>
    <row r="28405" ht="12.75"/>
    <row r="28406" ht="12.75"/>
    <row r="28407" ht="12.75"/>
    <row r="28408" ht="12.75"/>
    <row r="28409" ht="12.75"/>
    <row r="28410" ht="12.75"/>
    <row r="28411" ht="12.75"/>
    <row r="28412" ht="12.75"/>
    <row r="28413" ht="12.75"/>
    <row r="28414" ht="12.75"/>
    <row r="28415" ht="12.75"/>
    <row r="28416" ht="12.75"/>
    <row r="28417" ht="12.75"/>
    <row r="28418" ht="12.75"/>
    <row r="28419" ht="12.75"/>
    <row r="28420" ht="12.75"/>
    <row r="28421" ht="12.75"/>
    <row r="28422" ht="12.75"/>
    <row r="28423" ht="12.75"/>
    <row r="28424" ht="12.75"/>
    <row r="28425" ht="12.75"/>
    <row r="28426" ht="12.75"/>
    <row r="28427" ht="12.75"/>
    <row r="28428" ht="12.75"/>
    <row r="28429" ht="12.75"/>
    <row r="28430" ht="12.75"/>
    <row r="28431" ht="12.75"/>
    <row r="28432" ht="12.75"/>
    <row r="28433" ht="12.75"/>
    <row r="28434" ht="12.75"/>
    <row r="28435" ht="12.75"/>
    <row r="28436" ht="12.75"/>
    <row r="28437" ht="12.75"/>
    <row r="28438" ht="12.75"/>
    <row r="28439" ht="12.75"/>
    <row r="28440" ht="12.75"/>
    <row r="28441" ht="12.75"/>
    <row r="28442" ht="12.75"/>
    <row r="28443" ht="12.75"/>
    <row r="28444" ht="12.75"/>
    <row r="28445" ht="12.75"/>
    <row r="28446" ht="12.75"/>
    <row r="28447" ht="12.75"/>
    <row r="28448" ht="12.75"/>
    <row r="28449" ht="12.75"/>
    <row r="28450" ht="12.75"/>
    <row r="28451" ht="12.75"/>
    <row r="28452" ht="12.75"/>
    <row r="28453" ht="12.75"/>
    <row r="28454" ht="12.75"/>
    <row r="28455" ht="12.75"/>
    <row r="28456" ht="12.75"/>
    <row r="28457" ht="12.75"/>
    <row r="28458" ht="12.75"/>
    <row r="28459" ht="12.75"/>
    <row r="28460" ht="12.75"/>
    <row r="28461" ht="12.75"/>
    <row r="28462" ht="12.75"/>
    <row r="28463" ht="12.75"/>
    <row r="28464" ht="12.75"/>
    <row r="28465" ht="12.75"/>
    <row r="28466" ht="12.75"/>
    <row r="28467" ht="12.75"/>
    <row r="28468" ht="12.75"/>
    <row r="28469" ht="12.75"/>
    <row r="28470" ht="12.75"/>
    <row r="28471" ht="12.75"/>
    <row r="28472" ht="12.75"/>
    <row r="28473" ht="12.75"/>
    <row r="28474" ht="12.75"/>
    <row r="28475" ht="12.75"/>
    <row r="28476" ht="12.75"/>
    <row r="28477" ht="12.75"/>
    <row r="28478" ht="12.75"/>
    <row r="28479" ht="12.75"/>
    <row r="28480" ht="12.75"/>
    <row r="28481" ht="12.75"/>
    <row r="28482" ht="12.75"/>
    <row r="28483" ht="12.75"/>
    <row r="28484" ht="12.75"/>
    <row r="28485" ht="12.75"/>
    <row r="28486" ht="12.75"/>
    <row r="28487" ht="12.75"/>
    <row r="28488" ht="12.75"/>
    <row r="28489" ht="12.75"/>
    <row r="28490" ht="12.75"/>
    <row r="28491" ht="12.75"/>
    <row r="28492" ht="12.75"/>
    <row r="28493" ht="12.75"/>
    <row r="28494" ht="12.75"/>
    <row r="28495" ht="12.75"/>
    <row r="28496" ht="12.75"/>
    <row r="28497" ht="12.75"/>
    <row r="28498" ht="12.75"/>
    <row r="28499" ht="12.75"/>
    <row r="28500" ht="12.75"/>
    <row r="28501" ht="12.75"/>
    <row r="28502" ht="12.75"/>
    <row r="28503" ht="12.75"/>
    <row r="28504" ht="12.75"/>
    <row r="28505" ht="12.75"/>
    <row r="28506" ht="12.75"/>
    <row r="28507" ht="12.75"/>
    <row r="28508" ht="12.75"/>
    <row r="28509" ht="12.75"/>
    <row r="28510" ht="12.75"/>
    <row r="28511" ht="12.75"/>
    <row r="28512" ht="12.75"/>
    <row r="28513" ht="12.75"/>
    <row r="28514" ht="12.75"/>
    <row r="28515" ht="12.75"/>
    <row r="28516" ht="12.75"/>
    <row r="28517" ht="12.75"/>
    <row r="28518" ht="12.75"/>
    <row r="28519" ht="12.75"/>
    <row r="28520" ht="12.75"/>
    <row r="28521" ht="12.75"/>
    <row r="28522" ht="12.75"/>
    <row r="28523" ht="12.75"/>
    <row r="28524" ht="12.75"/>
    <row r="28525" ht="12.75"/>
    <row r="28526" ht="12.75"/>
    <row r="28527" ht="12.75"/>
    <row r="28528" ht="12.75"/>
    <row r="28529" ht="12.75"/>
    <row r="28530" ht="12.75"/>
    <row r="28531" ht="12.75"/>
    <row r="28532" ht="12.75"/>
    <row r="28533" ht="12.75"/>
    <row r="28534" ht="12.75"/>
    <row r="28535" ht="12.75"/>
    <row r="28536" ht="12.75"/>
    <row r="28537" ht="12.75"/>
    <row r="28538" ht="12.75"/>
    <row r="28539" ht="12.75"/>
    <row r="28540" ht="12.75"/>
    <row r="28541" ht="12.75"/>
    <row r="28542" ht="12.75"/>
    <row r="28543" ht="12.75"/>
    <row r="28544" ht="12.75"/>
    <row r="28545" ht="12.75"/>
    <row r="28546" ht="12.75"/>
    <row r="28547" ht="12.75"/>
    <row r="28548" ht="12.75"/>
    <row r="28549" ht="12.75"/>
    <row r="28550" ht="12.75"/>
    <row r="28551" ht="12.75"/>
    <row r="28552" ht="12.75"/>
    <row r="28553" ht="12.75"/>
    <row r="28554" ht="12.75"/>
    <row r="28555" ht="12.75"/>
    <row r="28556" ht="12.75"/>
    <row r="28557" ht="12.75"/>
    <row r="28558" ht="12.75"/>
    <row r="28559" ht="12.75"/>
    <row r="28560" ht="12.75"/>
    <row r="28561" ht="12.75"/>
    <row r="28562" ht="12.75"/>
    <row r="28563" ht="12.75"/>
    <row r="28564" ht="12.75"/>
    <row r="28565" ht="12.75"/>
    <row r="28566" ht="12.75"/>
    <row r="28567" ht="12.75"/>
    <row r="28568" ht="12.75"/>
    <row r="28569" ht="12.75"/>
    <row r="28570" ht="12.75"/>
    <row r="28571" ht="12.75"/>
    <row r="28572" ht="12.75"/>
    <row r="28573" ht="12.75"/>
    <row r="28574" ht="12.75"/>
    <row r="28575" ht="12.75"/>
    <row r="28576" ht="12.75"/>
    <row r="28577" ht="12.75"/>
    <row r="28578" ht="12.75"/>
    <row r="28579" ht="12.75"/>
    <row r="28580" ht="12.75"/>
    <row r="28581" ht="12.75"/>
    <row r="28582" ht="12.75"/>
    <row r="28583" ht="12.75"/>
    <row r="28584" ht="12.75"/>
    <row r="28585" ht="12.75"/>
    <row r="28586" ht="12.75"/>
    <row r="28587" ht="12.75"/>
    <row r="28588" ht="12.75"/>
    <row r="28589" ht="12.75"/>
    <row r="28590" ht="12.75"/>
    <row r="28591" ht="12.75"/>
    <row r="28592" ht="12.75"/>
    <row r="28593" ht="12.75"/>
    <row r="28594" ht="12.75"/>
    <row r="28595" ht="12.75"/>
    <row r="28596" ht="12.75"/>
    <row r="28597" ht="12.75"/>
    <row r="28598" ht="12.75"/>
    <row r="28599" ht="12.75"/>
    <row r="28600" ht="12.75"/>
    <row r="28601" ht="12.75"/>
    <row r="28602" ht="12.75"/>
    <row r="28603" ht="12.75"/>
    <row r="28604" ht="12.75"/>
    <row r="28605" ht="12.75"/>
    <row r="28606" ht="12.75"/>
    <row r="28607" ht="12.75"/>
    <row r="28608" ht="12.75"/>
    <row r="28609" ht="12.75"/>
    <row r="28610" ht="12.75"/>
    <row r="28611" ht="12.75"/>
    <row r="28612" ht="12.75"/>
    <row r="28613" ht="12.75"/>
    <row r="28614" ht="12.75"/>
    <row r="28615" ht="12.75"/>
    <row r="28616" ht="12.75"/>
    <row r="28617" ht="12.75"/>
    <row r="28618" ht="12.75"/>
    <row r="28619" ht="12.75"/>
    <row r="28620" ht="12.75"/>
    <row r="28621" ht="12.75"/>
    <row r="28622" ht="12.75"/>
    <row r="28623" ht="12.75"/>
    <row r="28624" ht="12.75"/>
    <row r="28625" ht="12.75"/>
    <row r="28626" ht="12.75"/>
    <row r="28627" ht="12.75"/>
    <row r="28628" ht="12.75"/>
    <row r="28629" ht="12.75"/>
    <row r="28630" ht="12.75"/>
    <row r="28631" ht="12.75"/>
    <row r="28632" ht="12.75"/>
    <row r="28633" ht="12.75"/>
    <row r="28634" ht="12.75"/>
    <row r="28635" ht="12.75"/>
    <row r="28636" ht="12.75"/>
    <row r="28637" ht="12.75"/>
    <row r="28638" ht="12.75"/>
    <row r="28639" ht="12.75"/>
    <row r="28640" ht="12.75"/>
    <row r="28641" ht="12.75"/>
    <row r="28642" ht="12.75"/>
    <row r="28643" ht="12.75"/>
    <row r="28644" ht="12.75"/>
    <row r="28645" ht="12.75"/>
    <row r="28646" ht="12.75"/>
    <row r="28647" ht="12.75"/>
    <row r="28648" ht="12.75"/>
    <row r="28649" ht="12.75"/>
    <row r="28650" ht="12.75"/>
    <row r="28651" ht="12.75"/>
    <row r="28652" ht="12.75"/>
    <row r="28653" ht="12.75"/>
    <row r="28654" ht="12.75"/>
    <row r="28655" ht="12.75"/>
    <row r="28656" ht="12.75"/>
    <row r="28657" ht="12.75"/>
    <row r="28658" ht="12.75"/>
    <row r="28659" ht="12.75"/>
    <row r="28660" ht="12.75"/>
    <row r="28661" ht="12.75"/>
    <row r="28662" ht="12.75"/>
    <row r="28663" ht="12.75"/>
    <row r="28664" ht="12.75"/>
    <row r="28665" ht="12.75"/>
    <row r="28666" ht="12.75"/>
    <row r="28667" ht="12.75"/>
    <row r="28668" ht="12.75"/>
    <row r="28669" ht="12.75"/>
    <row r="28670" ht="12.75"/>
    <row r="28671" ht="12.75"/>
    <row r="28672" ht="12.75"/>
    <row r="28673" ht="12.75"/>
    <row r="28674" ht="12.75"/>
    <row r="28675" ht="12.75"/>
    <row r="28676" ht="12.75"/>
    <row r="28677" ht="12.75"/>
    <row r="28678" ht="12.75"/>
    <row r="28679" ht="12.75"/>
    <row r="28680" ht="12.75"/>
    <row r="28681" ht="12.75"/>
    <row r="28682" ht="12.75"/>
    <row r="28683" ht="12.75"/>
    <row r="28684" ht="12.75"/>
    <row r="28685" ht="12.75"/>
    <row r="28686" ht="12.75"/>
    <row r="28687" ht="12.75"/>
    <row r="28688" ht="12.75"/>
    <row r="28689" ht="12.75"/>
    <row r="28690" ht="12.75"/>
    <row r="28691" ht="12.75"/>
    <row r="28692" ht="12.75"/>
    <row r="28693" ht="12.75"/>
    <row r="28694" ht="12.75"/>
    <row r="28695" ht="12.75"/>
    <row r="28696" ht="12.75"/>
    <row r="28697" ht="12.75"/>
    <row r="28698" ht="12.75"/>
    <row r="28699" ht="12.75"/>
    <row r="28700" ht="12.75"/>
    <row r="28701" ht="12.75"/>
    <row r="28702" ht="12.75"/>
    <row r="28703" ht="12.75"/>
    <row r="28704" ht="12.75"/>
    <row r="28705" ht="12.75"/>
    <row r="28706" ht="12.75"/>
    <row r="28707" ht="12.75"/>
    <row r="28708" ht="12.75"/>
    <row r="28709" ht="12.75"/>
    <row r="28710" ht="12.75"/>
    <row r="28711" ht="12.75"/>
    <row r="28712" ht="12.75"/>
    <row r="28713" ht="12.75"/>
    <row r="28714" ht="12.75"/>
    <row r="28715" ht="12.75"/>
    <row r="28716" ht="12.75"/>
    <row r="28717" ht="12.75"/>
    <row r="28718" ht="12.75"/>
    <row r="28719" ht="12.75"/>
    <row r="28720" ht="12.75"/>
    <row r="28721" ht="12.75"/>
    <row r="28722" ht="12.75"/>
    <row r="28723" ht="12.75"/>
    <row r="28724" ht="12.75"/>
    <row r="28725" ht="12.75"/>
    <row r="28726" ht="12.75"/>
    <row r="28727" ht="12.75"/>
    <row r="28728" ht="12.75"/>
    <row r="28729" ht="12.75"/>
    <row r="28730" ht="12.75"/>
    <row r="28731" ht="12.75"/>
    <row r="28732" ht="12.75"/>
    <row r="28733" ht="12.75"/>
    <row r="28734" ht="12.75"/>
    <row r="28735" ht="12.75"/>
    <row r="28736" ht="12.75"/>
    <row r="28737" ht="12.75"/>
    <row r="28738" ht="12.75"/>
    <row r="28739" ht="12.75"/>
    <row r="28740" ht="12.75"/>
    <row r="28741" ht="12.75"/>
    <row r="28742" ht="12.75"/>
    <row r="28743" ht="12.75"/>
    <row r="28744" ht="12.75"/>
    <row r="28745" ht="12.75"/>
    <row r="28746" ht="12.75"/>
    <row r="28747" ht="12.75"/>
    <row r="28748" ht="12.75"/>
    <row r="28749" ht="12.75"/>
    <row r="28750" ht="12.75"/>
    <row r="28751" ht="12.75"/>
    <row r="28752" ht="12.75"/>
    <row r="28753" ht="12.75"/>
    <row r="28754" ht="12.75"/>
    <row r="28755" ht="12.75"/>
    <row r="28756" ht="12.75"/>
    <row r="28757" ht="12.75"/>
    <row r="28758" ht="12.75"/>
    <row r="28759" ht="12.75"/>
    <row r="28760" ht="12.75"/>
    <row r="28761" ht="12.75"/>
    <row r="28762" ht="12.75"/>
    <row r="28763" ht="12.75"/>
    <row r="28764" ht="12.75"/>
    <row r="28765" ht="12.75"/>
    <row r="28766" ht="12.75"/>
    <row r="28767" ht="12.75"/>
    <row r="28768" ht="12.75"/>
    <row r="28769" ht="12.75"/>
    <row r="28770" ht="12.75"/>
    <row r="28771" ht="12.75"/>
    <row r="28772" ht="12.75"/>
    <row r="28773" ht="12.75"/>
    <row r="28774" ht="12.75"/>
    <row r="28775" ht="12.75"/>
    <row r="28776" ht="12.75"/>
    <row r="28777" ht="12.75"/>
    <row r="28778" ht="12.75"/>
    <row r="28779" ht="12.75"/>
    <row r="28780" ht="12.75"/>
    <row r="28781" ht="12.75"/>
    <row r="28782" ht="12.75"/>
    <row r="28783" ht="12.75"/>
    <row r="28784" ht="12.75"/>
    <row r="28785" ht="12.75"/>
    <row r="28786" ht="12.75"/>
    <row r="28787" ht="12.75"/>
    <row r="28788" ht="12.75"/>
    <row r="28789" ht="12.75"/>
    <row r="28790" ht="12.75"/>
    <row r="28791" ht="12.75"/>
    <row r="28792" ht="12.75"/>
    <row r="28793" ht="12.75"/>
    <row r="28794" ht="12.75"/>
    <row r="28795" ht="12.75"/>
    <row r="28796" ht="12.75"/>
    <row r="28797" ht="12.75"/>
    <row r="28798" ht="12.75"/>
    <row r="28799" ht="12.75"/>
    <row r="28800" ht="12.75"/>
    <row r="28801" ht="12.75"/>
    <row r="28802" ht="12.75"/>
    <row r="28803" ht="12.75"/>
    <row r="28804" ht="12.75"/>
    <row r="28805" ht="12.75"/>
    <row r="28806" ht="12.75"/>
    <row r="28807" ht="12.75"/>
    <row r="28808" ht="12.75"/>
    <row r="28809" ht="12.75"/>
    <row r="28810" ht="12.75"/>
    <row r="28811" ht="12.75"/>
    <row r="28812" ht="12.75"/>
    <row r="28813" ht="12.75"/>
    <row r="28814" ht="12.75"/>
    <row r="28815" ht="12.75"/>
    <row r="28816" ht="12.75"/>
    <row r="28817" ht="12.75"/>
    <row r="28818" ht="12.75"/>
    <row r="28819" ht="12.75"/>
    <row r="28820" ht="12.75"/>
    <row r="28821" ht="12.75"/>
    <row r="28822" ht="12.75"/>
    <row r="28823" ht="12.75"/>
    <row r="28824" ht="12.75"/>
    <row r="28825" ht="12.75"/>
    <row r="28826" ht="12.75"/>
    <row r="28827" ht="12.75"/>
    <row r="28828" ht="12.75"/>
    <row r="28829" ht="12.75"/>
    <row r="28830" ht="12.75"/>
    <row r="28831" ht="12.75"/>
    <row r="28832" ht="12.75"/>
    <row r="28833" ht="12.75"/>
    <row r="28834" ht="12.75"/>
    <row r="28835" ht="12.75"/>
    <row r="28836" ht="12.75"/>
    <row r="28837" ht="12.75"/>
    <row r="28838" ht="12.75"/>
    <row r="28839" ht="12.75"/>
    <row r="28840" ht="12.75"/>
    <row r="28841" ht="12.75"/>
    <row r="28842" ht="12.75"/>
    <row r="28843" ht="12.75"/>
    <row r="28844" ht="12.75"/>
    <row r="28845" ht="12.75"/>
    <row r="28846" ht="12.75"/>
    <row r="28847" ht="12.75"/>
    <row r="28848" ht="12.75"/>
    <row r="28849" ht="12.75"/>
    <row r="28850" ht="12.75"/>
    <row r="28851" ht="12.75"/>
    <row r="28852" ht="12.75"/>
    <row r="28853" ht="12.75"/>
    <row r="28854" ht="12.75"/>
    <row r="28855" ht="12.75"/>
    <row r="28856" ht="12.75"/>
    <row r="28857" ht="12.75"/>
    <row r="28858" ht="12.75"/>
    <row r="28859" ht="12.75"/>
    <row r="28860" ht="12.75"/>
    <row r="28861" ht="12.75"/>
    <row r="28862" ht="12.75"/>
    <row r="28863" ht="12.75"/>
    <row r="28864" ht="12.75"/>
    <row r="28865" ht="12.75"/>
    <row r="28866" ht="12.75"/>
    <row r="28867" ht="12.75"/>
    <row r="28868" ht="12.75"/>
    <row r="28869" ht="12.75"/>
    <row r="28870" ht="12.75"/>
    <row r="28871" ht="12.75"/>
    <row r="28872" ht="12.75"/>
    <row r="28873" ht="12.75"/>
    <row r="28874" ht="12.75"/>
    <row r="28875" ht="12.75"/>
    <row r="28876" ht="12.75"/>
    <row r="28877" ht="12.75"/>
    <row r="28878" ht="12.75"/>
    <row r="28879" ht="12.75"/>
    <row r="28880" ht="12.75"/>
    <row r="28881" ht="12.75"/>
    <row r="28882" ht="12.75"/>
    <row r="28883" ht="12.75"/>
    <row r="28884" ht="12.75"/>
    <row r="28885" ht="12.75"/>
    <row r="28886" ht="12.75"/>
    <row r="28887" ht="12.75"/>
    <row r="28888" ht="12.75"/>
    <row r="28889" ht="12.75"/>
    <row r="28890" ht="12.75"/>
    <row r="28891" ht="12.75"/>
    <row r="28892" ht="12.75"/>
    <row r="28893" ht="12.75"/>
    <row r="28894" ht="12.75"/>
    <row r="28895" ht="12.75"/>
    <row r="28896" ht="12.75"/>
    <row r="28897" ht="12.75"/>
    <row r="28898" ht="12.75"/>
    <row r="28899" ht="12.75"/>
    <row r="28900" ht="12.75"/>
    <row r="28901" ht="12.75"/>
    <row r="28902" ht="12.75"/>
    <row r="28903" ht="12.75"/>
    <row r="28904" ht="12.75"/>
    <row r="28905" ht="12.75"/>
    <row r="28906" ht="12.75"/>
    <row r="28907" ht="12.75"/>
    <row r="28908" ht="12.75"/>
    <row r="28909" ht="12.75"/>
    <row r="28910" ht="12.75"/>
    <row r="28911" ht="12.75"/>
    <row r="28912" ht="12.75"/>
    <row r="28913" ht="12.75"/>
    <row r="28914" ht="12.75"/>
    <row r="28915" ht="12.75"/>
    <row r="28916" ht="12.75"/>
    <row r="28917" ht="12.75"/>
    <row r="28918" ht="12.75"/>
    <row r="28919" ht="12.75"/>
    <row r="28920" ht="12.75"/>
    <row r="28921" ht="12.75"/>
    <row r="28922" ht="12.75"/>
    <row r="28923" ht="12.75"/>
    <row r="28924" ht="12.75"/>
    <row r="28925" ht="12.75"/>
    <row r="28926" ht="12.75"/>
    <row r="28927" ht="12.75"/>
    <row r="28928" ht="12.75"/>
    <row r="28929" ht="12.75"/>
    <row r="28930" ht="12.75"/>
    <row r="28931" ht="12.75"/>
    <row r="28932" ht="12.75"/>
    <row r="28933" ht="12.75"/>
    <row r="28934" ht="12.75"/>
    <row r="28935" ht="12.75"/>
    <row r="28936" ht="12.75"/>
    <row r="28937" ht="12.75"/>
    <row r="28938" ht="12.75"/>
    <row r="28939" ht="12.75"/>
    <row r="28940" ht="12.75"/>
    <row r="28941" ht="12.75"/>
    <row r="28942" ht="12.75"/>
    <row r="28943" ht="12.75"/>
    <row r="28944" ht="12.75"/>
    <row r="28945" ht="12.75"/>
    <row r="28946" ht="12.75"/>
    <row r="28947" ht="12.75"/>
    <row r="28948" ht="12.75"/>
    <row r="28949" ht="12.75"/>
    <row r="28950" ht="12.75"/>
    <row r="28951" ht="12.75"/>
    <row r="28952" ht="12.75"/>
    <row r="28953" ht="12.75"/>
    <row r="28954" ht="12.75"/>
    <row r="28955" ht="12.75"/>
    <row r="28956" ht="12.75"/>
    <row r="28957" ht="12.75"/>
    <row r="28958" ht="12.75"/>
    <row r="28959" ht="12.75"/>
    <row r="28960" ht="12.75"/>
    <row r="28961" ht="12.75"/>
    <row r="28962" ht="12.75"/>
    <row r="28963" ht="12.75"/>
    <row r="28964" ht="12.75"/>
    <row r="28965" ht="12.75"/>
    <row r="28966" ht="12.75"/>
    <row r="28967" ht="12.75"/>
    <row r="28968" ht="12.75"/>
    <row r="28969" ht="12.75"/>
    <row r="28970" ht="12.75"/>
    <row r="28971" ht="12.75"/>
    <row r="28972" ht="12.75"/>
    <row r="28973" ht="12.75"/>
    <row r="28974" ht="12.75"/>
    <row r="28975" ht="12.75"/>
    <row r="28976" ht="12.75"/>
    <row r="28977" ht="12.75"/>
    <row r="28978" ht="12.75"/>
    <row r="28979" ht="12.75"/>
    <row r="28980" ht="12.75"/>
    <row r="28981" ht="12.75"/>
    <row r="28982" ht="12.75"/>
    <row r="28983" ht="12.75"/>
    <row r="28984" ht="12.75"/>
    <row r="28985" ht="12.75"/>
    <row r="28986" ht="12.75"/>
    <row r="28987" ht="12.75"/>
    <row r="28988" ht="12.75"/>
    <row r="28989" ht="12.75"/>
    <row r="28990" ht="12.75"/>
    <row r="28991" ht="12.75"/>
    <row r="28992" ht="12.75"/>
    <row r="28993" ht="12.75"/>
    <row r="28994" ht="12.75"/>
    <row r="28995" ht="12.75"/>
    <row r="28996" ht="12.75"/>
    <row r="28997" ht="12.75"/>
    <row r="28998" ht="12.75"/>
    <row r="28999" ht="12.75"/>
    <row r="29000" ht="12.75"/>
    <row r="29001" ht="12.75"/>
    <row r="29002" ht="12.75"/>
    <row r="29003" ht="12.75"/>
    <row r="29004" ht="12.75"/>
    <row r="29005" ht="12.75"/>
    <row r="29006" ht="12.75"/>
    <row r="29007" ht="12.75"/>
    <row r="29008" ht="12.75"/>
    <row r="29009" ht="12.75"/>
    <row r="29010" ht="12.75"/>
    <row r="29011" ht="12.75"/>
    <row r="29012" ht="12.75"/>
    <row r="29013" ht="12.75"/>
    <row r="29014" ht="12.75"/>
    <row r="29015" ht="12.75"/>
    <row r="29016" ht="12.75"/>
    <row r="29017" ht="12.75"/>
    <row r="29018" ht="12.75"/>
    <row r="29019" ht="12.75"/>
    <row r="29020" ht="12.75"/>
    <row r="29021" ht="12.75"/>
    <row r="29022" ht="12.75"/>
    <row r="29023" ht="12.75"/>
    <row r="29024" ht="12.75"/>
    <row r="29025" ht="12.75"/>
    <row r="29026" ht="12.75"/>
    <row r="29027" ht="12.75"/>
    <row r="29028" ht="12.75"/>
    <row r="29029" ht="12.75"/>
    <row r="29030" ht="12.75"/>
    <row r="29031" ht="12.75"/>
    <row r="29032" ht="12.75"/>
    <row r="29033" ht="12.75"/>
    <row r="29034" ht="12.75"/>
    <row r="29035" ht="12.75"/>
    <row r="29036" ht="12.75"/>
    <row r="29037" ht="12.75"/>
    <row r="29038" ht="12.75"/>
    <row r="29039" ht="12.75"/>
    <row r="29040" ht="12.75"/>
    <row r="29041" ht="12.75"/>
    <row r="29042" ht="12.75"/>
    <row r="29043" ht="12.75"/>
    <row r="29044" ht="12.75"/>
    <row r="29045" ht="12.75"/>
    <row r="29046" ht="12.75"/>
    <row r="29047" ht="12.75"/>
    <row r="29048" ht="12.75"/>
    <row r="29049" ht="12.75"/>
    <row r="29050" ht="12.75"/>
    <row r="29051" ht="12.75"/>
    <row r="29052" ht="12.75"/>
    <row r="29053" ht="12.75"/>
    <row r="29054" ht="12.75"/>
    <row r="29055" ht="12.75"/>
    <row r="29056" ht="12.75"/>
    <row r="29057" ht="12.75"/>
    <row r="29058" ht="12.75"/>
    <row r="29059" ht="12.75"/>
    <row r="29060" ht="12.75"/>
    <row r="29061" ht="12.75"/>
    <row r="29062" ht="12.75"/>
    <row r="29063" ht="12.75"/>
    <row r="29064" ht="12.75"/>
    <row r="29065" ht="12.75"/>
    <row r="29066" ht="12.75"/>
    <row r="29067" ht="12.75"/>
    <row r="29068" ht="12.75"/>
    <row r="29069" ht="12.75"/>
    <row r="29070" ht="12.75"/>
    <row r="29071" ht="12.75"/>
    <row r="29072" ht="12.75"/>
    <row r="29073" ht="12.75"/>
    <row r="29074" ht="12.75"/>
    <row r="29075" ht="12.75"/>
    <row r="29076" ht="12.75"/>
    <row r="29077" ht="12.75"/>
    <row r="29078" ht="12.75"/>
    <row r="29079" ht="12.75"/>
    <row r="29080" ht="12.75"/>
    <row r="29081" ht="12.75"/>
    <row r="29082" ht="12.75"/>
    <row r="29083" ht="12.75"/>
    <row r="29084" ht="12.75"/>
    <row r="29085" ht="12.75"/>
    <row r="29086" ht="12.75"/>
    <row r="29087" ht="12.75"/>
    <row r="29088" ht="12.75"/>
    <row r="29089" ht="12.75"/>
    <row r="29090" ht="12.75"/>
    <row r="29091" ht="12.75"/>
    <row r="29092" ht="12.75"/>
    <row r="29093" ht="12.75"/>
    <row r="29094" ht="12.75"/>
    <row r="29095" ht="12.75"/>
    <row r="29096" ht="12.75"/>
    <row r="29097" ht="12.75"/>
    <row r="29098" ht="12.75"/>
    <row r="29099" ht="12.75"/>
    <row r="29100" ht="12.75"/>
    <row r="29101" ht="12.75"/>
    <row r="29102" ht="12.75"/>
    <row r="29103" ht="12.75"/>
    <row r="29104" ht="12.75"/>
    <row r="29105" ht="12.75"/>
    <row r="29106" ht="12.75"/>
    <row r="29107" ht="12.75"/>
    <row r="29108" ht="12.75"/>
    <row r="29109" ht="12.75"/>
    <row r="29110" ht="12.75"/>
    <row r="29111" ht="12.75"/>
    <row r="29112" ht="12.75"/>
    <row r="29113" ht="12.75"/>
    <row r="29114" ht="12.75"/>
    <row r="29115" ht="12.75"/>
    <row r="29116" ht="12.75"/>
    <row r="29117" ht="12.75"/>
    <row r="29118" ht="12.75"/>
    <row r="29119" ht="12.75"/>
    <row r="29120" ht="12.75"/>
    <row r="29121" ht="12.75"/>
    <row r="29122" ht="12.75"/>
    <row r="29123" ht="12.75"/>
    <row r="29124" ht="12.75"/>
    <row r="29125" ht="12.75"/>
    <row r="29126" ht="12.75"/>
    <row r="29127" ht="12.75"/>
    <row r="29128" ht="12.75"/>
    <row r="29129" ht="12.75"/>
    <row r="29130" ht="12.75"/>
    <row r="29131" ht="12.75"/>
    <row r="29132" ht="12.75"/>
    <row r="29133" ht="12.75"/>
    <row r="29134" ht="12.75"/>
    <row r="29135" ht="12.75"/>
    <row r="29136" ht="12.75"/>
    <row r="29137" ht="12.75"/>
    <row r="29138" ht="12.75"/>
    <row r="29139" ht="12.75"/>
    <row r="29140" ht="12.75"/>
    <row r="29141" ht="12.75"/>
    <row r="29142" ht="12.75"/>
    <row r="29143" ht="12.75"/>
    <row r="29144" ht="12.75"/>
    <row r="29145" ht="12.75"/>
    <row r="29146" ht="12.75"/>
    <row r="29147" ht="12.75"/>
    <row r="29148" ht="12.75"/>
    <row r="29149" ht="12.75"/>
    <row r="29150" ht="12.75"/>
    <row r="29151" ht="12.75"/>
    <row r="29152" ht="12.75"/>
    <row r="29153" ht="12.75"/>
    <row r="29154" ht="12.75"/>
    <row r="29155" ht="12.75"/>
    <row r="29156" ht="12.75"/>
    <row r="29157" ht="12.75"/>
    <row r="29158" ht="12.75"/>
    <row r="29159" ht="12.75"/>
    <row r="29160" ht="12.75"/>
    <row r="29161" ht="12.75"/>
    <row r="29162" ht="12.75"/>
    <row r="29163" ht="12.75"/>
    <row r="29164" ht="12.75"/>
    <row r="29165" ht="12.75"/>
    <row r="29166" ht="12.75"/>
    <row r="29167" ht="12.75"/>
    <row r="29168" ht="12.75"/>
    <row r="29169" ht="12.75"/>
    <row r="29170" ht="12.75"/>
    <row r="29171" ht="12.75"/>
    <row r="29172" ht="12.75"/>
    <row r="29173" ht="12.75"/>
    <row r="29174" ht="12.75"/>
    <row r="29175" ht="12.75"/>
    <row r="29176" ht="12.75"/>
    <row r="29177" ht="12.75"/>
    <row r="29178" ht="12.75"/>
    <row r="29179" ht="12.75"/>
    <row r="29180" ht="12.75"/>
    <row r="29181" ht="12.75"/>
    <row r="29182" ht="12.75"/>
    <row r="29183" ht="12.75"/>
    <row r="29184" ht="12.75"/>
    <row r="29185" ht="12.75"/>
    <row r="29186" ht="12.75"/>
    <row r="29187" ht="12.75"/>
    <row r="29188" ht="12.75"/>
    <row r="29189" ht="12.75"/>
    <row r="29190" ht="12.75"/>
    <row r="29191" ht="12.75"/>
    <row r="29192" ht="12.75"/>
    <row r="29193" ht="12.75"/>
    <row r="29194" ht="12.75"/>
    <row r="29195" ht="12.75"/>
    <row r="29196" ht="12.75"/>
    <row r="29197" ht="12.75"/>
    <row r="29198" ht="12.75"/>
    <row r="29199" ht="12.75"/>
    <row r="29200" ht="12.75"/>
    <row r="29201" ht="12.75"/>
    <row r="29202" ht="12.75"/>
    <row r="29203" ht="12.75"/>
    <row r="29204" ht="12.75"/>
    <row r="29205" ht="12.75"/>
    <row r="29206" ht="12.75"/>
    <row r="29207" ht="12.75"/>
    <row r="29208" ht="12.75"/>
    <row r="29209" ht="12.75"/>
    <row r="29210" ht="12.75"/>
    <row r="29211" ht="12.75"/>
    <row r="29212" ht="12.75"/>
    <row r="29213" ht="12.75"/>
    <row r="29214" ht="12.75"/>
    <row r="29215" ht="12.75"/>
    <row r="29216" ht="12.75"/>
    <row r="29217" ht="12.75"/>
    <row r="29218" ht="12.75"/>
    <row r="29219" ht="12.75"/>
    <row r="29220" ht="12.75"/>
    <row r="29221" ht="12.75"/>
    <row r="29222" ht="12.75"/>
    <row r="29223" ht="12.75"/>
    <row r="29224" ht="12.75"/>
    <row r="29225" ht="12.75"/>
    <row r="29226" ht="12.75"/>
    <row r="29227" ht="12.75"/>
    <row r="29228" ht="12.75"/>
    <row r="29229" ht="12.75"/>
    <row r="29230" ht="12.75"/>
    <row r="29231" ht="12.75"/>
    <row r="29232" ht="12.75"/>
    <row r="29233" ht="12.75"/>
    <row r="29234" ht="12.75"/>
    <row r="29235" ht="12.75"/>
    <row r="29236" ht="12.75"/>
    <row r="29237" ht="12.75"/>
    <row r="29238" ht="12.75"/>
    <row r="29239" ht="12.75"/>
    <row r="29240" ht="12.75"/>
    <row r="29241" ht="12.75"/>
    <row r="29242" ht="12.75"/>
    <row r="29243" ht="12.75"/>
    <row r="29244" ht="12.75"/>
    <row r="29245" ht="12.75"/>
    <row r="29246" ht="12.75"/>
    <row r="29247" ht="12.75"/>
    <row r="29248" ht="12.75"/>
    <row r="29249" ht="12.75"/>
    <row r="29250" ht="12.75"/>
    <row r="29251" ht="12.75"/>
    <row r="29252" ht="12.75"/>
    <row r="29253" ht="12.75"/>
    <row r="29254" ht="12.75"/>
    <row r="29255" ht="12.75"/>
    <row r="29256" ht="12.75"/>
    <row r="29257" ht="12.75"/>
    <row r="29258" ht="12.75"/>
    <row r="29259" ht="12.75"/>
    <row r="29260" ht="12.75"/>
    <row r="29261" ht="12.75"/>
    <row r="29262" ht="12.75"/>
    <row r="29263" ht="12.75"/>
    <row r="29264" ht="12.75"/>
    <row r="29265" ht="12.75"/>
    <row r="29266" ht="12.75"/>
    <row r="29267" ht="12.75"/>
    <row r="29268" ht="12.75"/>
    <row r="29269" ht="12.75"/>
    <row r="29270" ht="12.75"/>
    <row r="29271" ht="12.75"/>
    <row r="29272" ht="12.75"/>
    <row r="29273" ht="12.75"/>
    <row r="29274" ht="12.75"/>
    <row r="29275" ht="12.75"/>
    <row r="29276" ht="12.75"/>
    <row r="29277" ht="12.75"/>
    <row r="29278" ht="12.75"/>
    <row r="29279" ht="12.75"/>
    <row r="29280" ht="12.75"/>
    <row r="29281" ht="12.75"/>
    <row r="29282" ht="12.75"/>
    <row r="29283" ht="12.75"/>
    <row r="29284" ht="12.75"/>
    <row r="29285" ht="12.75"/>
    <row r="29286" ht="12.75"/>
    <row r="29287" ht="12.75"/>
    <row r="29288" ht="12.75"/>
    <row r="29289" ht="12.75"/>
    <row r="29290" ht="12.75"/>
    <row r="29291" ht="12.75"/>
    <row r="29292" ht="12.75"/>
    <row r="29293" ht="12.75"/>
    <row r="29294" ht="12.75"/>
    <row r="29295" ht="12.75"/>
    <row r="29296" ht="12.75"/>
    <row r="29297" ht="12.75"/>
    <row r="29298" ht="12.75"/>
    <row r="29299" ht="12.75"/>
    <row r="29300" ht="12.75"/>
    <row r="29301" ht="12.75"/>
    <row r="29302" ht="12.75"/>
    <row r="29303" ht="12.75"/>
    <row r="29304" ht="12.75"/>
    <row r="29305" ht="12.75"/>
    <row r="29306" ht="12.75"/>
    <row r="29307" ht="12.75"/>
    <row r="29308" ht="12.75"/>
    <row r="29309" ht="12.75"/>
    <row r="29310" ht="12.75"/>
    <row r="29311" ht="12.75"/>
    <row r="29312" ht="12.75"/>
    <row r="29313" ht="12.75"/>
    <row r="29314" ht="12.75"/>
    <row r="29315" ht="12.75"/>
    <row r="29316" ht="12.75"/>
    <row r="29317" ht="12.75"/>
    <row r="29318" ht="12.75"/>
    <row r="29319" ht="12.75"/>
    <row r="29320" ht="12.75"/>
    <row r="29321" ht="12.75"/>
    <row r="29322" ht="12.75"/>
    <row r="29323" ht="12.75"/>
    <row r="29324" ht="12.75"/>
    <row r="29325" ht="12.75"/>
    <row r="29326" ht="12.75"/>
    <row r="29327" ht="12.75"/>
    <row r="29328" ht="12.75"/>
    <row r="29329" ht="12.75"/>
    <row r="29330" ht="12.75"/>
    <row r="29331" ht="12.75"/>
    <row r="29332" ht="12.75"/>
    <row r="29333" ht="12.75"/>
    <row r="29334" ht="12.75"/>
    <row r="29335" ht="12.75"/>
    <row r="29336" ht="12.75"/>
    <row r="29337" ht="12.75"/>
    <row r="29338" ht="12.75"/>
    <row r="29339" ht="12.75"/>
    <row r="29340" ht="12.75"/>
    <row r="29341" ht="12.75"/>
    <row r="29342" ht="12.75"/>
    <row r="29343" ht="12.75"/>
    <row r="29344" ht="12.75"/>
    <row r="29345" ht="12.75"/>
    <row r="29346" ht="12.75"/>
    <row r="29347" ht="12.75"/>
    <row r="29348" ht="12.75"/>
    <row r="29349" ht="12.75"/>
    <row r="29350" ht="12.75"/>
    <row r="29351" ht="12.75"/>
    <row r="29352" ht="12.75"/>
    <row r="29353" ht="12.75"/>
    <row r="29354" ht="12.75"/>
    <row r="29355" ht="12.75"/>
    <row r="29356" ht="12.75"/>
    <row r="29357" ht="12.75"/>
    <row r="29358" ht="12.75"/>
    <row r="29359" ht="12.75"/>
    <row r="29360" ht="12.75"/>
    <row r="29361" ht="12.75"/>
    <row r="29362" ht="12.75"/>
    <row r="29363" ht="12.75"/>
    <row r="29364" ht="12.75"/>
    <row r="29365" ht="12.75"/>
    <row r="29366" ht="12.75"/>
    <row r="29367" ht="12.75"/>
    <row r="29368" ht="12.75"/>
    <row r="29369" ht="12.75"/>
    <row r="29370" ht="12.75"/>
    <row r="29371" ht="12.75"/>
    <row r="29372" ht="12.75"/>
    <row r="29373" ht="12.75"/>
    <row r="29374" ht="12.75"/>
    <row r="29375" ht="12.75"/>
    <row r="29376" ht="12.75"/>
    <row r="29377" ht="12.75"/>
    <row r="29378" ht="12.75"/>
    <row r="29379" ht="12.75"/>
    <row r="29380" ht="12.75"/>
    <row r="29381" ht="12.75"/>
    <row r="29382" ht="12.75"/>
    <row r="29383" ht="12.75"/>
    <row r="29384" ht="12.75"/>
    <row r="29385" ht="12.75"/>
    <row r="29386" ht="12.75"/>
    <row r="29387" ht="12.75"/>
    <row r="29388" ht="12.75"/>
    <row r="29389" ht="12.75"/>
    <row r="29390" ht="12.75"/>
    <row r="29391" ht="12.75"/>
    <row r="29392" ht="12.75"/>
    <row r="29393" ht="12.75"/>
    <row r="29394" ht="12.75"/>
    <row r="29395" ht="12.75"/>
    <row r="29396" ht="12.75"/>
    <row r="29397" ht="12.75"/>
    <row r="29398" ht="12.75"/>
    <row r="29399" ht="12.75"/>
    <row r="29400" ht="12.75"/>
    <row r="29401" ht="12.75"/>
    <row r="29402" ht="12.75"/>
    <row r="29403" ht="12.75"/>
    <row r="29404" ht="12.75"/>
    <row r="29405" ht="12.75"/>
    <row r="29406" ht="12.75"/>
    <row r="29407" ht="12.75"/>
    <row r="29408" ht="12.75"/>
    <row r="29409" ht="12.75"/>
    <row r="29410" ht="12.75"/>
    <row r="29411" ht="12.75"/>
    <row r="29412" ht="12.75"/>
    <row r="29413" ht="12.75"/>
    <row r="29414" ht="12.75"/>
    <row r="29415" ht="12.75"/>
    <row r="29416" ht="12.75"/>
    <row r="29417" ht="12.75"/>
    <row r="29418" ht="12.75"/>
    <row r="29419" ht="12.75"/>
    <row r="29420" ht="12.75"/>
    <row r="29421" ht="12.75"/>
    <row r="29422" ht="12.75"/>
    <row r="29423" ht="12.75"/>
    <row r="29424" ht="12.75"/>
    <row r="29425" ht="12.75"/>
    <row r="29426" ht="12.75"/>
    <row r="29427" ht="12.75"/>
    <row r="29428" ht="12.75"/>
    <row r="29429" ht="12.75"/>
    <row r="29430" ht="12.75"/>
    <row r="29431" ht="12.75"/>
    <row r="29432" ht="12.75"/>
    <row r="29433" ht="12.75"/>
    <row r="29434" ht="12.75"/>
    <row r="29435" ht="12.75"/>
    <row r="29436" ht="12.75"/>
    <row r="29437" ht="12.75"/>
    <row r="29438" ht="12.75"/>
    <row r="29439" ht="12.75"/>
    <row r="29440" ht="12.75"/>
    <row r="29441" ht="12.75"/>
    <row r="29442" ht="12.75"/>
    <row r="29443" ht="12.75"/>
    <row r="29444" ht="12.75"/>
    <row r="29445" ht="12.75"/>
    <row r="29446" ht="12.75"/>
    <row r="29447" ht="12.75"/>
    <row r="29448" ht="12.75"/>
    <row r="29449" ht="12.75"/>
    <row r="29450" ht="12.75"/>
    <row r="29451" ht="12.75"/>
    <row r="29452" ht="12.75"/>
    <row r="29453" ht="12.75"/>
    <row r="29454" ht="12.75"/>
    <row r="29455" ht="12.75"/>
    <row r="29456" ht="12.75"/>
    <row r="29457" ht="12.75"/>
    <row r="29458" ht="12.75"/>
    <row r="29459" ht="12.75"/>
    <row r="29460" ht="12.75"/>
    <row r="29461" ht="12.75"/>
    <row r="29462" ht="12.75"/>
    <row r="29463" ht="12.75"/>
    <row r="29464" ht="12.75"/>
    <row r="29465" ht="12.75"/>
    <row r="29466" ht="12.75"/>
    <row r="29467" ht="12.75"/>
    <row r="29468" ht="12.75"/>
    <row r="29469" ht="12.75"/>
    <row r="29470" ht="12.75"/>
    <row r="29471" ht="12.75"/>
    <row r="29472" ht="12.75"/>
    <row r="29473" ht="12.75"/>
    <row r="29474" ht="12.75"/>
    <row r="29475" ht="12.75"/>
    <row r="29476" ht="12.75"/>
    <row r="29477" ht="12.75"/>
    <row r="29478" ht="12.75"/>
    <row r="29479" ht="12.75"/>
    <row r="29480" ht="12.75"/>
    <row r="29481" ht="12.75"/>
    <row r="29482" ht="12.75"/>
    <row r="29483" ht="12.75"/>
    <row r="29484" ht="12.75"/>
    <row r="29485" ht="12.75"/>
    <row r="29486" ht="12.75"/>
    <row r="29487" ht="12.75"/>
    <row r="29488" ht="12.75"/>
    <row r="29489" ht="12.75"/>
    <row r="29490" ht="12.75"/>
    <row r="29491" ht="12.75"/>
    <row r="29492" ht="12.75"/>
    <row r="29493" ht="12.75"/>
    <row r="29494" ht="12.75"/>
    <row r="29495" ht="12.75"/>
    <row r="29496" ht="12.75"/>
    <row r="29497" ht="12.75"/>
    <row r="29498" ht="12.75"/>
    <row r="29499" ht="12.75"/>
    <row r="29500" ht="12.75"/>
    <row r="29501" ht="12.75"/>
    <row r="29502" ht="12.75"/>
    <row r="29503" ht="12.75"/>
    <row r="29504" ht="12.75"/>
    <row r="29505" ht="12.75"/>
    <row r="29506" ht="12.75"/>
    <row r="29507" ht="12.75"/>
    <row r="29508" ht="12.75"/>
    <row r="29509" ht="12.75"/>
    <row r="29510" ht="12.75"/>
    <row r="29511" ht="12.75"/>
    <row r="29512" ht="12.75"/>
    <row r="29513" ht="12.75"/>
    <row r="29514" ht="12.75"/>
    <row r="29515" ht="12.75"/>
    <row r="29516" ht="12.75"/>
    <row r="29517" ht="12.75"/>
    <row r="29518" ht="12.75"/>
    <row r="29519" ht="12.75"/>
    <row r="29520" ht="12.75"/>
    <row r="29521" ht="12.75"/>
    <row r="29522" ht="12.75"/>
    <row r="29523" ht="12.75"/>
    <row r="29524" ht="12.75"/>
    <row r="29525" ht="12.75"/>
    <row r="29526" ht="12.75"/>
    <row r="29527" ht="12.75"/>
    <row r="29528" ht="12.75"/>
    <row r="29529" ht="12.75"/>
    <row r="29530" ht="12.75"/>
    <row r="29531" ht="12.75"/>
    <row r="29532" ht="12.75"/>
    <row r="29533" ht="12.75"/>
    <row r="29534" ht="12.75"/>
    <row r="29535" ht="12.75"/>
    <row r="29536" ht="12.75"/>
    <row r="29537" ht="12.75"/>
    <row r="29538" ht="12.75"/>
    <row r="29539" ht="12.75"/>
    <row r="29540" ht="12.75"/>
    <row r="29541" ht="12.75"/>
    <row r="29542" ht="12.75"/>
    <row r="29543" ht="12.75"/>
    <row r="29544" ht="12.75"/>
    <row r="29545" ht="12.75"/>
    <row r="29546" ht="12.75"/>
    <row r="29547" ht="12.75"/>
    <row r="29548" ht="12.75"/>
    <row r="29549" ht="12.75"/>
    <row r="29550" ht="12.75"/>
    <row r="29551" ht="12.75"/>
    <row r="29552" ht="12.75"/>
    <row r="29553" ht="12.75"/>
    <row r="29554" ht="12.75"/>
    <row r="29555" ht="12.75"/>
    <row r="29556" ht="12.75"/>
    <row r="29557" ht="12.75"/>
    <row r="29558" ht="12.75"/>
    <row r="29559" ht="12.75"/>
    <row r="29560" ht="12.75"/>
    <row r="29561" ht="12.75"/>
    <row r="29562" ht="12.75"/>
    <row r="29563" ht="12.75"/>
    <row r="29564" ht="12.75"/>
    <row r="29565" ht="12.75"/>
    <row r="29566" ht="12.75"/>
    <row r="29567" ht="12.75"/>
    <row r="29568" ht="12.75"/>
    <row r="29569" ht="12.75"/>
    <row r="29570" ht="12.75"/>
    <row r="29571" ht="12.75"/>
    <row r="29572" ht="12.75"/>
    <row r="29573" ht="12.75"/>
    <row r="29574" ht="12.75"/>
    <row r="29575" ht="12.75"/>
    <row r="29576" ht="12.75"/>
    <row r="29577" ht="12.75"/>
    <row r="29578" ht="12.75"/>
    <row r="29579" ht="12.75"/>
    <row r="29580" ht="12.75"/>
    <row r="29581" ht="12.75"/>
    <row r="29582" ht="12.75"/>
    <row r="29583" ht="12.75"/>
    <row r="29584" ht="12.75"/>
    <row r="29585" ht="12.75"/>
    <row r="29586" ht="12.75"/>
    <row r="29587" ht="12.75"/>
    <row r="29588" ht="12.75"/>
    <row r="29589" ht="12.75"/>
    <row r="29590" ht="12.75"/>
    <row r="29591" ht="12.75"/>
    <row r="29592" ht="12.75"/>
    <row r="29593" ht="12.75"/>
    <row r="29594" ht="12.75"/>
    <row r="29595" ht="12.75"/>
    <row r="29596" ht="12.75"/>
    <row r="29597" ht="12.75"/>
    <row r="29598" ht="12.75"/>
    <row r="29599" ht="12.75"/>
    <row r="29600" ht="12.75"/>
    <row r="29601" ht="12.75"/>
    <row r="29602" ht="12.75"/>
    <row r="29603" ht="12.75"/>
    <row r="29604" ht="12.75"/>
    <row r="29605" ht="12.75"/>
    <row r="29606" ht="12.75"/>
    <row r="29607" ht="12.75"/>
    <row r="29608" ht="12.75"/>
    <row r="29609" ht="12.75"/>
    <row r="29610" ht="12.75"/>
    <row r="29611" ht="12.75"/>
    <row r="29612" ht="12.75"/>
    <row r="29613" ht="12.75"/>
    <row r="29614" ht="12.75"/>
    <row r="29615" ht="12.75"/>
    <row r="29616" ht="12.75"/>
    <row r="29617" ht="12.75"/>
    <row r="29618" ht="12.75"/>
    <row r="29619" ht="12.75"/>
    <row r="29620" ht="12.75"/>
    <row r="29621" ht="12.75"/>
    <row r="29622" ht="12.75"/>
    <row r="29623" ht="12.75"/>
    <row r="29624" ht="12.75"/>
    <row r="29625" ht="12.75"/>
    <row r="29626" ht="12.75"/>
    <row r="29627" ht="12.75"/>
    <row r="29628" ht="12.75"/>
    <row r="29629" ht="12.75"/>
    <row r="29630" ht="12.75"/>
    <row r="29631" ht="12.75"/>
    <row r="29632" ht="12.75"/>
    <row r="29633" ht="12.75"/>
    <row r="29634" ht="12.75"/>
    <row r="29635" ht="12.75"/>
    <row r="29636" ht="12.75"/>
    <row r="29637" ht="12.75"/>
    <row r="29638" ht="12.75"/>
    <row r="29639" ht="12.75"/>
    <row r="29640" ht="12.75"/>
    <row r="29641" ht="12.75"/>
    <row r="29642" ht="12.75"/>
    <row r="29643" ht="12.75"/>
    <row r="29644" ht="12.75"/>
    <row r="29645" ht="12.75"/>
    <row r="29646" ht="12.75"/>
    <row r="29647" ht="12.75"/>
    <row r="29648" ht="12.75"/>
    <row r="29649" ht="12.75"/>
    <row r="29650" ht="12.75"/>
    <row r="29651" ht="12.75"/>
    <row r="29652" ht="12.75"/>
    <row r="29653" ht="12.75"/>
    <row r="29654" ht="12.75"/>
    <row r="29655" ht="12.75"/>
    <row r="29656" ht="12.75"/>
    <row r="29657" ht="12.75"/>
    <row r="29658" ht="12.75"/>
    <row r="29659" ht="12.75"/>
    <row r="29660" ht="12.75"/>
    <row r="29661" ht="12.75"/>
    <row r="29662" ht="12.75"/>
    <row r="29663" ht="12.75"/>
    <row r="29664" ht="12.75"/>
    <row r="29665" ht="12.75"/>
    <row r="29666" ht="12.75"/>
    <row r="29667" ht="12.75"/>
    <row r="29668" ht="12.75"/>
    <row r="29669" ht="12.75"/>
    <row r="29670" ht="12.75"/>
    <row r="29671" ht="12.75"/>
    <row r="29672" ht="12.75"/>
    <row r="29673" ht="12.75"/>
    <row r="29674" ht="12.75"/>
    <row r="29675" ht="12.75"/>
    <row r="29676" ht="12.75"/>
    <row r="29677" ht="12.75"/>
    <row r="29678" ht="12.75"/>
    <row r="29679" ht="12.75"/>
    <row r="29680" ht="12.75"/>
    <row r="29681" ht="12.75"/>
    <row r="29682" ht="12.75"/>
    <row r="29683" ht="12.75"/>
    <row r="29684" ht="12.75"/>
    <row r="29685" ht="12.75"/>
    <row r="29686" ht="12.75"/>
    <row r="29687" ht="12.75"/>
    <row r="29688" ht="12.75"/>
    <row r="29689" ht="12.75"/>
    <row r="29690" ht="12.75"/>
    <row r="29691" ht="12.75"/>
    <row r="29692" ht="12.75"/>
    <row r="29693" ht="12.75"/>
    <row r="29694" ht="12.75"/>
    <row r="29695" ht="12.75"/>
    <row r="29696" ht="12.75"/>
    <row r="29697" ht="12.75"/>
    <row r="29698" ht="12.75"/>
    <row r="29699" ht="12.75"/>
    <row r="29700" ht="12.75"/>
    <row r="29701" ht="12.75"/>
    <row r="29702" ht="12.75"/>
    <row r="29703" ht="12.75"/>
    <row r="29704" ht="12.75"/>
    <row r="29705" ht="12.75"/>
    <row r="29706" ht="12.75"/>
    <row r="29707" ht="12.75"/>
    <row r="29708" ht="12.75"/>
    <row r="29709" ht="12.75"/>
    <row r="29710" ht="12.75"/>
    <row r="29711" ht="12.75"/>
    <row r="29712" ht="12.75"/>
    <row r="29713" ht="12.75"/>
    <row r="29714" ht="12.75"/>
    <row r="29715" ht="12.75"/>
    <row r="29716" ht="12.75"/>
    <row r="29717" ht="12.75"/>
    <row r="29718" ht="12.75"/>
    <row r="29719" ht="12.75"/>
    <row r="29720" ht="12.75"/>
    <row r="29721" ht="12.75"/>
    <row r="29722" ht="12.75"/>
    <row r="29723" ht="12.75"/>
    <row r="29724" ht="12.75"/>
    <row r="29725" ht="12.75"/>
    <row r="29726" ht="12.75"/>
    <row r="29727" ht="12.75"/>
    <row r="29728" ht="12.75"/>
    <row r="29729" ht="12.75"/>
    <row r="29730" ht="12.75"/>
    <row r="29731" ht="12.75"/>
    <row r="29732" ht="12.75"/>
    <row r="29733" ht="12.75"/>
    <row r="29734" ht="12.75"/>
    <row r="29735" ht="12.75"/>
    <row r="29736" ht="12.75"/>
    <row r="29737" ht="12.75"/>
    <row r="29738" ht="12.75"/>
    <row r="29739" ht="12.75"/>
    <row r="29740" ht="12.75"/>
    <row r="29741" ht="12.75"/>
    <row r="29742" ht="12.75"/>
    <row r="29743" ht="12.75"/>
    <row r="29744" ht="12.75"/>
    <row r="29745" ht="12.75"/>
    <row r="29746" ht="12.75"/>
    <row r="29747" ht="12.75"/>
    <row r="29748" ht="12.75"/>
    <row r="29749" ht="12.75"/>
    <row r="29750" ht="12.75"/>
    <row r="29751" ht="12.75"/>
    <row r="29752" ht="12.75"/>
    <row r="29753" ht="12.75"/>
    <row r="29754" ht="12.75"/>
    <row r="29755" ht="12.75"/>
    <row r="29756" ht="12.75"/>
    <row r="29757" ht="12.75"/>
    <row r="29758" ht="12.75"/>
    <row r="29759" ht="12.75"/>
    <row r="29760" ht="12.75"/>
    <row r="29761" ht="12.75"/>
    <row r="29762" ht="12.75"/>
    <row r="29763" ht="12.75"/>
    <row r="29764" ht="12.75"/>
    <row r="29765" ht="12.75"/>
    <row r="29766" ht="12.75"/>
    <row r="29767" ht="12.75"/>
    <row r="29768" ht="12.75"/>
    <row r="29769" ht="12.75"/>
    <row r="29770" ht="12.75"/>
    <row r="29771" ht="12.75"/>
    <row r="29772" ht="12.75"/>
    <row r="29773" ht="12.75"/>
    <row r="29774" ht="12.75"/>
    <row r="29775" ht="12.75"/>
    <row r="29776" ht="12.75"/>
    <row r="29777" ht="12.75"/>
    <row r="29778" ht="12.75"/>
    <row r="29779" ht="12.75"/>
    <row r="29780" ht="12.75"/>
    <row r="29781" ht="12.75"/>
    <row r="29782" ht="12.75"/>
    <row r="29783" ht="12.75"/>
    <row r="29784" ht="12.75"/>
    <row r="29785" ht="12.75"/>
    <row r="29786" ht="12.75"/>
    <row r="29787" ht="12.75"/>
    <row r="29788" ht="12.75"/>
    <row r="29789" ht="12.75"/>
    <row r="29790" ht="12.75"/>
    <row r="29791" ht="12.75"/>
    <row r="29792" ht="12.75"/>
    <row r="29793" ht="12.75"/>
    <row r="29794" ht="12.75"/>
    <row r="29795" ht="12.75"/>
    <row r="29796" ht="12.75"/>
    <row r="29797" ht="12.75"/>
    <row r="29798" ht="12.75"/>
    <row r="29799" ht="12.75"/>
    <row r="29800" ht="12.75"/>
    <row r="29801" ht="12.75"/>
    <row r="29802" ht="12.75"/>
    <row r="29803" ht="12.75"/>
    <row r="29804" ht="12.75"/>
    <row r="29805" ht="12.75"/>
    <row r="29806" ht="12.75"/>
    <row r="29807" ht="12.75"/>
    <row r="29808" ht="12.75"/>
    <row r="29809" ht="12.75"/>
    <row r="29810" ht="12.75"/>
    <row r="29811" ht="12.75"/>
    <row r="29812" ht="12.75"/>
    <row r="29813" ht="12.75"/>
    <row r="29814" ht="12.75"/>
    <row r="29815" ht="12.75"/>
    <row r="29816" ht="12.75"/>
    <row r="29817" ht="12.75"/>
    <row r="29818" ht="12.75"/>
    <row r="29819" ht="12.75"/>
    <row r="29820" ht="12.75"/>
    <row r="29821" ht="12.75"/>
    <row r="29822" ht="12.75"/>
    <row r="29823" ht="12.75"/>
    <row r="29824" ht="12.75"/>
    <row r="29825" ht="12.75"/>
    <row r="29826" ht="12.75"/>
    <row r="29827" ht="12.75"/>
    <row r="29828" ht="12.75"/>
    <row r="29829" ht="12.75"/>
    <row r="29830" ht="12.75"/>
    <row r="29831" ht="12.75"/>
    <row r="29832" ht="12.75"/>
    <row r="29833" ht="12.75"/>
    <row r="29834" ht="12.75"/>
    <row r="29835" ht="12.75"/>
    <row r="29836" ht="12.75"/>
    <row r="29837" ht="12.75"/>
    <row r="29838" ht="12.75"/>
    <row r="29839" ht="12.75"/>
    <row r="29840" ht="12.75"/>
    <row r="29841" ht="12.75"/>
    <row r="29842" ht="12.75"/>
    <row r="29843" ht="12.75"/>
    <row r="29844" ht="12.75"/>
    <row r="29845" ht="12.75"/>
    <row r="29846" ht="12.75"/>
    <row r="29847" ht="12.75"/>
    <row r="29848" ht="12.75"/>
    <row r="29849" ht="12.75"/>
    <row r="29850" ht="12.75"/>
    <row r="29851" ht="12.75"/>
    <row r="29852" ht="12.75"/>
    <row r="29853" ht="12.75"/>
    <row r="29854" ht="12.75"/>
    <row r="29855" ht="12.75"/>
    <row r="29856" ht="12.75"/>
    <row r="29857" ht="12.75"/>
    <row r="29858" ht="12.75"/>
    <row r="29859" ht="12.75"/>
    <row r="29860" ht="12.75"/>
    <row r="29861" ht="12.75"/>
    <row r="29862" ht="12.75"/>
    <row r="29863" ht="12.75"/>
    <row r="29864" ht="12.75"/>
    <row r="29865" ht="12.75"/>
    <row r="29866" ht="12.75"/>
    <row r="29867" ht="12.75"/>
    <row r="29868" ht="12.75"/>
    <row r="29869" ht="12.75"/>
    <row r="29870" ht="12.75"/>
    <row r="29871" ht="12.75"/>
    <row r="29872" ht="12.75"/>
    <row r="29873" ht="12.75"/>
    <row r="29874" ht="12.75"/>
    <row r="29875" ht="12.75"/>
    <row r="29876" ht="12.75"/>
    <row r="29877" ht="12.75"/>
    <row r="29878" ht="12.75"/>
    <row r="29879" ht="12.75"/>
    <row r="29880" ht="12.75"/>
    <row r="29881" ht="12.75"/>
    <row r="29882" ht="12.75"/>
    <row r="29883" ht="12.75"/>
    <row r="29884" ht="12.75"/>
    <row r="29885" ht="12.75"/>
    <row r="29886" ht="12.75"/>
    <row r="29887" ht="12.75"/>
    <row r="29888" ht="12.75"/>
    <row r="29889" ht="12.75"/>
    <row r="29890" ht="12.75"/>
    <row r="29891" ht="12.75"/>
    <row r="29892" ht="12.75"/>
    <row r="29893" ht="12.75"/>
    <row r="29894" ht="12.75"/>
    <row r="29895" ht="12.75"/>
    <row r="29896" ht="12.75"/>
    <row r="29897" ht="12.75"/>
    <row r="29898" ht="12.75"/>
    <row r="29899" ht="12.75"/>
    <row r="29900" ht="12.75"/>
    <row r="29901" ht="12.75"/>
    <row r="29902" ht="12.75"/>
    <row r="29903" ht="12.75"/>
    <row r="29904" ht="12.75"/>
    <row r="29905" ht="12.75"/>
    <row r="29906" ht="12.75"/>
    <row r="29907" ht="12.75"/>
    <row r="29908" ht="12.75"/>
    <row r="29909" ht="12.75"/>
    <row r="29910" ht="12.75"/>
    <row r="29911" ht="12.75"/>
    <row r="29912" ht="12.75"/>
    <row r="29913" ht="12.75"/>
    <row r="29914" ht="12.75"/>
    <row r="29915" ht="12.75"/>
    <row r="29916" ht="12.75"/>
    <row r="29917" ht="12.75"/>
    <row r="29918" ht="12.75"/>
    <row r="29919" ht="12.75"/>
    <row r="29920" ht="12.75"/>
    <row r="29921" ht="12.75"/>
    <row r="29922" ht="12.75"/>
    <row r="29923" ht="12.75"/>
    <row r="29924" ht="12.75"/>
    <row r="29925" ht="12.75"/>
    <row r="29926" ht="12.75"/>
    <row r="29927" ht="12.75"/>
    <row r="29928" ht="12.75"/>
    <row r="29929" ht="12.75"/>
    <row r="29930" ht="12.75"/>
    <row r="29931" ht="12.75"/>
    <row r="29932" ht="12.75"/>
    <row r="29933" ht="12.75"/>
    <row r="29934" ht="12.75"/>
    <row r="29935" ht="12.75"/>
    <row r="29936" ht="12.75"/>
    <row r="29937" ht="12.75"/>
    <row r="29938" ht="12.75"/>
    <row r="29939" ht="12.75"/>
    <row r="29940" ht="12.75"/>
    <row r="29941" ht="12.75"/>
    <row r="29942" ht="12.75"/>
    <row r="29943" ht="12.75"/>
    <row r="29944" ht="12.75"/>
    <row r="29945" ht="12.75"/>
    <row r="29946" ht="12.75"/>
    <row r="29947" ht="12.75"/>
    <row r="29948" ht="12.75"/>
    <row r="29949" ht="12.75"/>
    <row r="29950" ht="12.75"/>
    <row r="29951" ht="12.75"/>
    <row r="29952" ht="12.75"/>
    <row r="29953" ht="12.75"/>
    <row r="29954" ht="12.75"/>
    <row r="29955" ht="12.75"/>
    <row r="29956" ht="12.75"/>
    <row r="29957" ht="12.75"/>
    <row r="29958" ht="12.75"/>
    <row r="29959" ht="12.75"/>
    <row r="29960" ht="12.75"/>
    <row r="29961" ht="12.75"/>
    <row r="29962" ht="12.75"/>
    <row r="29963" ht="12.75"/>
    <row r="29964" ht="12.75"/>
    <row r="29965" ht="12.75"/>
    <row r="29966" ht="12.75"/>
    <row r="29967" ht="12.75"/>
    <row r="29968" ht="12.75"/>
    <row r="29969" ht="12.75"/>
    <row r="29970" ht="12.75"/>
    <row r="29971" ht="12.75"/>
    <row r="29972" ht="12.75"/>
    <row r="29973" ht="12.75"/>
    <row r="29974" ht="12.75"/>
    <row r="29975" ht="12.75"/>
    <row r="29976" ht="12.75"/>
    <row r="29977" ht="12.75"/>
    <row r="29978" ht="12.75"/>
    <row r="29979" ht="12.75"/>
    <row r="29980" ht="12.75"/>
    <row r="29981" ht="12.75"/>
    <row r="29982" ht="12.75"/>
    <row r="29983" ht="12.75"/>
    <row r="29984" ht="12.75"/>
    <row r="29985" ht="12.75"/>
    <row r="29986" ht="12.75"/>
    <row r="29987" ht="12.75"/>
    <row r="29988" ht="12.75"/>
    <row r="29989" ht="12.75"/>
    <row r="29990" ht="12.75"/>
    <row r="29991" ht="12.75"/>
    <row r="29992" ht="12.75"/>
    <row r="29993" ht="12.75"/>
    <row r="29994" ht="12.75"/>
    <row r="29995" ht="12.75"/>
    <row r="29996" ht="12.75"/>
    <row r="29997" ht="12.75"/>
    <row r="29998" ht="12.75"/>
    <row r="29999" ht="12.75"/>
    <row r="30000" ht="12.75"/>
    <row r="30001" ht="12.75"/>
    <row r="30002" ht="12.75"/>
    <row r="30003" ht="12.75"/>
    <row r="30004" ht="12.75"/>
    <row r="30005" ht="12.75"/>
    <row r="30006" ht="12.75"/>
    <row r="30007" ht="12.75"/>
    <row r="30008" ht="12.75"/>
    <row r="30009" ht="12.75"/>
    <row r="30010" ht="12.75"/>
    <row r="30011" ht="12.75"/>
    <row r="30012" ht="12.75"/>
    <row r="30013" ht="12.75"/>
    <row r="30014" ht="12.75"/>
    <row r="30015" ht="12.75"/>
    <row r="30016" ht="12.75"/>
    <row r="30017" ht="12.75"/>
    <row r="30018" ht="12.75"/>
    <row r="30019" ht="12.75"/>
    <row r="30020" ht="12.75"/>
    <row r="30021" ht="12.75"/>
    <row r="30022" ht="12.75"/>
    <row r="30023" ht="12.75"/>
    <row r="30024" ht="12.75"/>
    <row r="30025" ht="12.75"/>
    <row r="30026" ht="12.75"/>
    <row r="30027" ht="12.75"/>
    <row r="30028" ht="12.75"/>
    <row r="30029" ht="12.75"/>
    <row r="30030" ht="12.75"/>
    <row r="30031" ht="12.75"/>
    <row r="30032" ht="12.75"/>
    <row r="30033" ht="12.75"/>
    <row r="30034" ht="12.75"/>
    <row r="30035" ht="12.75"/>
    <row r="30036" ht="12.75"/>
    <row r="30037" ht="12.75"/>
    <row r="30038" ht="12.75"/>
    <row r="30039" ht="12.75"/>
    <row r="30040" ht="12.75"/>
    <row r="30041" ht="12.75"/>
    <row r="30042" ht="12.75"/>
    <row r="30043" ht="12.75"/>
    <row r="30044" ht="12.75"/>
    <row r="30045" ht="12.75"/>
    <row r="30046" ht="12.75"/>
    <row r="30047" ht="12.75"/>
    <row r="30048" ht="12.75"/>
    <row r="30049" ht="12.75"/>
    <row r="30050" ht="12.75"/>
    <row r="30051" ht="12.75"/>
    <row r="30052" ht="12.75"/>
    <row r="30053" ht="12.75"/>
    <row r="30054" ht="12.75"/>
    <row r="30055" ht="12.75"/>
    <row r="30056" ht="12.75"/>
    <row r="30057" ht="12.75"/>
    <row r="30058" ht="12.75"/>
    <row r="30059" ht="12.75"/>
    <row r="30060" ht="12.75"/>
    <row r="30061" ht="12.75"/>
    <row r="30062" ht="12.75"/>
    <row r="30063" ht="12.75"/>
    <row r="30064" ht="12.75"/>
    <row r="30065" ht="12.75"/>
    <row r="30066" ht="12.75"/>
    <row r="30067" ht="12.75"/>
    <row r="30068" ht="12.75"/>
    <row r="30069" ht="12.75"/>
    <row r="30070" ht="12.75"/>
    <row r="30071" ht="12.75"/>
    <row r="30072" ht="12.75"/>
    <row r="30073" ht="12.75"/>
    <row r="30074" ht="12.75"/>
    <row r="30075" ht="12.75"/>
    <row r="30076" ht="12.75"/>
    <row r="30077" ht="12.75"/>
    <row r="30078" ht="12.75"/>
    <row r="30079" ht="12.75"/>
    <row r="30080" ht="12.75"/>
    <row r="30081" ht="12.75"/>
    <row r="30082" ht="12.75"/>
    <row r="30083" ht="12.75"/>
    <row r="30084" ht="12.75"/>
    <row r="30085" ht="12.75"/>
    <row r="30086" ht="12.75"/>
    <row r="30087" ht="12.75"/>
    <row r="30088" ht="12.75"/>
    <row r="30089" ht="12.75"/>
    <row r="30090" ht="12.75"/>
    <row r="30091" ht="12.75"/>
    <row r="30092" ht="12.75"/>
    <row r="30093" ht="12.75"/>
    <row r="30094" ht="12.75"/>
    <row r="30095" ht="12.75"/>
    <row r="30096" ht="12.75"/>
    <row r="30097" ht="12.75"/>
    <row r="30098" ht="12.75"/>
    <row r="30099" ht="12.75"/>
    <row r="30100" ht="12.75"/>
    <row r="30101" ht="12.75"/>
    <row r="30102" ht="12.75"/>
    <row r="30103" ht="12.75"/>
    <row r="30104" ht="12.75"/>
    <row r="30105" ht="12.75"/>
    <row r="30106" ht="12.75"/>
    <row r="30107" ht="12.75"/>
    <row r="30108" ht="12.75"/>
    <row r="30109" ht="12.75"/>
    <row r="30110" ht="12.75"/>
    <row r="30111" ht="12.75"/>
    <row r="30112" ht="12.75"/>
    <row r="30113" ht="12.75"/>
    <row r="30114" ht="12.75"/>
    <row r="30115" ht="12.75"/>
    <row r="30116" ht="12.75"/>
    <row r="30117" ht="12.75"/>
    <row r="30118" ht="12.75"/>
    <row r="30119" ht="12.75"/>
    <row r="30120" ht="12.75"/>
    <row r="30121" ht="12.75"/>
    <row r="30122" ht="12.75"/>
    <row r="30123" ht="12.75"/>
    <row r="30124" ht="12.75"/>
    <row r="30125" ht="12.75"/>
    <row r="30126" ht="12.75"/>
    <row r="30127" ht="12.75"/>
    <row r="30128" ht="12.75"/>
    <row r="30129" ht="12.75"/>
    <row r="30130" ht="12.75"/>
    <row r="30131" ht="12.75"/>
    <row r="30132" ht="12.75"/>
    <row r="30133" ht="12.75"/>
    <row r="30134" ht="12.75"/>
    <row r="30135" ht="12.75"/>
    <row r="30136" ht="12.75"/>
    <row r="30137" ht="12.75"/>
    <row r="30138" ht="12.75"/>
    <row r="30139" ht="12.75"/>
    <row r="30140" ht="12.75"/>
    <row r="30141" ht="12.75"/>
    <row r="30142" ht="12.75"/>
    <row r="30143" ht="12.75"/>
    <row r="30144" ht="12.75"/>
    <row r="30145" ht="12.75"/>
    <row r="30146" ht="12.75"/>
    <row r="30147" ht="12.75"/>
    <row r="30148" ht="12.75"/>
    <row r="30149" ht="12.75"/>
    <row r="30150" ht="12.75"/>
    <row r="30151" ht="12.75"/>
    <row r="30152" ht="12.75"/>
    <row r="30153" ht="12.75"/>
    <row r="30154" ht="12.75"/>
    <row r="30155" ht="12.75"/>
    <row r="30156" ht="12.75"/>
    <row r="30157" ht="12.75"/>
    <row r="30158" ht="12.75"/>
    <row r="30159" ht="12.75"/>
    <row r="30160" ht="12.75"/>
    <row r="30161" ht="12.75"/>
    <row r="30162" ht="12.75"/>
    <row r="30163" ht="12.75"/>
    <row r="30164" ht="12.75"/>
    <row r="30165" ht="12.75"/>
    <row r="30166" ht="12.75"/>
    <row r="30167" ht="12.75"/>
    <row r="30168" ht="12.75"/>
    <row r="30169" ht="12.75"/>
    <row r="30170" ht="12.75"/>
    <row r="30171" ht="12.75"/>
    <row r="30172" ht="12.75"/>
    <row r="30173" ht="12.75"/>
    <row r="30174" ht="12.75"/>
    <row r="30175" ht="12.75"/>
    <row r="30176" ht="12.75"/>
    <row r="30177" ht="12.75"/>
    <row r="30178" ht="12.75"/>
    <row r="30179" ht="12.75"/>
    <row r="30180" ht="12.75"/>
    <row r="30181" ht="12.75"/>
    <row r="30182" ht="12.75"/>
    <row r="30183" ht="12.75"/>
    <row r="30184" ht="12.75"/>
    <row r="30185" ht="12.75"/>
    <row r="30186" ht="12.75"/>
    <row r="30187" ht="12.75"/>
    <row r="30188" ht="12.75"/>
    <row r="30189" ht="12.75"/>
    <row r="30190" ht="12.75"/>
    <row r="30191" ht="12.75"/>
    <row r="30192" ht="12.75"/>
    <row r="30193" ht="12.75"/>
    <row r="30194" ht="12.75"/>
    <row r="30195" ht="12.75"/>
    <row r="30196" ht="12.75"/>
    <row r="30197" ht="12.75"/>
    <row r="30198" ht="12.75"/>
    <row r="30199" ht="12.75"/>
    <row r="30200" ht="12.75"/>
    <row r="30201" ht="12.75"/>
    <row r="30202" ht="12.75"/>
    <row r="30203" ht="12.75"/>
    <row r="30204" ht="12.75"/>
    <row r="30205" ht="12.75"/>
    <row r="30206" ht="12.75"/>
    <row r="30207" ht="12.75"/>
    <row r="30208" ht="12.75"/>
    <row r="30209" ht="12.75"/>
    <row r="30210" ht="12.75"/>
    <row r="30211" ht="12.75"/>
    <row r="30212" ht="12.75"/>
    <row r="30213" ht="12.75"/>
    <row r="30214" ht="12.75"/>
    <row r="30215" ht="12.75"/>
    <row r="30216" ht="12.75"/>
    <row r="30217" ht="12.75"/>
    <row r="30218" ht="12.75"/>
    <row r="30219" ht="12.75"/>
    <row r="30220" ht="12.75"/>
    <row r="30221" ht="12.75"/>
    <row r="30222" ht="12.75"/>
    <row r="30223" ht="12.75"/>
    <row r="30224" ht="12.75"/>
    <row r="30225" ht="12.75"/>
    <row r="30226" ht="12.75"/>
    <row r="30227" ht="12.75"/>
    <row r="30228" ht="12.75"/>
    <row r="30229" ht="12.75"/>
    <row r="30230" ht="12.75"/>
    <row r="30231" ht="12.75"/>
    <row r="30232" ht="12.75"/>
    <row r="30233" ht="12.75"/>
    <row r="30234" ht="12.75"/>
    <row r="30235" ht="12.75"/>
    <row r="30236" ht="12.75"/>
    <row r="30237" ht="12.75"/>
    <row r="30238" ht="12.75"/>
    <row r="30239" ht="12.75"/>
    <row r="30240" ht="12.75"/>
    <row r="30241" ht="12.75"/>
    <row r="30242" ht="12.75"/>
    <row r="30243" ht="12.75"/>
    <row r="30244" ht="12.75"/>
    <row r="30245" ht="12.75"/>
    <row r="30246" ht="12.75"/>
    <row r="30247" ht="12.75"/>
    <row r="30248" ht="12.75"/>
    <row r="30249" ht="12.75"/>
    <row r="30250" ht="12.75"/>
    <row r="30251" ht="12.75"/>
    <row r="30252" ht="12.75"/>
    <row r="30253" ht="12.75"/>
    <row r="30254" ht="12.75"/>
    <row r="30255" ht="12.75"/>
    <row r="30256" ht="12.75"/>
    <row r="30257" ht="12.75"/>
    <row r="30258" ht="12.75"/>
    <row r="30259" ht="12.75"/>
    <row r="30260" ht="12.75"/>
    <row r="30261" ht="12.75"/>
    <row r="30262" ht="12.75"/>
    <row r="30263" ht="12.75"/>
    <row r="30264" ht="12.75"/>
    <row r="30265" ht="12.75"/>
    <row r="30266" ht="12.75"/>
    <row r="30267" ht="12.75"/>
    <row r="30268" ht="12.75"/>
    <row r="30269" ht="12.75"/>
    <row r="30270" ht="12.75"/>
    <row r="30271" ht="12.75"/>
    <row r="30272" ht="12.75"/>
    <row r="30273" ht="12.75"/>
    <row r="30274" ht="12.75"/>
    <row r="30275" ht="12.75"/>
    <row r="30276" ht="12.75"/>
    <row r="30277" ht="12.75"/>
    <row r="30278" ht="12.75"/>
    <row r="30279" ht="12.75"/>
    <row r="30280" ht="12.75"/>
    <row r="30281" ht="12.75"/>
    <row r="30282" ht="12.75"/>
    <row r="30283" ht="12.75"/>
    <row r="30284" ht="12.75"/>
    <row r="30285" ht="12.75"/>
    <row r="30286" ht="12.75"/>
    <row r="30287" ht="12.75"/>
    <row r="30288" ht="12.75"/>
    <row r="30289" ht="12.75"/>
    <row r="30290" ht="12.75"/>
    <row r="30291" ht="12.75"/>
    <row r="30292" ht="12.75"/>
    <row r="30293" ht="12.75"/>
    <row r="30294" ht="12.75"/>
    <row r="30295" ht="12.75"/>
    <row r="30296" ht="12.75"/>
    <row r="30297" ht="12.75"/>
    <row r="30298" ht="12.75"/>
    <row r="30299" ht="12.75"/>
    <row r="30300" ht="12.75"/>
    <row r="30301" ht="12.75"/>
    <row r="30302" ht="12.75"/>
    <row r="30303" ht="12.75"/>
    <row r="30304" ht="12.75"/>
    <row r="30305" ht="12.75"/>
    <row r="30306" ht="12.75"/>
    <row r="30307" ht="12.75"/>
    <row r="30308" ht="12.75"/>
    <row r="30309" ht="12.75"/>
    <row r="30310" ht="12.75"/>
    <row r="30311" ht="12.75"/>
    <row r="30312" ht="12.75"/>
    <row r="30313" ht="12.75"/>
    <row r="30314" ht="12.75"/>
    <row r="30315" ht="12.75"/>
    <row r="30316" ht="12.75"/>
    <row r="30317" ht="12.75"/>
    <row r="30318" ht="12.75"/>
    <row r="30319" ht="12.75"/>
    <row r="30320" ht="12.75"/>
    <row r="30321" ht="12.75"/>
    <row r="30322" ht="12.75"/>
    <row r="30323" ht="12.75"/>
    <row r="30324" ht="12.75"/>
    <row r="30325" ht="12.75"/>
    <row r="30326" ht="12.75"/>
    <row r="30327" ht="12.75"/>
    <row r="30328" ht="12.75"/>
    <row r="30329" ht="12.75"/>
    <row r="30330" ht="12.75"/>
    <row r="30331" ht="12.75"/>
    <row r="30332" ht="12.75"/>
    <row r="30333" ht="12.75"/>
    <row r="30334" ht="12.75"/>
    <row r="30335" ht="12.75"/>
    <row r="30336" ht="12.75"/>
    <row r="30337" ht="12.75"/>
    <row r="30338" ht="12.75"/>
    <row r="30339" ht="12.75"/>
    <row r="30340" ht="12.75"/>
    <row r="30341" ht="12.75"/>
    <row r="30342" ht="12.75"/>
    <row r="30343" ht="12.75"/>
    <row r="30344" ht="12.75"/>
    <row r="30345" ht="12.75"/>
    <row r="30346" ht="12.75"/>
    <row r="30347" ht="12.75"/>
    <row r="30348" ht="12.75"/>
    <row r="30349" ht="12.75"/>
    <row r="30350" ht="12.75"/>
    <row r="30351" ht="12.75"/>
    <row r="30352" ht="12.75"/>
    <row r="30353" ht="12.75"/>
    <row r="30354" ht="12.75"/>
    <row r="30355" ht="12.75"/>
    <row r="30356" ht="12.75"/>
    <row r="30357" ht="12.75"/>
    <row r="30358" ht="12.75"/>
    <row r="30359" ht="12.75"/>
    <row r="30360" ht="12.75"/>
    <row r="30361" ht="12.75"/>
    <row r="30362" ht="12.75"/>
    <row r="30363" ht="12.75"/>
    <row r="30364" ht="12.75"/>
    <row r="30365" ht="12.75"/>
    <row r="30366" ht="12.75"/>
    <row r="30367" ht="12.75"/>
    <row r="30368" ht="12.75"/>
    <row r="30369" ht="12.75"/>
    <row r="30370" ht="12.75"/>
    <row r="30371" ht="12.75"/>
    <row r="30372" ht="12.75"/>
    <row r="30373" ht="12.75"/>
    <row r="30374" ht="12.75"/>
    <row r="30375" ht="12.75"/>
    <row r="30376" ht="12.75"/>
    <row r="30377" ht="12.75"/>
    <row r="30378" ht="12.75"/>
    <row r="30379" ht="12.75"/>
    <row r="30380" ht="12.75"/>
    <row r="30381" ht="12.75"/>
    <row r="30382" ht="12.75"/>
    <row r="30383" ht="12.75"/>
    <row r="30384" ht="12.75"/>
    <row r="30385" ht="12.75"/>
    <row r="30386" ht="12.75"/>
    <row r="30387" ht="12.75"/>
    <row r="30388" ht="12.75"/>
    <row r="30389" ht="12.75"/>
    <row r="30390" ht="12.75"/>
    <row r="30391" ht="12.75"/>
    <row r="30392" ht="12.75"/>
    <row r="30393" ht="12.75"/>
    <row r="30394" ht="12.75"/>
    <row r="30395" ht="12.75"/>
    <row r="30396" ht="12.75"/>
    <row r="30397" ht="12.75"/>
    <row r="30398" ht="12.75"/>
    <row r="30399" ht="12.75"/>
    <row r="30400" ht="12.75"/>
    <row r="30401" ht="12.75"/>
    <row r="30402" ht="12.75"/>
    <row r="30403" ht="12.75"/>
    <row r="30404" ht="12.75"/>
    <row r="30405" ht="12.75"/>
    <row r="30406" ht="12.75"/>
    <row r="30407" ht="12.75"/>
    <row r="30408" ht="12.75"/>
    <row r="30409" ht="12.75"/>
    <row r="30410" ht="12.75"/>
    <row r="30411" ht="12.75"/>
    <row r="30412" ht="12.75"/>
    <row r="30413" ht="12.75"/>
    <row r="30414" ht="12.75"/>
    <row r="30415" ht="12.75"/>
    <row r="30416" ht="12.75"/>
    <row r="30417" ht="12.75"/>
    <row r="30418" ht="12.75"/>
    <row r="30419" ht="12.75"/>
    <row r="30420" ht="12.75"/>
    <row r="30421" ht="12.75"/>
    <row r="30422" ht="12.75"/>
    <row r="30423" ht="12.75"/>
    <row r="30424" ht="12.75"/>
    <row r="30425" ht="12.75"/>
    <row r="30426" ht="12.75"/>
    <row r="30427" ht="12.75"/>
    <row r="30428" ht="12.75"/>
    <row r="30429" ht="12.75"/>
    <row r="30430" ht="12.75"/>
    <row r="30431" ht="12.75"/>
    <row r="30432" ht="12.75"/>
    <row r="30433" ht="12.75"/>
    <row r="30434" ht="12.75"/>
    <row r="30435" ht="12.75"/>
    <row r="30436" ht="12.75"/>
    <row r="30437" ht="12.75"/>
    <row r="30438" ht="12.75"/>
    <row r="30439" ht="12.75"/>
    <row r="30440" ht="12.75"/>
    <row r="30441" ht="12.75"/>
    <row r="30442" ht="12.75"/>
    <row r="30443" ht="12.75"/>
    <row r="30444" ht="12.75"/>
    <row r="30445" ht="12.75"/>
    <row r="30446" ht="12.75"/>
    <row r="30447" ht="12.75"/>
    <row r="30448" ht="12.75"/>
    <row r="30449" ht="12.75"/>
    <row r="30450" ht="12.75"/>
    <row r="30451" ht="12.75"/>
    <row r="30452" ht="12.75"/>
    <row r="30453" ht="12.75"/>
    <row r="30454" ht="12.75"/>
    <row r="30455" ht="12.75"/>
    <row r="30456" ht="12.75"/>
    <row r="30457" ht="12.75"/>
    <row r="30458" ht="12.75"/>
    <row r="30459" ht="12.75"/>
    <row r="30460" ht="12.75"/>
    <row r="30461" ht="12.75"/>
    <row r="30462" ht="12.75"/>
    <row r="30463" ht="12.75"/>
    <row r="30464" ht="12.75"/>
    <row r="30465" ht="12.75"/>
    <row r="30466" ht="12.75"/>
    <row r="30467" ht="12.75"/>
    <row r="30468" ht="12.75"/>
    <row r="30469" ht="12.75"/>
    <row r="30470" ht="12.75"/>
    <row r="30471" ht="12.75"/>
    <row r="30472" ht="12.75"/>
    <row r="30473" ht="12.75"/>
    <row r="30474" ht="12.75"/>
    <row r="30475" ht="12.75"/>
    <row r="30476" ht="12.75"/>
    <row r="30477" ht="12.75"/>
    <row r="30478" ht="12.75"/>
    <row r="30479" ht="12.75"/>
    <row r="30480" ht="12.75"/>
    <row r="30481" ht="12.75"/>
    <row r="30482" ht="12.75"/>
    <row r="30483" ht="12.75"/>
    <row r="30484" ht="12.75"/>
    <row r="30485" ht="12.75"/>
    <row r="30486" ht="12.75"/>
    <row r="30487" ht="12.75"/>
    <row r="30488" ht="12.75"/>
    <row r="30489" ht="12.75"/>
    <row r="30490" ht="12.75"/>
    <row r="30491" ht="12.75"/>
    <row r="30492" ht="12.75"/>
    <row r="30493" ht="12.75"/>
    <row r="30494" ht="12.75"/>
    <row r="30495" ht="12.75"/>
    <row r="30496" ht="12.75"/>
    <row r="30497" ht="12.75"/>
    <row r="30498" ht="12.75"/>
    <row r="30499" ht="12.75"/>
    <row r="30500" ht="12.75"/>
    <row r="30501" ht="12.75"/>
    <row r="30502" ht="12.75"/>
    <row r="30503" ht="12.75"/>
    <row r="30504" ht="12.75"/>
    <row r="30505" ht="12.75"/>
    <row r="30506" ht="12.75"/>
    <row r="30507" ht="12.75"/>
    <row r="30508" ht="12.75"/>
    <row r="30509" ht="12.75"/>
    <row r="30510" ht="12.75"/>
    <row r="30511" ht="12.75"/>
    <row r="30512" ht="12.75"/>
    <row r="30513" ht="12.75"/>
    <row r="30514" ht="12.75"/>
    <row r="30515" ht="12.75"/>
    <row r="30516" ht="12.75"/>
    <row r="30517" ht="12.75"/>
    <row r="30518" ht="12.75"/>
    <row r="30519" ht="12.75"/>
    <row r="30520" ht="12.75"/>
    <row r="30521" ht="12.75"/>
    <row r="30522" ht="12.75"/>
    <row r="30523" ht="12.75"/>
    <row r="30524" ht="12.75"/>
    <row r="30525" ht="12.75"/>
    <row r="30526" ht="12.75"/>
    <row r="30527" ht="12.75"/>
    <row r="30528" ht="12.75"/>
    <row r="30529" ht="12.75"/>
    <row r="30530" ht="12.75"/>
    <row r="30531" ht="12.75"/>
    <row r="30532" ht="12.75"/>
    <row r="30533" ht="12.75"/>
    <row r="30534" ht="12.75"/>
    <row r="30535" ht="12.75"/>
    <row r="30536" ht="12.75"/>
    <row r="30537" ht="12.75"/>
    <row r="30538" ht="12.75"/>
    <row r="30539" ht="12.75"/>
    <row r="30540" ht="12.75"/>
    <row r="30541" ht="12.75"/>
    <row r="30542" ht="12.75"/>
    <row r="30543" ht="12.75"/>
    <row r="30544" ht="12.75"/>
    <row r="30545" ht="12.75"/>
    <row r="30546" ht="12.75"/>
    <row r="30547" ht="12.75"/>
    <row r="30548" ht="12.75"/>
    <row r="30549" ht="12.75"/>
    <row r="30550" ht="12.75"/>
    <row r="30551" ht="12.75"/>
    <row r="30552" ht="12.75"/>
    <row r="30553" ht="12.75"/>
    <row r="30554" ht="12.75"/>
    <row r="30555" ht="12.75"/>
    <row r="30556" ht="12.75"/>
    <row r="30557" ht="12.75"/>
    <row r="30558" ht="12.75"/>
    <row r="30559" ht="12.75"/>
    <row r="30560" ht="12.75"/>
    <row r="30561" ht="12.75"/>
    <row r="30562" ht="12.75"/>
    <row r="30563" ht="12.75"/>
    <row r="30564" ht="12.75"/>
    <row r="30565" ht="12.75"/>
    <row r="30566" ht="12.75"/>
    <row r="30567" ht="12.75"/>
    <row r="30568" ht="12.75"/>
    <row r="30569" ht="12.75"/>
    <row r="30570" ht="12.75"/>
    <row r="30571" ht="12.75"/>
    <row r="30572" ht="12.75"/>
    <row r="30573" ht="12.75"/>
    <row r="30574" ht="12.75"/>
    <row r="30575" ht="12.75"/>
    <row r="30576" ht="12.75"/>
    <row r="30577" ht="12.75"/>
    <row r="30578" ht="12.75"/>
    <row r="30579" ht="12.75"/>
    <row r="30580" ht="12.75"/>
    <row r="30581" ht="12.75"/>
    <row r="30582" ht="12.75"/>
    <row r="30583" ht="12.75"/>
    <row r="30584" ht="12.75"/>
    <row r="30585" ht="12.75"/>
    <row r="30586" ht="12.75"/>
    <row r="30587" ht="12.75"/>
    <row r="30588" ht="12.75"/>
    <row r="30589" ht="12.75"/>
    <row r="30590" ht="12.75"/>
    <row r="30591" ht="12.75"/>
    <row r="30592" ht="12.75"/>
    <row r="30593" ht="12.75"/>
    <row r="30594" ht="12.75"/>
    <row r="30595" ht="12.75"/>
    <row r="30596" ht="12.75"/>
    <row r="30597" ht="12.75"/>
    <row r="30598" ht="12.75"/>
    <row r="30599" ht="12.75"/>
    <row r="30600" ht="12.75"/>
    <row r="30601" ht="12.75"/>
    <row r="30602" ht="12.75"/>
    <row r="30603" ht="12.75"/>
    <row r="30604" ht="12.75"/>
    <row r="30605" ht="12.75"/>
    <row r="30606" ht="12.75"/>
    <row r="30607" ht="12.75"/>
    <row r="30608" ht="12.75"/>
    <row r="30609" ht="12.75"/>
    <row r="30610" ht="12.75"/>
    <row r="30611" ht="12.75"/>
    <row r="30612" ht="12.75"/>
    <row r="30613" ht="12.75"/>
    <row r="30614" ht="12.75"/>
    <row r="30615" ht="12.75"/>
    <row r="30616" ht="12.75"/>
    <row r="30617" ht="12.75"/>
    <row r="30618" ht="12.75"/>
    <row r="30619" ht="12.75"/>
    <row r="30620" ht="12.75"/>
    <row r="30621" ht="12.75"/>
    <row r="30622" ht="12.75"/>
    <row r="30623" ht="12.75"/>
    <row r="30624" ht="12.75"/>
    <row r="30625" ht="12.75"/>
    <row r="30626" ht="12.75"/>
    <row r="30627" ht="12.75"/>
    <row r="30628" ht="12.75"/>
    <row r="30629" ht="12.75"/>
    <row r="30630" ht="12.75"/>
    <row r="30631" ht="12.75"/>
    <row r="30632" ht="12.75"/>
    <row r="30633" ht="12.75"/>
    <row r="30634" ht="12.75"/>
    <row r="30635" ht="12.75"/>
    <row r="30636" ht="12.75"/>
    <row r="30637" ht="12.75"/>
    <row r="30638" ht="12.75"/>
    <row r="30639" ht="12.75"/>
    <row r="30640" ht="12.75"/>
    <row r="30641" ht="12.75"/>
    <row r="30642" ht="12.75"/>
    <row r="30643" ht="12.75"/>
    <row r="30644" ht="12.75"/>
    <row r="30645" ht="12.75"/>
    <row r="30646" ht="12.75"/>
    <row r="30647" ht="12.75"/>
    <row r="30648" ht="12.75"/>
    <row r="30649" ht="12.75"/>
    <row r="30650" ht="12.75"/>
    <row r="30651" ht="12.75"/>
    <row r="30652" ht="12.75"/>
    <row r="30653" ht="12.75"/>
    <row r="30654" ht="12.75"/>
    <row r="30655" ht="12.75"/>
    <row r="30656" ht="12.75"/>
    <row r="30657" ht="12.75"/>
    <row r="30658" ht="12.75"/>
    <row r="30659" ht="12.75"/>
    <row r="30660" ht="12.75"/>
    <row r="30661" ht="12.75"/>
    <row r="30662" ht="12.75"/>
    <row r="30663" ht="12.75"/>
    <row r="30664" ht="12.75"/>
    <row r="30665" ht="12.75"/>
    <row r="30666" ht="12.75"/>
    <row r="30667" ht="12.75"/>
    <row r="30668" ht="12.75"/>
    <row r="30669" ht="12.75"/>
    <row r="30670" ht="12.75"/>
    <row r="30671" ht="12.75"/>
    <row r="30672" ht="12.75"/>
    <row r="30673" ht="12.75"/>
    <row r="30674" ht="12.75"/>
    <row r="30675" ht="12.75"/>
    <row r="30676" ht="12.75"/>
    <row r="30677" ht="12.75"/>
    <row r="30678" ht="12.75"/>
    <row r="30679" ht="12.75"/>
    <row r="30680" ht="12.75"/>
    <row r="30681" ht="12.75"/>
    <row r="30682" ht="12.75"/>
    <row r="30683" ht="12.75"/>
    <row r="30684" ht="12.75"/>
    <row r="30685" ht="12.75"/>
    <row r="30686" ht="12.75"/>
    <row r="30687" ht="12.75"/>
    <row r="30688" ht="12.75"/>
    <row r="30689" ht="12.75"/>
    <row r="30690" ht="12.75"/>
    <row r="30691" ht="12.75"/>
    <row r="30692" ht="12.75"/>
    <row r="30693" ht="12.75"/>
    <row r="30694" ht="12.75"/>
    <row r="30695" ht="12.75"/>
    <row r="30696" ht="12.75"/>
    <row r="30697" ht="12.75"/>
    <row r="30698" ht="12.75"/>
    <row r="30699" ht="12.75"/>
    <row r="30700" ht="12.75"/>
    <row r="30701" ht="12.75"/>
    <row r="30702" ht="12.75"/>
    <row r="30703" ht="12.75"/>
    <row r="30704" ht="12.75"/>
    <row r="30705" ht="12.75"/>
    <row r="30706" ht="12.75"/>
    <row r="30707" ht="12.75"/>
    <row r="30708" ht="12.75"/>
    <row r="30709" ht="12.75"/>
    <row r="30710" ht="12.75"/>
    <row r="30711" ht="12.75"/>
    <row r="30712" ht="12.75"/>
    <row r="30713" ht="12.75"/>
    <row r="30714" ht="12.75"/>
    <row r="30715" ht="12.75"/>
    <row r="30716" ht="12.75"/>
    <row r="30717" ht="12.75"/>
    <row r="30718" ht="12.75"/>
    <row r="30719" ht="12.75"/>
    <row r="30720" ht="12.75"/>
    <row r="30721" ht="12.75"/>
    <row r="30722" ht="12.75"/>
    <row r="30723" ht="12.75"/>
    <row r="30724" ht="12.75"/>
    <row r="30725" ht="12.75"/>
    <row r="30726" ht="12.75"/>
    <row r="30727" ht="12.75"/>
    <row r="30728" ht="12.75"/>
    <row r="30729" ht="12.75"/>
    <row r="30730" ht="12.75"/>
    <row r="30731" ht="12.75"/>
    <row r="30732" ht="12.75"/>
    <row r="30733" ht="12.75"/>
    <row r="30734" ht="12.75"/>
    <row r="30735" ht="12.75"/>
    <row r="30736" ht="12.75"/>
    <row r="30737" ht="12.75"/>
    <row r="30738" ht="12.75"/>
    <row r="30739" ht="12.75"/>
    <row r="30740" ht="12.75"/>
    <row r="30741" ht="12.75"/>
    <row r="30742" ht="12.75"/>
    <row r="30743" ht="12.75"/>
    <row r="30744" ht="12.75"/>
    <row r="30745" ht="12.75"/>
    <row r="30746" ht="12.75"/>
    <row r="30747" ht="12.75"/>
    <row r="30748" ht="12.75"/>
    <row r="30749" ht="12.75"/>
    <row r="30750" ht="12.75"/>
    <row r="30751" ht="12.75"/>
    <row r="30752" ht="12.75"/>
    <row r="30753" ht="12.75"/>
    <row r="30754" ht="12.75"/>
    <row r="30755" ht="12.75"/>
    <row r="30756" ht="12.75"/>
    <row r="30757" ht="12.75"/>
    <row r="30758" ht="12.75"/>
    <row r="30759" ht="12.75"/>
    <row r="30760" ht="12.75"/>
    <row r="30761" ht="12.75"/>
    <row r="30762" ht="12.75"/>
    <row r="30763" ht="12.75"/>
    <row r="30764" ht="12.75"/>
    <row r="30765" ht="12.75"/>
    <row r="30766" ht="12.75"/>
    <row r="30767" ht="12.75"/>
    <row r="30768" ht="12.75"/>
    <row r="30769" ht="12.75"/>
    <row r="30770" ht="12.75"/>
    <row r="30771" ht="12.75"/>
    <row r="30772" ht="12.75"/>
    <row r="30773" ht="12.75"/>
    <row r="30774" ht="12.75"/>
    <row r="30775" ht="12.75"/>
    <row r="30776" ht="12.75"/>
    <row r="30777" ht="12.75"/>
    <row r="30778" ht="12.75"/>
    <row r="30779" ht="12.75"/>
    <row r="30780" ht="12.75"/>
    <row r="30781" ht="12.75"/>
    <row r="30782" ht="12.75"/>
    <row r="30783" ht="12.75"/>
    <row r="30784" ht="12.75"/>
    <row r="30785" ht="12.75"/>
    <row r="30786" ht="12.75"/>
    <row r="30787" ht="12.75"/>
    <row r="30788" ht="12.75"/>
    <row r="30789" ht="12.75"/>
    <row r="30790" ht="12.75"/>
    <row r="30791" ht="12.75"/>
    <row r="30792" ht="12.75"/>
    <row r="30793" ht="12.75"/>
    <row r="30794" ht="12.75"/>
    <row r="30795" ht="12.75"/>
    <row r="30796" ht="12.75"/>
    <row r="30797" ht="12.75"/>
    <row r="30798" ht="12.75"/>
    <row r="30799" ht="12.75"/>
    <row r="30800" ht="12.75"/>
    <row r="30801" ht="12.75"/>
    <row r="30802" ht="12.75"/>
    <row r="30803" ht="12.75"/>
    <row r="30804" ht="12.75"/>
    <row r="30805" ht="12.75"/>
    <row r="30806" ht="12.75"/>
    <row r="30807" ht="12.75"/>
    <row r="30808" ht="12.75"/>
    <row r="30809" ht="12.75"/>
    <row r="30810" ht="12.75"/>
    <row r="30811" ht="12.75"/>
    <row r="30812" ht="12.75"/>
    <row r="30813" ht="12.75"/>
    <row r="30814" ht="12.75"/>
    <row r="30815" ht="12.75"/>
    <row r="30816" ht="12.75"/>
    <row r="30817" ht="12.75"/>
    <row r="30818" ht="12.75"/>
    <row r="30819" ht="12.75"/>
    <row r="30820" ht="12.75"/>
    <row r="30821" ht="12.75"/>
    <row r="30822" ht="12.75"/>
    <row r="30823" ht="12.75"/>
    <row r="30824" ht="12.75"/>
    <row r="30825" ht="12.75"/>
    <row r="30826" ht="12.75"/>
    <row r="30827" ht="12.75"/>
    <row r="30828" ht="12.75"/>
    <row r="30829" ht="12.75"/>
    <row r="30830" ht="12.75"/>
    <row r="30831" ht="12.75"/>
    <row r="30832" ht="12.75"/>
    <row r="30833" ht="12.75"/>
    <row r="30834" ht="12.75"/>
    <row r="30835" ht="12.75"/>
    <row r="30836" ht="12.75"/>
    <row r="30837" ht="12.75"/>
    <row r="30838" ht="12.75"/>
    <row r="30839" ht="12.75"/>
    <row r="30840" ht="12.75"/>
    <row r="30841" ht="12.75"/>
    <row r="30842" ht="12.75"/>
    <row r="30843" ht="12.75"/>
    <row r="30844" ht="12.75"/>
    <row r="30845" ht="12.75"/>
    <row r="30846" ht="12.75"/>
    <row r="30847" ht="12.75"/>
    <row r="30848" ht="12.75"/>
    <row r="30849" ht="12.75"/>
    <row r="30850" ht="12.75"/>
    <row r="30851" ht="12.75"/>
    <row r="30852" ht="12.75"/>
    <row r="30853" ht="12.75"/>
    <row r="30854" ht="12.75"/>
    <row r="30855" ht="12.75"/>
    <row r="30856" ht="12.75"/>
    <row r="30857" ht="12.75"/>
    <row r="30858" ht="12.75"/>
    <row r="30859" ht="12.75"/>
    <row r="30860" ht="12.75"/>
    <row r="30861" ht="12.75"/>
    <row r="30862" ht="12.75"/>
    <row r="30863" ht="12.75"/>
    <row r="30864" ht="12.75"/>
    <row r="30865" ht="12.75"/>
    <row r="30866" ht="12.75"/>
    <row r="30867" ht="12.75"/>
    <row r="30868" ht="12.75"/>
    <row r="30869" ht="12.75"/>
    <row r="30870" ht="12.75"/>
    <row r="30871" ht="12.75"/>
    <row r="30872" ht="12.75"/>
    <row r="30873" ht="12.75"/>
    <row r="30874" ht="12.75"/>
    <row r="30875" ht="12.75"/>
    <row r="30876" ht="12.75"/>
    <row r="30877" ht="12.75"/>
    <row r="30878" ht="12.75"/>
    <row r="30879" ht="12.75"/>
    <row r="30880" ht="12.75"/>
    <row r="30881" ht="12.75"/>
    <row r="30882" ht="12.75"/>
    <row r="30883" ht="12.75"/>
    <row r="30884" ht="12.75"/>
    <row r="30885" ht="12.75"/>
    <row r="30886" ht="12.75"/>
    <row r="30887" ht="12.75"/>
    <row r="30888" ht="12.75"/>
    <row r="30889" ht="12.75"/>
    <row r="30890" ht="12.75"/>
    <row r="30891" ht="12.75"/>
    <row r="30892" ht="12.75"/>
    <row r="30893" ht="12.75"/>
    <row r="30894" ht="12.75"/>
    <row r="30895" ht="12.75"/>
    <row r="30896" ht="12.75"/>
    <row r="30897" ht="12.75"/>
    <row r="30898" ht="12.75"/>
    <row r="30899" ht="12.75"/>
    <row r="30900" ht="12.75"/>
    <row r="30901" ht="12.75"/>
    <row r="30902" ht="12.75"/>
    <row r="30903" ht="12.75"/>
    <row r="30904" ht="12.75"/>
    <row r="30905" ht="12.75"/>
    <row r="30906" ht="12.75"/>
    <row r="30907" ht="12.75"/>
    <row r="30908" ht="12.75"/>
    <row r="30909" ht="12.75"/>
    <row r="30910" ht="12.75"/>
    <row r="30911" ht="12.75"/>
    <row r="30912" ht="12.75"/>
    <row r="30913" ht="12.75"/>
    <row r="30914" ht="12.75"/>
    <row r="30915" ht="12.75"/>
    <row r="30916" ht="12.75"/>
    <row r="30917" ht="12.75"/>
    <row r="30918" ht="12.75"/>
    <row r="30919" ht="12.75"/>
    <row r="30920" ht="12.75"/>
    <row r="30921" ht="12.75"/>
    <row r="30922" ht="12.75"/>
    <row r="30923" ht="12.75"/>
    <row r="30924" ht="12.75"/>
    <row r="30925" ht="12.75"/>
    <row r="30926" ht="12.75"/>
    <row r="30927" ht="12.75"/>
    <row r="30928" ht="12.75"/>
    <row r="30929" ht="12.75"/>
    <row r="30930" ht="12.75"/>
    <row r="30931" ht="12.75"/>
    <row r="30932" ht="12.75"/>
    <row r="30933" ht="12.75"/>
    <row r="30934" ht="12.75"/>
    <row r="30935" ht="12.75"/>
    <row r="30936" ht="12.75"/>
    <row r="30937" ht="12.75"/>
    <row r="30938" ht="12.75"/>
    <row r="30939" ht="12.75"/>
    <row r="30940" ht="12.75"/>
    <row r="30941" ht="12.75"/>
    <row r="30942" ht="12.75"/>
    <row r="30943" ht="12.75"/>
    <row r="30944" ht="12.75"/>
    <row r="30945" ht="12.75"/>
    <row r="30946" ht="12.75"/>
    <row r="30947" ht="12.75"/>
    <row r="30948" ht="12.75"/>
    <row r="30949" ht="12.75"/>
    <row r="30950" ht="12.75"/>
    <row r="30951" ht="12.75"/>
    <row r="30952" ht="12.75"/>
    <row r="30953" ht="12.75"/>
    <row r="30954" ht="12.75"/>
    <row r="30955" ht="12.75"/>
    <row r="30956" ht="12.75"/>
    <row r="30957" ht="12.75"/>
    <row r="30958" ht="12.75"/>
    <row r="30959" ht="12.75"/>
    <row r="30960" ht="12.75"/>
    <row r="30961" ht="12.75"/>
    <row r="30962" ht="12.75"/>
    <row r="30963" ht="12.75"/>
    <row r="30964" ht="12.75"/>
    <row r="30965" ht="12.75"/>
    <row r="30966" ht="12.75"/>
    <row r="30967" ht="12.75"/>
    <row r="30968" ht="12.75"/>
    <row r="30969" ht="12.75"/>
    <row r="30970" ht="12.75"/>
    <row r="30971" ht="12.75"/>
    <row r="30972" ht="12.75"/>
    <row r="30973" ht="12.75"/>
    <row r="30974" ht="12.75"/>
    <row r="30975" ht="12.75"/>
    <row r="30976" ht="12.75"/>
    <row r="30977" ht="12.75"/>
    <row r="30978" ht="12.75"/>
    <row r="30979" ht="12.75"/>
    <row r="30980" ht="12.75"/>
    <row r="30981" ht="12.75"/>
    <row r="30982" ht="12.75"/>
    <row r="30983" ht="12.75"/>
    <row r="30984" ht="12.75"/>
    <row r="30985" ht="12.75"/>
    <row r="30986" ht="12.75"/>
    <row r="30987" ht="12.75"/>
    <row r="30988" ht="12.75"/>
    <row r="30989" ht="12.75"/>
    <row r="30990" ht="12.75"/>
    <row r="30991" ht="12.75"/>
    <row r="30992" ht="12.75"/>
    <row r="30993" ht="12.75"/>
    <row r="30994" ht="12.75"/>
    <row r="30995" ht="12.75"/>
    <row r="30996" ht="12.75"/>
    <row r="30997" ht="12.75"/>
    <row r="30998" ht="12.75"/>
    <row r="30999" ht="12.75"/>
    <row r="31000" ht="12.75"/>
    <row r="31001" ht="12.75"/>
    <row r="31002" ht="12.75"/>
    <row r="31003" ht="12.75"/>
    <row r="31004" ht="12.75"/>
    <row r="31005" ht="12.75"/>
    <row r="31006" ht="12.75"/>
    <row r="31007" ht="12.75"/>
    <row r="31008" ht="12.75"/>
    <row r="31009" ht="12.75"/>
    <row r="31010" ht="12.75"/>
    <row r="31011" ht="12.75"/>
    <row r="31012" ht="12.75"/>
    <row r="31013" ht="12.75"/>
    <row r="31014" ht="12.75"/>
    <row r="31015" ht="12.75"/>
    <row r="31016" ht="12.75"/>
    <row r="31017" ht="12.75"/>
    <row r="31018" ht="12.75"/>
    <row r="31019" ht="12.75"/>
    <row r="31020" ht="12.75"/>
    <row r="31021" ht="12.75"/>
    <row r="31022" ht="12.75"/>
    <row r="31023" ht="12.75"/>
    <row r="31024" ht="12.75"/>
    <row r="31025" ht="12.75"/>
    <row r="31026" ht="12.75"/>
    <row r="31027" ht="12.75"/>
    <row r="31028" ht="12.75"/>
    <row r="31029" ht="12.75"/>
    <row r="31030" ht="12.75"/>
    <row r="31031" ht="12.75"/>
    <row r="31032" ht="12.75"/>
    <row r="31033" ht="12.75"/>
    <row r="31034" ht="12.75"/>
    <row r="31035" ht="12.75"/>
    <row r="31036" ht="12.75"/>
    <row r="31037" ht="12.75"/>
    <row r="31038" ht="12.75"/>
    <row r="31039" ht="12.75"/>
    <row r="31040" ht="12.75"/>
    <row r="31041" ht="12.75"/>
    <row r="31042" ht="12.75"/>
    <row r="31043" ht="12.75"/>
    <row r="31044" ht="12.75"/>
    <row r="31045" ht="12.75"/>
    <row r="31046" ht="12.75"/>
    <row r="31047" ht="12.75"/>
    <row r="31048" ht="12.75"/>
    <row r="31049" ht="12.75"/>
    <row r="31050" ht="12.75"/>
    <row r="31051" ht="12.75"/>
    <row r="31052" ht="12.75"/>
    <row r="31053" ht="12.75"/>
    <row r="31054" ht="12.75"/>
    <row r="31055" ht="12.75"/>
    <row r="31056" ht="12.75"/>
    <row r="31057" ht="12.75"/>
    <row r="31058" ht="12.75"/>
    <row r="31059" ht="12.75"/>
    <row r="31060" ht="12.75"/>
    <row r="31061" ht="12.75"/>
    <row r="31062" ht="12.75"/>
    <row r="31063" ht="12.75"/>
    <row r="31064" ht="12.75"/>
    <row r="31065" ht="12.75"/>
    <row r="31066" ht="12.75"/>
    <row r="31067" ht="12.75"/>
    <row r="31068" ht="12.75"/>
    <row r="31069" ht="12.75"/>
    <row r="31070" ht="12.75"/>
    <row r="31071" ht="12.75"/>
    <row r="31072" ht="12.75"/>
    <row r="31073" ht="12.75"/>
    <row r="31074" ht="12.75"/>
    <row r="31075" ht="12.75"/>
    <row r="31076" ht="12.75"/>
    <row r="31077" ht="12.75"/>
    <row r="31078" ht="12.75"/>
    <row r="31079" ht="12.75"/>
    <row r="31080" ht="12.75"/>
    <row r="31081" ht="12.75"/>
    <row r="31082" ht="12.75"/>
    <row r="31083" ht="12.75"/>
    <row r="31084" ht="12.75"/>
    <row r="31085" ht="12.75"/>
    <row r="31086" ht="12.75"/>
    <row r="31087" ht="12.75"/>
    <row r="31088" ht="12.75"/>
    <row r="31089" ht="12.75"/>
    <row r="31090" ht="12.75"/>
    <row r="31091" ht="12.75"/>
    <row r="31092" ht="12.75"/>
    <row r="31093" ht="12.75"/>
    <row r="31094" ht="12.75"/>
    <row r="31095" ht="12.75"/>
    <row r="31096" ht="12.75"/>
    <row r="31097" ht="12.75"/>
    <row r="31098" ht="12.75"/>
    <row r="31099" ht="12.75"/>
    <row r="31100" ht="12.75"/>
    <row r="31101" ht="12.75"/>
    <row r="31102" ht="12.75"/>
    <row r="31103" ht="12.75"/>
    <row r="31104" ht="12.75"/>
    <row r="31105" ht="12.75"/>
    <row r="31106" ht="12.75"/>
    <row r="31107" ht="12.75"/>
    <row r="31108" ht="12.75"/>
    <row r="31109" ht="12.75"/>
    <row r="31110" ht="12.75"/>
    <row r="31111" ht="12.75"/>
    <row r="31112" ht="12.75"/>
    <row r="31113" ht="12.75"/>
    <row r="31114" ht="12.75"/>
    <row r="31115" ht="12.75"/>
    <row r="31116" ht="12.75"/>
    <row r="31117" ht="12.75"/>
    <row r="31118" ht="12.75"/>
    <row r="31119" ht="12.75"/>
    <row r="31120" ht="12.75"/>
    <row r="31121" ht="12.75"/>
    <row r="31122" ht="12.75"/>
    <row r="31123" ht="12.75"/>
    <row r="31124" ht="12.75"/>
    <row r="31125" ht="12.75"/>
    <row r="31126" ht="12.75"/>
    <row r="31127" ht="12.75"/>
    <row r="31128" ht="12.75"/>
    <row r="31129" ht="12.75"/>
    <row r="31130" ht="12.75"/>
    <row r="31131" ht="12.75"/>
    <row r="31132" ht="12.75"/>
    <row r="31133" ht="12.75"/>
    <row r="31134" ht="12.75"/>
    <row r="31135" ht="12.75"/>
    <row r="31136" ht="12.75"/>
    <row r="31137" ht="12.75"/>
    <row r="31138" ht="12.75"/>
    <row r="31139" ht="12.75"/>
    <row r="31140" ht="12.75"/>
    <row r="31141" ht="12.75"/>
    <row r="31142" ht="12.75"/>
    <row r="31143" ht="12.75"/>
    <row r="31144" ht="12.75"/>
    <row r="31145" ht="12.75"/>
    <row r="31146" ht="12.75"/>
    <row r="31147" ht="12.75"/>
    <row r="31148" ht="12.75"/>
    <row r="31149" ht="12.75"/>
    <row r="31150" ht="12.75"/>
    <row r="31151" ht="12.75"/>
    <row r="31152" ht="12.75"/>
    <row r="31153" ht="12.75"/>
    <row r="31154" ht="12.75"/>
    <row r="31155" ht="12.75"/>
    <row r="31156" ht="12.75"/>
    <row r="31157" ht="12.75"/>
    <row r="31158" ht="12.75"/>
    <row r="31159" ht="12.75"/>
    <row r="31160" ht="12.75"/>
    <row r="31161" ht="12.75"/>
    <row r="31162" ht="12.75"/>
    <row r="31163" ht="12.75"/>
    <row r="31164" ht="12.75"/>
    <row r="31165" ht="12.75"/>
    <row r="31166" ht="12.75"/>
    <row r="31167" ht="12.75"/>
    <row r="31168" ht="12.75"/>
    <row r="31169" ht="12.75"/>
    <row r="31170" ht="12.75"/>
    <row r="31171" ht="12.75"/>
    <row r="31172" ht="12.75"/>
    <row r="31173" ht="12.75"/>
    <row r="31174" ht="12.75"/>
    <row r="31175" ht="12.75"/>
    <row r="31176" ht="12.75"/>
    <row r="31177" ht="12.75"/>
    <row r="31178" ht="12.75"/>
    <row r="31179" ht="12.75"/>
    <row r="31180" ht="12.75"/>
    <row r="31181" ht="12.75"/>
    <row r="31182" ht="12.75"/>
    <row r="31183" ht="12.75"/>
    <row r="31184" ht="12.75"/>
    <row r="31185" ht="12.75"/>
    <row r="31186" ht="12.75"/>
    <row r="31187" ht="12.75"/>
    <row r="31188" ht="12.75"/>
    <row r="31189" ht="12.75"/>
    <row r="31190" ht="12.75"/>
    <row r="31191" ht="12.75"/>
    <row r="31192" ht="12.75"/>
    <row r="31193" ht="12.75"/>
    <row r="31194" ht="12.75"/>
    <row r="31195" ht="12.75"/>
    <row r="31196" ht="12.75"/>
    <row r="31197" ht="12.75"/>
    <row r="31198" ht="12.75"/>
    <row r="31199" ht="12.75"/>
    <row r="31200" ht="12.75"/>
    <row r="31201" ht="12.75"/>
    <row r="31202" ht="12.75"/>
    <row r="31203" ht="12.75"/>
    <row r="31204" ht="12.75"/>
    <row r="31205" ht="12.75"/>
    <row r="31206" ht="12.75"/>
    <row r="31207" ht="12.75"/>
    <row r="31208" ht="12.75"/>
    <row r="31209" ht="12.75"/>
    <row r="31210" ht="12.75"/>
    <row r="31211" ht="12.75"/>
    <row r="31212" ht="12.75"/>
    <row r="31213" ht="12.75"/>
    <row r="31214" ht="12.75"/>
    <row r="31215" ht="12.75"/>
    <row r="31216" ht="12.75"/>
    <row r="31217" ht="12.75"/>
    <row r="31218" ht="12.75"/>
    <row r="31219" ht="12.75"/>
    <row r="31220" ht="12.75"/>
    <row r="31221" ht="12.75"/>
    <row r="31222" ht="12.75"/>
    <row r="31223" ht="12.75"/>
    <row r="31224" ht="12.75"/>
    <row r="31225" ht="12.75"/>
    <row r="31226" ht="12.75"/>
    <row r="31227" ht="12.75"/>
    <row r="31228" ht="12.75"/>
    <row r="31229" ht="12.75"/>
    <row r="31230" ht="12.75"/>
    <row r="31231" ht="12.75"/>
    <row r="31232" ht="12.75"/>
    <row r="31233" ht="12.75"/>
    <row r="31234" ht="12.75"/>
    <row r="31235" ht="12.75"/>
    <row r="31236" ht="12.75"/>
    <row r="31237" ht="12.75"/>
    <row r="31238" ht="12.75"/>
    <row r="31239" ht="12.75"/>
    <row r="31240" ht="12.75"/>
    <row r="31241" ht="12.75"/>
    <row r="31242" ht="12.75"/>
    <row r="31243" ht="12.75"/>
    <row r="31244" ht="12.75"/>
    <row r="31245" ht="12.75"/>
    <row r="31246" ht="12.75"/>
    <row r="31247" ht="12.75"/>
    <row r="31248" ht="12.75"/>
    <row r="31249" ht="12.75"/>
    <row r="31250" ht="12.75"/>
    <row r="31251" ht="12.75"/>
    <row r="31252" ht="12.75"/>
    <row r="31253" ht="12.75"/>
    <row r="31254" ht="12.75"/>
    <row r="31255" ht="12.75"/>
    <row r="31256" ht="12.75"/>
    <row r="31257" ht="12.75"/>
    <row r="31258" ht="12.75"/>
    <row r="31259" ht="12.75"/>
    <row r="31260" ht="12.75"/>
    <row r="31261" ht="12.75"/>
    <row r="31262" ht="12.75"/>
    <row r="31263" ht="12.75"/>
    <row r="31264" ht="12.75"/>
    <row r="31265" ht="12.75"/>
    <row r="31266" ht="12.75"/>
    <row r="31267" ht="12.75"/>
    <row r="31268" ht="12.75"/>
    <row r="31269" ht="12.75"/>
    <row r="31270" ht="12.75"/>
    <row r="31271" ht="12.75"/>
    <row r="31272" ht="12.75"/>
    <row r="31273" ht="12.75"/>
    <row r="31274" ht="12.75"/>
    <row r="31275" ht="12.75"/>
    <row r="31276" ht="12.75"/>
    <row r="31277" ht="12.75"/>
    <row r="31278" ht="12.75"/>
    <row r="31279" ht="12.75"/>
    <row r="31280" ht="12.75"/>
    <row r="31281" ht="12.75"/>
    <row r="31282" ht="12.75"/>
    <row r="31283" ht="12.75"/>
    <row r="31284" ht="12.75"/>
    <row r="31285" ht="12.75"/>
    <row r="31286" ht="12.75"/>
    <row r="31287" ht="12.75"/>
    <row r="31288" ht="12.75"/>
    <row r="31289" ht="12.75"/>
    <row r="31290" ht="12.75"/>
    <row r="31291" ht="12.75"/>
    <row r="31292" ht="12.75"/>
    <row r="31293" ht="12.75"/>
    <row r="31294" ht="12.75"/>
    <row r="31295" ht="12.75"/>
    <row r="31296" ht="12.75"/>
    <row r="31297" ht="12.75"/>
    <row r="31298" ht="12.75"/>
    <row r="31299" ht="12.75"/>
    <row r="31300" ht="12.75"/>
    <row r="31301" ht="12.75"/>
    <row r="31302" ht="12.75"/>
    <row r="31303" ht="12.75"/>
    <row r="31304" ht="12.75"/>
    <row r="31305" ht="12.75"/>
    <row r="31306" ht="12.75"/>
    <row r="31307" ht="12.75"/>
    <row r="31308" ht="12.75"/>
    <row r="31309" ht="12.75"/>
    <row r="31310" ht="12.75"/>
    <row r="31311" ht="12.75"/>
    <row r="31312" ht="12.75"/>
    <row r="31313" ht="12.75"/>
    <row r="31314" ht="12.75"/>
    <row r="31315" ht="12.75"/>
    <row r="31316" ht="12.75"/>
    <row r="31317" ht="12.75"/>
    <row r="31318" ht="12.75"/>
    <row r="31319" ht="12.75"/>
    <row r="31320" ht="12.75"/>
    <row r="31321" ht="12.75"/>
    <row r="31322" ht="12.75"/>
    <row r="31323" ht="12.75"/>
    <row r="31324" ht="12.75"/>
    <row r="31325" ht="12.75"/>
    <row r="31326" ht="12.75"/>
    <row r="31327" ht="12.75"/>
    <row r="31328" ht="12.75"/>
    <row r="31329" ht="12.75"/>
    <row r="31330" ht="12.75"/>
    <row r="31331" ht="12.75"/>
    <row r="31332" ht="12.75"/>
    <row r="31333" ht="12.75"/>
    <row r="31334" ht="12.75"/>
    <row r="31335" ht="12.75"/>
    <row r="31336" ht="12.75"/>
    <row r="31337" ht="12.75"/>
    <row r="31338" ht="12.75"/>
    <row r="31339" ht="12.75"/>
    <row r="31340" ht="12.75"/>
    <row r="31341" ht="12.75"/>
    <row r="31342" ht="12.75"/>
    <row r="31343" ht="12.75"/>
    <row r="31344" ht="12.75"/>
    <row r="31345" ht="12.75"/>
    <row r="31346" ht="12.75"/>
    <row r="31347" ht="12.75"/>
    <row r="31348" ht="12.75"/>
    <row r="31349" ht="12.75"/>
    <row r="31350" ht="12.75"/>
    <row r="31351" ht="12.75"/>
    <row r="31352" ht="12.75"/>
    <row r="31353" ht="12.75"/>
    <row r="31354" ht="12.75"/>
    <row r="31355" ht="12.75"/>
    <row r="31356" ht="12.75"/>
    <row r="31357" ht="12.75"/>
    <row r="31358" ht="12.75"/>
    <row r="31359" ht="12.75"/>
    <row r="31360" ht="12.75"/>
    <row r="31361" ht="12.75"/>
    <row r="31362" ht="12.75"/>
    <row r="31363" ht="12.75"/>
    <row r="31364" ht="12.75"/>
    <row r="31365" ht="12.75"/>
    <row r="31366" ht="12.75"/>
    <row r="31367" ht="12.75"/>
    <row r="31368" ht="12.75"/>
    <row r="31369" ht="12.75"/>
    <row r="31370" ht="12.75"/>
    <row r="31371" ht="12.75"/>
    <row r="31372" ht="12.75"/>
    <row r="31373" ht="12.75"/>
    <row r="31374" ht="12.75"/>
    <row r="31375" ht="12.75"/>
    <row r="31376" ht="12.75"/>
    <row r="31377" ht="12.75"/>
    <row r="31378" ht="12.75"/>
    <row r="31379" ht="12.75"/>
    <row r="31380" ht="12.75"/>
    <row r="31381" ht="12.75"/>
    <row r="31382" ht="12.75"/>
    <row r="31383" ht="12.75"/>
    <row r="31384" ht="12.75"/>
    <row r="31385" ht="12.75"/>
    <row r="31386" ht="12.75"/>
    <row r="31387" ht="12.75"/>
    <row r="31388" ht="12.75"/>
    <row r="31389" ht="12.75"/>
    <row r="31390" ht="12.75"/>
    <row r="31391" ht="12.75"/>
    <row r="31392" ht="12.75"/>
    <row r="31393" ht="12.75"/>
    <row r="31394" ht="12.75"/>
    <row r="31395" ht="12.75"/>
    <row r="31396" ht="12.75"/>
    <row r="31397" ht="12.75"/>
    <row r="31398" ht="12.75"/>
    <row r="31399" ht="12.75"/>
    <row r="31400" ht="12.75"/>
    <row r="31401" ht="12.75"/>
    <row r="31402" ht="12.75"/>
    <row r="31403" ht="12.75"/>
    <row r="31404" ht="12.75"/>
    <row r="31405" ht="12.75"/>
    <row r="31406" ht="12.75"/>
    <row r="31407" ht="12.75"/>
    <row r="31408" ht="12.75"/>
    <row r="31409" ht="12.75"/>
    <row r="31410" ht="12.75"/>
    <row r="31411" ht="12.75"/>
    <row r="31412" ht="12.75"/>
    <row r="31413" ht="12.75"/>
    <row r="31414" ht="12.75"/>
    <row r="31415" ht="12.75"/>
    <row r="31416" ht="12.75"/>
    <row r="31417" ht="12.75"/>
    <row r="31418" ht="12.75"/>
    <row r="31419" ht="12.75"/>
    <row r="31420" ht="12.75"/>
    <row r="31421" ht="12.75"/>
    <row r="31422" ht="12.75"/>
    <row r="31423" ht="12.75"/>
    <row r="31424" ht="12.75"/>
    <row r="31425" ht="12.75"/>
    <row r="31426" ht="12.75"/>
    <row r="31427" ht="12.75"/>
    <row r="31428" ht="12.75"/>
    <row r="31429" ht="12.75"/>
    <row r="31430" ht="12.75"/>
    <row r="31431" ht="12.75"/>
    <row r="31432" ht="12.75"/>
    <row r="31433" ht="12.75"/>
    <row r="31434" ht="12.75"/>
    <row r="31435" ht="12.75"/>
    <row r="31436" ht="12.75"/>
    <row r="31437" ht="12.75"/>
    <row r="31438" ht="12.75"/>
    <row r="31439" ht="12.75"/>
    <row r="31440" ht="12.75"/>
    <row r="31441" ht="12.75"/>
    <row r="31442" ht="12.75"/>
    <row r="31443" ht="12.75"/>
    <row r="31444" ht="12.75"/>
    <row r="31445" ht="12.75"/>
    <row r="31446" ht="12.75"/>
    <row r="31447" ht="12.75"/>
    <row r="31448" ht="12.75"/>
    <row r="31449" ht="12.75"/>
    <row r="31450" ht="12.75"/>
    <row r="31451" ht="12.75"/>
    <row r="31452" ht="12.75"/>
    <row r="31453" ht="12.75"/>
    <row r="31454" ht="12.75"/>
    <row r="31455" ht="12.75"/>
    <row r="31456" ht="12.75"/>
    <row r="31457" ht="12.75"/>
    <row r="31458" ht="12.75"/>
    <row r="31459" ht="12.75"/>
    <row r="31460" ht="12.75"/>
    <row r="31461" ht="12.75"/>
    <row r="31462" ht="12.75"/>
    <row r="31463" ht="12.75"/>
    <row r="31464" ht="12.75"/>
    <row r="31465" ht="12.75"/>
    <row r="31466" ht="12.75"/>
    <row r="31467" ht="12.75"/>
    <row r="31468" ht="12.75"/>
    <row r="31469" ht="12.75"/>
    <row r="31470" ht="12.75"/>
    <row r="31471" ht="12.75"/>
    <row r="31472" ht="12.75"/>
    <row r="31473" ht="12.75"/>
    <row r="31474" ht="12.75"/>
    <row r="31475" ht="12.75"/>
    <row r="31476" ht="12.75"/>
    <row r="31477" ht="12.75"/>
    <row r="31478" ht="12.75"/>
    <row r="31479" ht="12.75"/>
    <row r="31480" ht="12.75"/>
    <row r="31481" ht="12.75"/>
    <row r="31482" ht="12.75"/>
    <row r="31483" ht="12.75"/>
    <row r="31484" ht="12.75"/>
    <row r="31485" ht="12.75"/>
    <row r="31486" ht="12.75"/>
    <row r="31487" ht="12.75"/>
    <row r="31488" ht="12.75"/>
    <row r="31489" ht="12.75"/>
    <row r="31490" ht="12.75"/>
    <row r="31491" ht="12.75"/>
    <row r="31492" ht="12.75"/>
    <row r="31493" ht="12.75"/>
    <row r="31494" ht="12.75"/>
    <row r="31495" ht="12.75"/>
    <row r="31496" ht="12.75"/>
    <row r="31497" ht="12.75"/>
    <row r="31498" ht="12.75"/>
    <row r="31499" ht="12.75"/>
    <row r="31500" ht="12.75"/>
    <row r="31501" ht="12.75"/>
    <row r="31502" ht="12.75"/>
    <row r="31503" ht="12.75"/>
    <row r="31504" ht="12.75"/>
    <row r="31505" ht="12.75"/>
    <row r="31506" ht="12.75"/>
    <row r="31507" ht="12.75"/>
    <row r="31508" ht="12.75"/>
    <row r="31509" ht="12.75"/>
    <row r="31510" ht="12.75"/>
    <row r="31511" ht="12.75"/>
    <row r="31512" ht="12.75"/>
    <row r="31513" ht="12.75"/>
    <row r="31514" ht="12.75"/>
    <row r="31515" ht="12.75"/>
    <row r="31516" ht="12.75"/>
    <row r="31517" ht="12.75"/>
    <row r="31518" ht="12.75"/>
    <row r="31519" ht="12.75"/>
    <row r="31520" ht="12.75"/>
    <row r="31521" ht="12.75"/>
    <row r="31522" ht="12.75"/>
    <row r="31523" ht="12.75"/>
    <row r="31524" ht="12.75"/>
    <row r="31525" ht="12.75"/>
    <row r="31526" ht="12.75"/>
    <row r="31527" ht="12.75"/>
    <row r="31528" ht="12.75"/>
    <row r="31529" ht="12.75"/>
    <row r="31530" ht="12.75"/>
    <row r="31531" ht="12.75"/>
    <row r="31532" ht="12.75"/>
    <row r="31533" ht="12.75"/>
    <row r="31534" ht="12.75"/>
    <row r="31535" ht="12.75"/>
    <row r="31536" ht="12.75"/>
    <row r="31537" ht="12.75"/>
    <row r="31538" ht="12.75"/>
    <row r="31539" ht="12.75"/>
    <row r="31540" ht="12.75"/>
    <row r="31541" ht="12.75"/>
    <row r="31542" ht="12.75"/>
    <row r="31543" ht="12.75"/>
    <row r="31544" ht="12.75"/>
    <row r="31545" ht="12.75"/>
    <row r="31546" ht="12.75"/>
    <row r="31547" ht="12.75"/>
    <row r="31548" ht="12.75"/>
    <row r="31549" ht="12.75"/>
    <row r="31550" ht="12.75"/>
    <row r="31551" ht="12.75"/>
    <row r="31552" ht="12.75"/>
    <row r="31553" ht="12.75"/>
    <row r="31554" ht="12.75"/>
    <row r="31555" ht="12.75"/>
    <row r="31556" ht="12.75"/>
    <row r="31557" ht="12.75"/>
    <row r="31558" ht="12.75"/>
    <row r="31559" ht="12.75"/>
    <row r="31560" ht="12.75"/>
    <row r="31561" ht="12.75"/>
    <row r="31562" ht="12.75"/>
    <row r="31563" ht="12.75"/>
    <row r="31564" ht="12.75"/>
    <row r="31565" ht="12.75"/>
    <row r="31566" ht="12.75"/>
    <row r="31567" ht="12.75"/>
    <row r="31568" ht="12.75"/>
    <row r="31569" ht="12.75"/>
    <row r="31570" ht="12.75"/>
    <row r="31571" ht="12.75"/>
    <row r="31572" ht="12.75"/>
    <row r="31573" ht="12.75"/>
    <row r="31574" ht="12.75"/>
    <row r="31575" ht="12.75"/>
    <row r="31576" ht="12.75"/>
    <row r="31577" ht="12.75"/>
    <row r="31578" ht="12.75"/>
    <row r="31579" ht="12.75"/>
    <row r="31580" ht="12.75"/>
    <row r="31581" ht="12.75"/>
    <row r="31582" ht="12.75"/>
    <row r="31583" ht="12.75"/>
    <row r="31584" ht="12.75"/>
    <row r="31585" ht="12.75"/>
    <row r="31586" ht="12.75"/>
    <row r="31587" ht="12.75"/>
    <row r="31588" ht="12.75"/>
    <row r="31589" ht="12.75"/>
    <row r="31590" ht="12.75"/>
    <row r="31591" ht="12.75"/>
    <row r="31592" ht="12.75"/>
    <row r="31593" ht="12.75"/>
    <row r="31594" ht="12.75"/>
    <row r="31595" ht="12.75"/>
    <row r="31596" ht="12.75"/>
    <row r="31597" ht="12.75"/>
    <row r="31598" ht="12.75"/>
    <row r="31599" ht="12.75"/>
    <row r="31600" ht="12.75"/>
    <row r="31601" ht="12.75"/>
    <row r="31602" ht="12.75"/>
    <row r="31603" ht="12.75"/>
    <row r="31604" ht="12.75"/>
    <row r="31605" ht="12.75"/>
    <row r="31606" ht="12.75"/>
    <row r="31607" ht="12.75"/>
    <row r="31608" ht="12.75"/>
    <row r="31609" ht="12.75"/>
    <row r="31610" ht="12.75"/>
    <row r="31611" ht="12.75"/>
    <row r="31612" ht="12.75"/>
    <row r="31613" ht="12.75"/>
    <row r="31614" ht="12.75"/>
    <row r="31615" ht="12.75"/>
    <row r="31616" ht="12.75"/>
    <row r="31617" ht="12.75"/>
    <row r="31618" ht="12.75"/>
    <row r="31619" ht="12.75"/>
    <row r="31620" ht="12.75"/>
    <row r="31621" ht="12.75"/>
    <row r="31622" ht="12.75"/>
    <row r="31623" ht="12.75"/>
    <row r="31624" ht="12.75"/>
    <row r="31625" ht="12.75"/>
    <row r="31626" ht="12.75"/>
    <row r="31627" ht="12.75"/>
    <row r="31628" ht="12.75"/>
    <row r="31629" ht="12.75"/>
    <row r="31630" ht="12.75"/>
    <row r="31631" ht="12.75"/>
    <row r="31632" ht="12.75"/>
    <row r="31633" ht="12.75"/>
    <row r="31634" ht="12.75"/>
    <row r="31635" ht="12.75"/>
    <row r="31636" ht="12.75"/>
    <row r="31637" ht="12.75"/>
    <row r="31638" ht="12.75"/>
    <row r="31639" ht="12.75"/>
    <row r="31640" ht="12.75"/>
    <row r="31641" ht="12.75"/>
    <row r="31642" ht="12.75"/>
    <row r="31643" ht="12.75"/>
    <row r="31644" ht="12.75"/>
    <row r="31645" ht="12.75"/>
    <row r="31646" ht="12.75"/>
    <row r="31647" ht="12.75"/>
    <row r="31648" ht="12.75"/>
    <row r="31649" ht="12.75"/>
    <row r="31650" ht="12.75"/>
    <row r="31651" ht="12.75"/>
    <row r="31652" ht="12.75"/>
    <row r="31653" ht="12.75"/>
    <row r="31654" ht="12.75"/>
    <row r="31655" ht="12.75"/>
    <row r="31656" ht="12.75"/>
    <row r="31657" ht="12.75"/>
    <row r="31658" ht="12.75"/>
    <row r="31659" ht="12.75"/>
    <row r="31660" ht="12.75"/>
    <row r="31661" ht="12.75"/>
    <row r="31662" ht="12.75"/>
    <row r="31663" ht="12.75"/>
    <row r="31664" ht="12.75"/>
    <row r="31665" ht="12.75"/>
    <row r="31666" ht="12.75"/>
    <row r="31667" ht="12.75"/>
    <row r="31668" ht="12.75"/>
    <row r="31669" ht="12.75"/>
    <row r="31670" ht="12.75"/>
    <row r="31671" ht="12.75"/>
    <row r="31672" ht="12.75"/>
    <row r="31673" ht="12.75"/>
    <row r="31674" ht="12.75"/>
    <row r="31675" ht="12.75"/>
    <row r="31676" ht="12.75"/>
    <row r="31677" ht="12.75"/>
    <row r="31678" ht="12.75"/>
    <row r="31679" ht="12.75"/>
    <row r="31680" ht="12.75"/>
    <row r="31681" ht="12.75"/>
    <row r="31682" ht="12.75"/>
    <row r="31683" ht="12.75"/>
    <row r="31684" ht="12.75"/>
    <row r="31685" ht="12.75"/>
    <row r="31686" ht="12.75"/>
    <row r="31687" ht="12.75"/>
    <row r="31688" ht="12.75"/>
    <row r="31689" ht="12.75"/>
    <row r="31690" ht="12.75"/>
    <row r="31691" ht="12.75"/>
    <row r="31692" ht="12.75"/>
    <row r="31693" ht="12.75"/>
    <row r="31694" ht="12.75"/>
    <row r="31695" ht="12.75"/>
    <row r="31696" ht="12.75"/>
    <row r="31697" ht="12.75"/>
    <row r="31698" ht="12.75"/>
    <row r="31699" ht="12.75"/>
    <row r="31700" ht="12.75"/>
    <row r="31701" ht="12.75"/>
    <row r="31702" ht="12.75"/>
    <row r="31703" ht="12.75"/>
    <row r="31704" ht="12.75"/>
    <row r="31705" ht="12.75"/>
    <row r="31706" ht="12.75"/>
    <row r="31707" ht="12.75"/>
    <row r="31708" ht="12.75"/>
    <row r="31709" ht="12.75"/>
    <row r="31710" ht="12.75"/>
    <row r="31711" ht="12.75"/>
    <row r="31712" ht="12.75"/>
    <row r="31713" ht="12.75"/>
    <row r="31714" ht="12.75"/>
    <row r="31715" ht="12.75"/>
    <row r="31716" ht="12.75"/>
    <row r="31717" ht="12.75"/>
    <row r="31718" ht="12.75"/>
    <row r="31719" ht="12.75"/>
    <row r="31720" ht="12.75"/>
    <row r="31721" ht="12.75"/>
    <row r="31722" ht="12.75"/>
    <row r="31723" ht="12.75"/>
    <row r="31724" ht="12.75"/>
    <row r="31725" ht="12.75"/>
    <row r="31726" ht="12.75"/>
    <row r="31727" ht="12.75"/>
    <row r="31728" ht="12.75"/>
    <row r="31729" ht="12.75"/>
    <row r="31730" ht="12.75"/>
    <row r="31731" ht="12.75"/>
    <row r="31732" ht="12.75"/>
    <row r="31733" ht="12.75"/>
    <row r="31734" ht="12.75"/>
    <row r="31735" ht="12.75"/>
    <row r="31736" ht="12.75"/>
    <row r="31737" ht="12.75"/>
    <row r="31738" ht="12.75"/>
    <row r="31739" ht="12.75"/>
    <row r="31740" ht="12.75"/>
    <row r="31741" ht="12.75"/>
    <row r="31742" ht="12.75"/>
    <row r="31743" ht="12.75"/>
    <row r="31744" ht="12.75"/>
    <row r="31745" ht="12.75"/>
    <row r="31746" ht="12.75"/>
    <row r="31747" ht="12.75"/>
    <row r="31748" ht="12.75"/>
    <row r="31749" ht="12.75"/>
    <row r="31750" ht="12.75"/>
    <row r="31751" ht="12.75"/>
    <row r="31752" ht="12.75"/>
    <row r="31753" ht="12.75"/>
    <row r="31754" ht="12.75"/>
    <row r="31755" ht="12.75"/>
    <row r="31756" ht="12.75"/>
    <row r="31757" ht="12.75"/>
    <row r="31758" ht="12.75"/>
    <row r="31759" ht="12.75"/>
    <row r="31760" ht="12.75"/>
    <row r="31761" ht="12.75"/>
    <row r="31762" ht="12.75"/>
    <row r="31763" ht="12.75"/>
    <row r="31764" ht="12.75"/>
    <row r="31765" ht="12.75"/>
    <row r="31766" ht="12.75"/>
    <row r="31767" ht="12.75"/>
    <row r="31768" ht="12.75"/>
    <row r="31769" ht="12.75"/>
    <row r="31770" ht="12.75"/>
    <row r="31771" ht="12.75"/>
    <row r="31772" ht="12.75"/>
    <row r="31773" ht="12.75"/>
    <row r="31774" ht="12.75"/>
    <row r="31775" ht="12.75"/>
    <row r="31776" ht="12.75"/>
    <row r="31777" ht="12.75"/>
    <row r="31778" ht="12.75"/>
    <row r="31779" ht="12.75"/>
    <row r="31780" ht="12.75"/>
    <row r="31781" ht="12.75"/>
    <row r="31782" ht="12.75"/>
    <row r="31783" ht="12.75"/>
    <row r="31784" ht="12.75"/>
    <row r="31785" ht="12.75"/>
    <row r="31786" ht="12.75"/>
    <row r="31787" ht="12.75"/>
    <row r="31788" ht="12.75"/>
    <row r="31789" ht="12.75"/>
    <row r="31790" ht="12.75"/>
    <row r="31791" ht="12.75"/>
    <row r="31792" ht="12.75"/>
    <row r="31793" ht="12.75"/>
    <row r="31794" ht="12.75"/>
    <row r="31795" ht="12.75"/>
    <row r="31796" ht="12.75"/>
    <row r="31797" ht="12.75"/>
    <row r="31798" ht="12.75"/>
    <row r="31799" ht="12.75"/>
    <row r="31800" ht="12.75"/>
    <row r="31801" ht="12.75"/>
    <row r="31802" ht="12.75"/>
    <row r="31803" ht="12.75"/>
    <row r="31804" ht="12.75"/>
    <row r="31805" ht="12.75"/>
    <row r="31806" ht="12.75"/>
    <row r="31807" ht="12.75"/>
    <row r="31808" ht="12.75"/>
    <row r="31809" ht="12.75"/>
    <row r="31810" ht="12.75"/>
    <row r="31811" ht="12.75"/>
    <row r="31812" ht="12.75"/>
    <row r="31813" ht="12.75"/>
    <row r="31814" ht="12.75"/>
    <row r="31815" ht="12.75"/>
    <row r="31816" ht="12.75"/>
    <row r="31817" ht="12.75"/>
    <row r="31818" ht="12.75"/>
    <row r="31819" ht="12.75"/>
    <row r="31820" ht="12.75"/>
    <row r="31821" ht="12.75"/>
    <row r="31822" ht="12.75"/>
    <row r="31823" ht="12.75"/>
    <row r="31824" ht="12.75"/>
    <row r="31825" ht="12.75"/>
    <row r="31826" ht="12.75"/>
    <row r="31827" ht="12.75"/>
    <row r="31828" ht="12.75"/>
    <row r="31829" ht="12.75"/>
    <row r="31830" ht="12.75"/>
    <row r="31831" ht="12.75"/>
    <row r="31832" ht="12.75"/>
    <row r="31833" ht="12.75"/>
    <row r="31834" ht="12.75"/>
    <row r="31835" ht="12.75"/>
    <row r="31836" ht="12.75"/>
    <row r="31837" ht="12.75"/>
    <row r="31838" ht="12.75"/>
    <row r="31839" ht="12.75"/>
    <row r="31840" ht="12.75"/>
    <row r="31841" ht="12.75"/>
    <row r="31842" ht="12.75"/>
    <row r="31843" ht="12.75"/>
    <row r="31844" ht="12.75"/>
    <row r="31845" ht="12.75"/>
    <row r="31846" ht="12.75"/>
    <row r="31847" ht="12.75"/>
    <row r="31848" ht="12.75"/>
    <row r="31849" ht="12.75"/>
    <row r="31850" ht="12.75"/>
    <row r="31851" ht="12.75"/>
    <row r="31852" ht="12.75"/>
    <row r="31853" ht="12.75"/>
    <row r="31854" ht="12.75"/>
    <row r="31855" ht="12.75"/>
    <row r="31856" ht="12.75"/>
    <row r="31857" ht="12.75"/>
    <row r="31858" ht="12.75"/>
    <row r="31859" ht="12.75"/>
    <row r="31860" ht="12.75"/>
    <row r="31861" ht="12.75"/>
    <row r="31862" ht="12.75"/>
    <row r="31863" ht="12.75"/>
    <row r="31864" ht="12.75"/>
    <row r="31865" ht="12.75"/>
    <row r="31866" ht="12.75"/>
    <row r="31867" ht="12.75"/>
    <row r="31868" ht="12.75"/>
    <row r="31869" ht="12.75"/>
    <row r="31870" ht="12.75"/>
    <row r="31871" ht="12.75"/>
    <row r="31872" ht="12.75"/>
    <row r="31873" ht="12.75"/>
    <row r="31874" ht="12.75"/>
    <row r="31875" ht="12.75"/>
    <row r="31876" ht="12.75"/>
    <row r="31877" ht="12.75"/>
    <row r="31878" ht="12.75"/>
    <row r="31879" ht="12.75"/>
    <row r="31880" ht="12.75"/>
    <row r="31881" ht="12.75"/>
    <row r="31882" ht="12.75"/>
    <row r="31883" ht="12.75"/>
    <row r="31884" ht="12.75"/>
    <row r="31885" ht="12.75"/>
    <row r="31886" ht="12.75"/>
    <row r="31887" ht="12.75"/>
    <row r="31888" ht="12.75"/>
    <row r="31889" ht="12.75"/>
    <row r="31890" ht="12.75"/>
    <row r="31891" ht="12.75"/>
    <row r="31892" ht="12.75"/>
    <row r="31893" ht="12.75"/>
    <row r="31894" ht="12.75"/>
    <row r="31895" ht="12.75"/>
    <row r="31896" ht="12.75"/>
    <row r="31897" ht="12.75"/>
    <row r="31898" ht="12.75"/>
    <row r="31899" ht="12.75"/>
    <row r="31900" ht="12.75"/>
    <row r="31901" ht="12.75"/>
    <row r="31902" ht="12.75"/>
    <row r="31903" ht="12.75"/>
    <row r="31904" ht="12.75"/>
    <row r="31905" ht="12.75"/>
    <row r="31906" ht="12.75"/>
    <row r="31907" ht="12.75"/>
    <row r="31908" ht="12.75"/>
    <row r="31909" ht="12.75"/>
    <row r="31910" ht="12.75"/>
    <row r="31911" ht="12.75"/>
    <row r="31912" ht="12.75"/>
    <row r="31913" ht="12.75"/>
    <row r="31914" ht="12.75"/>
    <row r="31915" ht="12.75"/>
    <row r="31916" ht="12.75"/>
    <row r="31917" ht="12.75"/>
    <row r="31918" ht="12.75"/>
    <row r="31919" ht="12.75"/>
    <row r="31920" ht="12.75"/>
    <row r="31921" ht="12.75"/>
    <row r="31922" ht="12.75"/>
    <row r="31923" ht="12.75"/>
    <row r="31924" ht="12.75"/>
    <row r="31925" ht="12.75"/>
    <row r="31926" ht="12.75"/>
    <row r="31927" ht="12.75"/>
    <row r="31928" ht="12.75"/>
    <row r="31929" ht="12.75"/>
    <row r="31930" ht="12.75"/>
    <row r="31931" ht="12.75"/>
    <row r="31932" ht="12.75"/>
    <row r="31933" ht="12.75"/>
    <row r="31934" ht="12.75"/>
    <row r="31935" ht="12.75"/>
    <row r="31936" ht="12.75"/>
    <row r="31937" ht="12.75"/>
    <row r="31938" ht="12.75"/>
    <row r="31939" ht="12.75"/>
    <row r="31940" ht="12.75"/>
    <row r="31941" ht="12.75"/>
    <row r="31942" ht="12.75"/>
    <row r="31943" ht="12.75"/>
    <row r="31944" ht="12.75"/>
    <row r="31945" ht="12.75"/>
    <row r="31946" ht="12.75"/>
    <row r="31947" ht="12.75"/>
    <row r="31948" ht="12.75"/>
    <row r="31949" ht="12.75"/>
    <row r="31950" ht="12.75"/>
    <row r="31951" ht="12.75"/>
    <row r="31952" ht="12.75"/>
    <row r="31953" ht="12.75"/>
    <row r="31954" ht="12.75"/>
    <row r="31955" ht="12.75"/>
    <row r="31956" ht="12.75"/>
    <row r="31957" ht="12.75"/>
    <row r="31958" ht="12.75"/>
    <row r="31959" ht="12.75"/>
    <row r="31960" ht="12.75"/>
    <row r="31961" ht="12.75"/>
    <row r="31962" ht="12.75"/>
    <row r="31963" ht="12.75"/>
    <row r="31964" ht="12.75"/>
    <row r="31965" ht="12.75"/>
    <row r="31966" ht="12.75"/>
    <row r="31967" ht="12.75"/>
    <row r="31968" ht="12.75"/>
    <row r="31969" ht="12.75"/>
    <row r="31970" ht="12.75"/>
    <row r="31971" ht="12.75"/>
    <row r="31972" ht="12.75"/>
    <row r="31973" ht="12.75"/>
    <row r="31974" ht="12.75"/>
    <row r="31975" ht="12.75"/>
    <row r="31976" ht="12.75"/>
    <row r="31977" ht="12.75"/>
    <row r="31978" ht="12.75"/>
    <row r="31979" ht="12.75"/>
    <row r="31980" ht="12.75"/>
    <row r="31981" ht="12.75"/>
    <row r="31982" ht="12.75"/>
    <row r="31983" ht="12.75"/>
    <row r="31984" ht="12.75"/>
    <row r="31985" ht="12.75"/>
    <row r="31986" ht="12.75"/>
    <row r="31987" ht="12.75"/>
    <row r="31988" ht="12.75"/>
    <row r="31989" ht="12.75"/>
    <row r="31990" ht="12.75"/>
    <row r="31991" ht="12.75"/>
    <row r="31992" ht="12.75"/>
    <row r="31993" ht="12.75"/>
    <row r="31994" ht="12.75"/>
    <row r="31995" ht="12.75"/>
    <row r="31996" ht="12.75"/>
    <row r="31997" ht="12.75"/>
    <row r="31998" ht="12.75"/>
    <row r="31999" ht="12.75"/>
    <row r="32000" ht="12.75"/>
    <row r="32001" ht="12.75"/>
    <row r="32002" ht="12.75"/>
    <row r="32003" ht="12.75"/>
    <row r="32004" ht="12.75"/>
    <row r="32005" ht="12.75"/>
    <row r="32006" ht="12.75"/>
    <row r="32007" ht="12.75"/>
    <row r="32008" ht="12.75"/>
    <row r="32009" ht="12.75"/>
    <row r="32010" ht="12.75"/>
    <row r="32011" ht="12.75"/>
    <row r="32012" ht="12.75"/>
    <row r="32013" ht="12.75"/>
    <row r="32014" ht="12.75"/>
    <row r="32015" ht="12.75"/>
    <row r="32016" ht="12.75"/>
    <row r="32017" ht="12.75"/>
    <row r="32018" ht="12.75"/>
    <row r="32019" ht="12.75"/>
    <row r="32020" ht="12.75"/>
    <row r="32021" ht="12.75"/>
    <row r="32022" ht="12.75"/>
    <row r="32023" ht="12.75"/>
    <row r="32024" ht="12.75"/>
    <row r="32025" ht="12.75"/>
    <row r="32026" ht="12.75"/>
    <row r="32027" ht="12.75"/>
    <row r="32028" ht="12.75"/>
    <row r="32029" ht="12.75"/>
    <row r="32030" ht="12.75"/>
    <row r="32031" ht="12.75"/>
    <row r="32032" ht="12.75"/>
    <row r="32033" ht="12.75"/>
    <row r="32034" ht="12.75"/>
    <row r="32035" ht="12.75"/>
    <row r="32036" ht="12.75"/>
    <row r="32037" ht="12.75"/>
    <row r="32038" ht="12.75"/>
    <row r="32039" ht="12.75"/>
    <row r="32040" ht="12.75"/>
    <row r="32041" ht="12.75"/>
    <row r="32042" ht="12.75"/>
    <row r="32043" ht="12.75"/>
    <row r="32044" ht="12.75"/>
    <row r="32045" ht="12.75"/>
    <row r="32046" ht="12.75"/>
    <row r="32047" ht="12.75"/>
    <row r="32048" ht="12.75"/>
    <row r="32049" ht="12.75"/>
    <row r="32050" ht="12.75"/>
    <row r="32051" ht="12.75"/>
    <row r="32052" ht="12.75"/>
    <row r="32053" ht="12.75"/>
    <row r="32054" ht="12.75"/>
    <row r="32055" ht="12.75"/>
    <row r="32056" ht="12.75"/>
    <row r="32057" ht="12.75"/>
    <row r="32058" ht="12.75"/>
    <row r="32059" ht="12.75"/>
    <row r="32060" ht="12.75"/>
    <row r="32061" ht="12.75"/>
    <row r="32062" ht="12.75"/>
    <row r="32063" ht="12.75"/>
    <row r="32064" ht="12.75"/>
    <row r="32065" ht="12.75"/>
    <row r="32066" ht="12.75"/>
    <row r="32067" ht="12.75"/>
    <row r="32068" ht="12.75"/>
    <row r="32069" ht="12.75"/>
    <row r="32070" ht="12.75"/>
    <row r="32071" ht="12.75"/>
    <row r="32072" ht="12.75"/>
    <row r="32073" ht="12.75"/>
    <row r="32074" ht="12.75"/>
    <row r="32075" ht="12.75"/>
    <row r="32076" ht="12.75"/>
    <row r="32077" ht="12.75"/>
    <row r="32078" ht="12.75"/>
    <row r="32079" ht="12.75"/>
    <row r="32080" ht="12.75"/>
    <row r="32081" ht="12.75"/>
    <row r="32082" ht="12.75"/>
    <row r="32083" ht="12.75"/>
    <row r="32084" ht="12.75"/>
    <row r="32085" ht="12.75"/>
    <row r="32086" ht="12.75"/>
    <row r="32087" ht="12.75"/>
    <row r="32088" ht="12.75"/>
    <row r="32089" ht="12.75"/>
    <row r="32090" ht="12.75"/>
    <row r="32091" ht="12.75"/>
    <row r="32092" ht="12.75"/>
    <row r="32093" ht="12.75"/>
    <row r="32094" ht="12.75"/>
    <row r="32095" ht="12.75"/>
    <row r="32096" ht="12.75"/>
    <row r="32097" ht="12.75"/>
    <row r="32098" ht="12.75"/>
    <row r="32099" ht="12.75"/>
    <row r="32100" ht="12.75"/>
    <row r="32101" ht="12.75"/>
    <row r="32102" ht="12.75"/>
    <row r="32103" ht="12.75"/>
    <row r="32104" ht="12.75"/>
    <row r="32105" ht="12.75"/>
    <row r="32106" ht="12.75"/>
    <row r="32107" ht="12.75"/>
    <row r="32108" ht="12.75"/>
    <row r="32109" ht="12.75"/>
    <row r="32110" ht="12.75"/>
    <row r="32111" ht="12.75"/>
    <row r="32112" ht="12.75"/>
    <row r="32113" ht="12.75"/>
    <row r="32114" ht="12.75"/>
    <row r="32115" ht="12.75"/>
    <row r="32116" ht="12.75"/>
    <row r="32117" ht="12.75"/>
    <row r="32118" ht="12.75"/>
    <row r="32119" ht="12.75"/>
    <row r="32120" ht="12.75"/>
    <row r="32121" ht="12.75"/>
    <row r="32122" ht="12.75"/>
    <row r="32123" ht="12.75"/>
    <row r="32124" ht="12.75"/>
    <row r="32125" ht="12.75"/>
    <row r="32126" ht="12.75"/>
    <row r="32127" ht="12.75"/>
    <row r="32128" ht="12.75"/>
    <row r="32129" ht="12.75"/>
    <row r="32130" ht="12.75"/>
    <row r="32131" ht="12.75"/>
    <row r="32132" ht="12.75"/>
    <row r="32133" ht="12.75"/>
    <row r="32134" ht="12.75"/>
    <row r="32135" ht="12.75"/>
    <row r="32136" ht="12.75"/>
    <row r="32137" ht="12.75"/>
    <row r="32138" ht="12.75"/>
    <row r="32139" ht="12.75"/>
    <row r="32140" ht="12.75"/>
    <row r="32141" ht="12.75"/>
    <row r="32142" ht="12.75"/>
    <row r="32143" ht="12.75"/>
    <row r="32144" ht="12.75"/>
    <row r="32145" ht="12.75"/>
    <row r="32146" ht="12.75"/>
    <row r="32147" ht="12.75"/>
    <row r="32148" ht="12.75"/>
    <row r="32149" ht="12.75"/>
    <row r="32150" ht="12.75"/>
    <row r="32151" ht="12.75"/>
    <row r="32152" ht="12.75"/>
    <row r="32153" ht="12.75"/>
    <row r="32154" ht="12.75"/>
    <row r="32155" ht="12.75"/>
    <row r="32156" ht="12.75"/>
    <row r="32157" ht="12.75"/>
    <row r="32158" ht="12.75"/>
    <row r="32159" ht="12.75"/>
    <row r="32160" ht="12.75"/>
    <row r="32161" ht="12.75"/>
    <row r="32162" ht="12.75"/>
    <row r="32163" ht="12.75"/>
    <row r="32164" ht="12.75"/>
    <row r="32165" ht="12.75"/>
    <row r="32166" ht="12.75"/>
    <row r="32167" ht="12.75"/>
    <row r="32168" ht="12.75"/>
    <row r="32169" ht="12.75"/>
    <row r="32170" ht="12.75"/>
    <row r="32171" ht="12.75"/>
    <row r="32172" ht="12.75"/>
    <row r="32173" ht="12.75"/>
    <row r="32174" ht="12.75"/>
    <row r="32175" ht="12.75"/>
    <row r="32176" ht="12.75"/>
    <row r="32177" ht="12.75"/>
    <row r="32178" ht="12.75"/>
    <row r="32179" ht="12.75"/>
    <row r="32180" ht="12.75"/>
    <row r="32181" ht="12.75"/>
    <row r="32182" ht="12.75"/>
    <row r="32183" ht="12.75"/>
    <row r="32184" ht="12.75"/>
    <row r="32185" ht="12.75"/>
    <row r="32186" ht="12.75"/>
    <row r="32187" ht="12.75"/>
    <row r="32188" ht="12.75"/>
    <row r="32189" ht="12.75"/>
    <row r="32190" ht="12.75"/>
    <row r="32191" ht="12.75"/>
    <row r="32192" ht="12.75"/>
    <row r="32193" ht="12.75"/>
    <row r="32194" ht="12.75"/>
    <row r="32195" ht="12.75"/>
    <row r="32196" ht="12.75"/>
    <row r="32197" ht="12.75"/>
    <row r="32198" ht="12.75"/>
    <row r="32199" ht="12.75"/>
    <row r="32200" ht="12.75"/>
    <row r="32201" ht="12.75"/>
    <row r="32202" ht="12.75"/>
    <row r="32203" ht="12.75"/>
    <row r="32204" ht="12.75"/>
    <row r="32205" ht="12.75"/>
    <row r="32206" ht="12.75"/>
    <row r="32207" ht="12.75"/>
    <row r="32208" ht="12.75"/>
    <row r="32209" ht="12.75"/>
    <row r="32210" ht="12.75"/>
    <row r="32211" ht="12.75"/>
    <row r="32212" ht="12.75"/>
    <row r="32213" ht="12.75"/>
    <row r="32214" ht="12.75"/>
    <row r="32215" ht="12.75"/>
    <row r="32216" ht="12.75"/>
    <row r="32217" ht="12.75"/>
    <row r="32218" ht="12.75"/>
    <row r="32219" ht="12.75"/>
    <row r="32220" ht="12.75"/>
    <row r="32221" ht="12.75"/>
    <row r="32222" ht="12.75"/>
    <row r="32223" ht="12.75"/>
    <row r="32224" ht="12.75"/>
    <row r="32225" ht="12.75"/>
    <row r="32226" ht="12.75"/>
    <row r="32227" ht="12.75"/>
    <row r="32228" ht="12.75"/>
    <row r="32229" ht="12.75"/>
    <row r="32230" ht="12.75"/>
    <row r="32231" ht="12.75"/>
    <row r="32232" ht="12.75"/>
    <row r="32233" ht="12.75"/>
    <row r="32234" ht="12.75"/>
    <row r="32235" ht="12.75"/>
    <row r="32236" ht="12.75"/>
    <row r="32237" ht="12.75"/>
    <row r="32238" ht="12.75"/>
    <row r="32239" ht="12.75"/>
    <row r="32240" ht="12.75"/>
    <row r="32241" ht="12.75"/>
    <row r="32242" ht="12.75"/>
    <row r="32243" ht="12.75"/>
    <row r="32244" ht="12.75"/>
    <row r="32245" ht="12.75"/>
    <row r="32246" ht="12.75"/>
    <row r="32247" ht="12.75"/>
    <row r="32248" ht="12.75"/>
    <row r="32249" ht="12.75"/>
    <row r="32250" ht="12.75"/>
    <row r="32251" ht="12.75"/>
    <row r="32252" ht="12.75"/>
    <row r="32253" ht="12.75"/>
    <row r="32254" ht="12.75"/>
    <row r="32255" ht="12.75"/>
    <row r="32256" ht="12.75"/>
    <row r="32257" ht="12.75"/>
    <row r="32258" ht="12.75"/>
    <row r="32259" ht="12.75"/>
    <row r="32260" ht="12.75"/>
    <row r="32261" ht="12.75"/>
    <row r="32262" ht="12.75"/>
    <row r="32263" ht="12.75"/>
    <row r="32264" ht="12.75"/>
    <row r="32265" ht="12.75"/>
    <row r="32266" ht="12.75"/>
    <row r="32267" ht="12.75"/>
    <row r="32268" ht="12.75"/>
    <row r="32269" ht="12.75"/>
    <row r="32270" ht="12.75"/>
    <row r="32271" ht="12.75"/>
    <row r="32272" ht="12.75"/>
    <row r="32273" ht="12.75"/>
    <row r="32274" ht="12.75"/>
    <row r="32275" ht="12.75"/>
    <row r="32276" ht="12.75"/>
    <row r="32277" ht="12.75"/>
    <row r="32278" ht="12.75"/>
    <row r="32279" ht="12.75"/>
    <row r="32280" ht="12.75"/>
    <row r="32281" ht="12.75"/>
    <row r="32282" ht="12.75"/>
    <row r="32283" ht="12.75"/>
    <row r="32284" ht="12.75"/>
    <row r="32285" ht="12.75"/>
    <row r="32286" ht="12.75"/>
    <row r="32287" ht="12.75"/>
    <row r="32288" ht="12.75"/>
    <row r="32289" ht="12.75"/>
    <row r="32290" ht="12.75"/>
    <row r="32291" ht="12.75"/>
    <row r="32292" ht="12.75"/>
    <row r="32293" ht="12.75"/>
    <row r="32294" ht="12.75"/>
    <row r="32295" ht="12.75"/>
    <row r="32296" ht="12.75"/>
    <row r="32297" ht="12.75"/>
    <row r="32298" ht="12.75"/>
    <row r="32299" ht="12.75"/>
    <row r="32300" ht="12.75"/>
    <row r="32301" ht="12.75"/>
    <row r="32302" ht="12.75"/>
    <row r="32303" ht="12.75"/>
    <row r="32304" ht="12.75"/>
    <row r="32305" ht="12.75"/>
    <row r="32306" ht="12.75"/>
    <row r="32307" ht="12.75"/>
    <row r="32308" ht="12.75"/>
    <row r="32309" ht="12.75"/>
    <row r="32310" ht="12.75"/>
    <row r="32311" ht="12.75"/>
    <row r="32312" ht="12.75"/>
    <row r="32313" ht="12.75"/>
    <row r="32314" ht="12.75"/>
    <row r="32315" ht="12.75"/>
    <row r="32316" ht="12.75"/>
    <row r="32317" ht="12.75"/>
    <row r="32318" ht="12.75"/>
    <row r="32319" ht="12.75"/>
    <row r="32320" ht="12.75"/>
    <row r="32321" ht="12.75"/>
    <row r="32322" ht="12.75"/>
    <row r="32323" ht="12.75"/>
    <row r="32324" ht="12.75"/>
    <row r="32325" ht="12.75"/>
    <row r="32326" ht="12.75"/>
    <row r="32327" ht="12.75"/>
    <row r="32328" ht="12.75"/>
    <row r="32329" ht="12.75"/>
    <row r="32330" ht="12.75"/>
    <row r="32331" ht="12.75"/>
    <row r="32332" ht="12.75"/>
    <row r="32333" ht="12.75"/>
    <row r="32334" ht="12.75"/>
    <row r="32335" ht="12.75"/>
    <row r="32336" ht="12.75"/>
    <row r="32337" ht="12.75"/>
    <row r="32338" ht="12.75"/>
    <row r="32339" ht="12.75"/>
    <row r="32340" ht="12.75"/>
    <row r="32341" ht="12.75"/>
    <row r="32342" ht="12.75"/>
    <row r="32343" ht="12.75"/>
    <row r="32344" ht="12.75"/>
    <row r="32345" ht="12.75"/>
    <row r="32346" ht="12.75"/>
    <row r="32347" ht="12.75"/>
    <row r="32348" ht="12.75"/>
    <row r="32349" ht="12.75"/>
    <row r="32350" ht="12.75"/>
    <row r="32351" ht="12.75"/>
    <row r="32352" ht="12.75"/>
    <row r="32353" ht="12.75"/>
    <row r="32354" ht="12.75"/>
    <row r="32355" ht="12.75"/>
    <row r="32356" ht="12.75"/>
    <row r="32357" ht="12.75"/>
    <row r="32358" ht="12.75"/>
    <row r="32359" ht="12.75"/>
    <row r="32360" ht="12.75"/>
    <row r="32361" ht="12.75"/>
    <row r="32362" ht="12.75"/>
    <row r="32363" ht="12.75"/>
    <row r="32364" ht="12.75"/>
    <row r="32365" ht="12.75"/>
    <row r="32366" ht="12.75"/>
    <row r="32367" ht="12.75"/>
    <row r="32368" ht="12.75"/>
    <row r="32369" ht="12.75"/>
    <row r="32370" ht="12.75"/>
    <row r="32371" ht="12.75"/>
    <row r="32372" ht="12.75"/>
    <row r="32373" ht="12.75"/>
    <row r="32374" ht="12.75"/>
    <row r="32375" ht="12.75"/>
    <row r="32376" ht="12.75"/>
    <row r="32377" ht="12.75"/>
    <row r="32378" ht="12.75"/>
    <row r="32379" ht="12.75"/>
    <row r="32380" ht="12.75"/>
    <row r="32381" ht="12.75"/>
    <row r="32382" ht="12.75"/>
    <row r="32383" ht="12.75"/>
    <row r="32384" ht="12.75"/>
    <row r="32385" ht="12.75"/>
    <row r="32386" ht="12.75"/>
    <row r="32387" ht="12.75"/>
    <row r="32388" ht="12.75"/>
    <row r="32389" ht="12.75"/>
    <row r="32390" ht="12.75"/>
    <row r="32391" ht="12.75"/>
    <row r="32392" ht="12.75"/>
    <row r="32393" ht="12.75"/>
    <row r="32394" ht="12.75"/>
    <row r="32395" ht="12.75"/>
    <row r="32396" ht="12.75"/>
    <row r="32397" ht="12.75"/>
    <row r="32398" ht="12.75"/>
    <row r="32399" ht="12.75"/>
    <row r="32400" ht="12.75"/>
    <row r="32401" ht="12.75"/>
    <row r="32402" ht="12.75"/>
    <row r="32403" ht="12.75"/>
    <row r="32404" ht="12.75"/>
    <row r="32405" ht="12.75"/>
    <row r="32406" ht="12.75"/>
    <row r="32407" ht="12.75"/>
    <row r="32408" ht="12.75"/>
    <row r="32409" ht="12.75"/>
    <row r="32410" ht="12.75"/>
    <row r="32411" ht="12.75"/>
    <row r="32412" ht="12.75"/>
    <row r="32413" ht="12.75"/>
    <row r="32414" ht="12.75"/>
    <row r="32415" ht="12.75"/>
    <row r="32416" ht="12.75"/>
    <row r="32417" ht="12.75"/>
    <row r="32418" ht="12.75"/>
    <row r="32419" ht="12.75"/>
    <row r="32420" ht="12.75"/>
    <row r="32421" ht="12.75"/>
    <row r="32422" ht="12.75"/>
    <row r="32423" ht="12.75"/>
    <row r="32424" ht="12.75"/>
    <row r="32425" ht="12.75"/>
    <row r="32426" ht="12.75"/>
    <row r="32427" ht="12.75"/>
    <row r="32428" ht="12.75"/>
    <row r="32429" ht="12.75"/>
    <row r="32430" ht="12.75"/>
    <row r="32431" ht="12.75"/>
    <row r="32432" ht="12.75"/>
    <row r="32433" ht="12.75"/>
    <row r="32434" ht="12.75"/>
    <row r="32435" ht="12.75"/>
    <row r="32436" ht="12.75"/>
    <row r="32437" ht="12.75"/>
    <row r="32438" ht="12.75"/>
    <row r="32439" ht="12.75"/>
    <row r="32440" ht="12.75"/>
    <row r="32441" ht="12.75"/>
    <row r="32442" ht="12.75"/>
    <row r="32443" ht="12.75"/>
    <row r="32444" ht="12.75"/>
    <row r="32445" ht="12.75"/>
    <row r="32446" ht="12.75"/>
    <row r="32447" ht="12.75"/>
    <row r="32448" ht="12.75"/>
    <row r="32449" ht="12.75"/>
    <row r="32450" ht="12.75"/>
    <row r="32451" ht="12.75"/>
    <row r="32452" ht="12.75"/>
    <row r="32453" ht="12.75"/>
    <row r="32454" ht="12.75"/>
    <row r="32455" ht="12.75"/>
    <row r="32456" ht="12.75"/>
    <row r="32457" ht="12.75"/>
    <row r="32458" ht="12.75"/>
    <row r="32459" ht="12.75"/>
    <row r="32460" ht="12.75"/>
    <row r="32461" ht="12.75"/>
    <row r="32462" ht="12.75"/>
    <row r="32463" ht="12.75"/>
    <row r="32464" ht="12.75"/>
    <row r="32465" ht="12.75"/>
    <row r="32466" ht="12.75"/>
    <row r="32467" ht="12.75"/>
    <row r="32468" ht="12.75"/>
    <row r="32469" ht="12.75"/>
    <row r="32470" ht="12.75"/>
    <row r="32471" ht="12.75"/>
    <row r="32472" ht="12.75"/>
    <row r="32473" ht="12.75"/>
    <row r="32474" ht="12.75"/>
    <row r="32475" ht="12.75"/>
    <row r="32476" ht="12.75"/>
    <row r="32477" ht="12.75"/>
    <row r="32478" ht="12.75"/>
    <row r="32479" ht="12.75"/>
    <row r="32480" ht="12.75"/>
    <row r="32481" ht="12.75"/>
    <row r="32482" ht="12.75"/>
    <row r="32483" ht="12.75"/>
    <row r="32484" ht="12.75"/>
    <row r="32485" ht="12.75"/>
    <row r="32486" ht="12.75"/>
    <row r="32487" ht="12.75"/>
    <row r="32488" ht="12.75"/>
    <row r="32489" ht="12.75"/>
    <row r="32490" ht="12.75"/>
    <row r="32491" ht="12.75"/>
    <row r="32492" ht="12.75"/>
    <row r="32493" ht="12.75"/>
    <row r="32494" ht="12.75"/>
    <row r="32495" ht="12.75"/>
    <row r="32496" ht="12.75"/>
    <row r="32497" ht="12.75"/>
    <row r="32498" ht="12.75"/>
    <row r="32499" ht="12.75"/>
    <row r="32500" ht="12.75"/>
    <row r="32501" ht="12.75"/>
    <row r="32502" ht="12.75"/>
    <row r="32503" ht="12.75"/>
    <row r="32504" ht="12.75"/>
    <row r="32505" ht="12.75"/>
    <row r="32506" ht="12.75"/>
    <row r="32507" ht="12.75"/>
    <row r="32508" ht="12.75"/>
    <row r="32509" ht="12.75"/>
    <row r="32510" ht="12.75"/>
    <row r="32511" ht="12.75"/>
    <row r="32512" ht="12.75"/>
    <row r="32513" ht="12.75"/>
    <row r="32514" ht="12.75"/>
    <row r="32515" ht="12.75"/>
    <row r="32516" ht="12.75"/>
    <row r="32517" ht="12.75"/>
    <row r="32518" ht="12.75"/>
    <row r="32519" ht="12.75"/>
    <row r="32520" ht="12.75"/>
    <row r="32521" ht="12.75"/>
    <row r="32522" ht="12.75"/>
    <row r="32523" ht="12.75"/>
    <row r="32524" ht="12.75"/>
    <row r="32525" ht="12.75"/>
    <row r="32526" ht="12.75"/>
    <row r="32527" ht="12.75"/>
    <row r="32528" ht="12.75"/>
    <row r="32529" ht="12.75"/>
    <row r="32530" ht="12.75"/>
    <row r="32531" ht="12.75"/>
    <row r="32532" ht="12.75"/>
    <row r="32533" ht="12.75"/>
    <row r="32534" ht="12.75"/>
    <row r="32535" ht="12.75"/>
    <row r="32536" ht="12.75"/>
    <row r="32537" ht="12.75"/>
    <row r="32538" ht="12.75"/>
    <row r="32539" ht="12.75"/>
    <row r="32540" ht="12.75"/>
    <row r="32541" ht="12.75"/>
    <row r="32542" ht="12.75"/>
    <row r="32543" ht="12.75"/>
    <row r="32544" ht="12.75"/>
    <row r="32545" ht="12.75"/>
    <row r="32546" ht="12.75"/>
    <row r="32547" ht="12.75"/>
    <row r="32548" ht="12.75"/>
    <row r="32549" ht="12.75"/>
    <row r="32550" ht="12.75"/>
    <row r="32551" ht="12.75"/>
    <row r="32552" ht="12.75"/>
    <row r="32553" ht="12.75"/>
    <row r="32554" ht="12.75"/>
    <row r="32555" ht="12.75"/>
    <row r="32556" ht="12.75"/>
    <row r="32557" ht="12.75"/>
    <row r="32558" ht="12.75"/>
    <row r="32559" ht="12.75"/>
    <row r="32560" ht="12.75"/>
    <row r="32561" ht="12.75"/>
    <row r="32562" ht="12.75"/>
    <row r="32563" ht="12.75"/>
    <row r="32564" ht="12.75"/>
    <row r="32565" ht="12.75"/>
    <row r="32566" ht="12.75"/>
    <row r="32567" ht="12.75"/>
    <row r="32568" ht="12.75"/>
    <row r="32569" ht="12.75"/>
    <row r="32570" ht="12.75"/>
    <row r="32571" ht="12.75"/>
    <row r="32572" ht="12.75"/>
    <row r="32573" ht="12.75"/>
    <row r="32574" ht="12.75"/>
    <row r="32575" ht="12.75"/>
    <row r="32576" ht="12.75"/>
    <row r="32577" ht="12.75"/>
    <row r="32578" ht="12.75"/>
    <row r="32579" ht="12.75"/>
    <row r="32580" ht="12.75"/>
    <row r="32581" ht="12.75"/>
    <row r="32582" ht="12.75"/>
    <row r="32583" ht="12.75"/>
    <row r="32584" ht="12.75"/>
    <row r="32585" ht="12.75"/>
    <row r="32586" ht="12.75"/>
    <row r="32587" ht="12.75"/>
    <row r="32588" ht="12.75"/>
    <row r="32589" ht="12.75"/>
    <row r="32590" ht="12.75"/>
    <row r="32591" ht="12.75"/>
    <row r="32592" ht="12.75"/>
    <row r="32593" ht="12.75"/>
    <row r="32594" ht="12.75"/>
    <row r="32595" ht="12.75"/>
    <row r="32596" ht="12.75"/>
    <row r="32597" ht="12.75"/>
    <row r="32598" ht="12.75"/>
    <row r="32599" ht="12.75"/>
    <row r="32600" ht="12.75"/>
    <row r="32601" ht="12.75"/>
    <row r="32602" ht="12.75"/>
    <row r="32603" ht="12.75"/>
    <row r="32604" ht="12.75"/>
    <row r="32605" ht="12.75"/>
    <row r="32606" ht="12.75"/>
    <row r="32607" ht="12.75"/>
    <row r="32608" ht="12.75"/>
    <row r="32609" ht="12.75"/>
    <row r="32610" ht="12.75"/>
    <row r="32611" ht="12.75"/>
    <row r="32612" ht="12.75"/>
    <row r="32613" ht="12.75"/>
    <row r="32614" ht="12.75"/>
    <row r="32615" ht="12.75"/>
    <row r="32616" ht="12.75"/>
    <row r="32617" ht="12.75"/>
    <row r="32618" ht="12.75"/>
    <row r="32619" ht="12.75"/>
    <row r="32620" ht="12.75"/>
    <row r="32621" ht="12.75"/>
    <row r="32622" ht="12.75"/>
    <row r="32623" ht="12.75"/>
    <row r="32624" ht="12.75"/>
    <row r="32625" ht="12.75"/>
    <row r="32626" ht="12.75"/>
    <row r="32627" ht="12.75"/>
    <row r="32628" ht="12.75"/>
    <row r="32629" ht="12.75"/>
    <row r="32630" ht="12.75"/>
    <row r="32631" ht="12.75"/>
    <row r="32632" ht="12.75"/>
    <row r="32633" ht="12.75"/>
    <row r="32634" ht="12.75"/>
    <row r="32635" ht="12.75"/>
    <row r="32636" ht="12.75"/>
    <row r="32637" ht="12.75"/>
    <row r="32638" ht="12.75"/>
    <row r="32639" ht="12.75"/>
    <row r="32640" ht="12.75"/>
    <row r="32641" ht="12.75"/>
    <row r="32642" ht="12.75"/>
    <row r="32643" ht="12.75"/>
    <row r="32644" ht="12.75"/>
    <row r="32645" ht="12.75"/>
    <row r="32646" ht="12.75"/>
    <row r="32647" ht="12.75"/>
    <row r="32648" ht="12.75"/>
    <row r="32649" ht="12.75"/>
    <row r="32650" ht="12.75"/>
    <row r="32651" ht="12.75"/>
    <row r="32652" ht="12.75"/>
    <row r="32653" ht="12.75"/>
    <row r="32654" ht="12.75"/>
    <row r="32655" ht="12.75"/>
    <row r="32656" ht="12.75"/>
    <row r="32657" ht="12.75"/>
    <row r="32658" ht="12.75"/>
    <row r="32659" ht="12.75"/>
    <row r="32660" ht="12.75"/>
    <row r="32661" ht="12.75"/>
    <row r="32662" ht="12.75"/>
    <row r="32663" ht="12.75"/>
    <row r="32664" ht="12.75"/>
    <row r="32665" ht="12.75"/>
    <row r="32666" ht="12.75"/>
    <row r="32667" ht="12.75"/>
    <row r="32668" ht="12.75"/>
    <row r="32669" ht="12.75"/>
    <row r="32670" ht="12.75"/>
    <row r="32671" ht="12.75"/>
    <row r="32672" ht="12.75"/>
    <row r="32673" ht="12.75"/>
    <row r="32674" ht="12.75"/>
    <row r="32675" ht="12.75"/>
    <row r="32676" ht="12.75"/>
    <row r="32677" ht="12.75"/>
    <row r="32678" ht="12.75"/>
    <row r="32679" ht="12.75"/>
    <row r="32680" ht="12.75"/>
    <row r="32681" ht="12.75"/>
    <row r="32682" ht="12.75"/>
    <row r="32683" ht="12.75"/>
    <row r="32684" ht="12.75"/>
    <row r="32685" ht="12.75"/>
    <row r="32686" ht="12.75"/>
    <row r="32687" ht="12.75"/>
    <row r="32688" ht="12.75"/>
    <row r="32689" ht="12.75"/>
    <row r="32690" ht="12.75"/>
    <row r="32691" ht="12.75"/>
    <row r="32692" ht="12.75"/>
    <row r="32693" ht="12.75"/>
    <row r="32694" ht="12.75"/>
    <row r="32695" ht="12.75"/>
    <row r="32696" ht="12.75"/>
    <row r="32697" ht="12.75"/>
    <row r="32698" ht="12.75"/>
    <row r="32699" ht="12.75"/>
    <row r="32700" ht="12.75"/>
    <row r="32701" ht="12.75"/>
    <row r="32702" ht="12.75"/>
    <row r="32703" ht="12.75"/>
    <row r="32704" ht="12.75"/>
    <row r="32705" ht="12.75"/>
    <row r="32706" ht="12.75"/>
    <row r="32707" ht="12.75"/>
    <row r="32708" ht="12.75"/>
    <row r="32709" ht="12.75"/>
    <row r="32710" ht="12.75"/>
    <row r="32711" ht="12.75"/>
    <row r="32712" ht="12.75"/>
    <row r="32713" ht="12.75"/>
    <row r="32714" ht="12.75"/>
    <row r="32715" ht="12.75"/>
    <row r="32716" ht="12.75"/>
    <row r="32717" ht="12.75"/>
    <row r="32718" ht="12.75"/>
    <row r="32719" ht="12.75"/>
    <row r="32720" ht="12.75"/>
    <row r="32721" ht="12.75"/>
    <row r="32722" ht="12.75"/>
    <row r="32723" ht="12.75"/>
    <row r="32724" ht="12.75"/>
    <row r="32725" ht="12.75"/>
    <row r="32726" ht="12.75"/>
    <row r="32727" ht="12.75"/>
    <row r="32728" ht="12.75"/>
    <row r="32729" ht="12.75"/>
    <row r="32730" ht="12.75"/>
    <row r="32731" ht="12.75"/>
    <row r="32732" ht="12.75"/>
    <row r="32733" ht="12.75"/>
    <row r="32734" ht="12.75"/>
    <row r="32735" ht="12.75"/>
    <row r="32736" ht="12.75"/>
    <row r="32737" ht="12.75"/>
    <row r="32738" ht="12.75"/>
    <row r="32739" ht="12.75"/>
    <row r="32740" ht="12.75"/>
    <row r="32741" ht="12.75"/>
    <row r="32742" ht="12.75"/>
    <row r="32743" ht="12.75"/>
    <row r="32744" ht="12.75"/>
    <row r="32745" ht="12.75"/>
    <row r="32746" ht="12.75"/>
    <row r="32747" ht="12.75"/>
    <row r="32748" ht="12.75"/>
    <row r="32749" ht="12.75"/>
    <row r="32750" ht="12.75"/>
    <row r="32751" ht="12.75"/>
    <row r="32752" ht="12.75"/>
    <row r="32753" ht="12.75"/>
    <row r="32754" ht="12.75"/>
    <row r="32755" ht="12.75"/>
    <row r="32756" ht="12.75"/>
    <row r="32757" ht="12.75"/>
    <row r="32758" ht="12.75"/>
    <row r="32759" ht="12.75"/>
    <row r="32760" ht="12.75"/>
    <row r="32761" ht="12.75"/>
    <row r="32762" ht="12.75"/>
    <row r="32763" ht="12.75"/>
    <row r="32764" ht="12.75"/>
    <row r="32765" ht="12.75"/>
    <row r="32766" ht="12.75"/>
    <row r="32767" ht="12.75"/>
    <row r="32768" ht="12.75"/>
    <row r="32769" ht="12.75"/>
    <row r="32770" ht="12.75"/>
    <row r="32771" ht="12.75"/>
    <row r="32772" ht="12.75"/>
    <row r="32773" ht="12.75"/>
    <row r="32774" ht="12.75"/>
    <row r="32775" ht="12.75"/>
    <row r="32776" ht="12.75"/>
    <row r="32777" ht="12.75"/>
    <row r="32778" ht="12.75"/>
    <row r="32779" ht="12.75"/>
    <row r="32780" ht="12.75"/>
    <row r="32781" ht="12.75"/>
    <row r="32782" ht="12.75"/>
    <row r="32783" ht="12.75"/>
    <row r="32784" ht="12.75"/>
    <row r="32785" ht="12.75"/>
    <row r="32786" ht="12.75"/>
    <row r="32787" ht="12.75"/>
    <row r="32788" ht="12.75"/>
    <row r="32789" ht="12.75"/>
    <row r="32790" ht="12.75"/>
    <row r="32791" ht="12.75"/>
    <row r="32792" ht="12.75"/>
    <row r="32793" ht="12.75"/>
    <row r="32794" ht="12.75"/>
    <row r="32795" ht="12.75"/>
    <row r="32796" ht="12.75"/>
    <row r="32797" ht="12.75"/>
    <row r="32798" ht="12.75"/>
    <row r="32799" ht="12.75"/>
    <row r="32800" ht="12.75"/>
    <row r="32801" ht="12.75"/>
    <row r="32802" ht="12.75"/>
    <row r="32803" ht="12.75"/>
    <row r="32804" ht="12.75"/>
    <row r="32805" ht="12.75"/>
    <row r="32806" ht="12.75"/>
    <row r="32807" ht="12.75"/>
    <row r="32808" ht="12.75"/>
    <row r="32809" ht="12.75"/>
    <row r="32810" ht="12.75"/>
    <row r="32811" ht="12.75"/>
    <row r="32812" ht="12.75"/>
    <row r="32813" ht="12.75"/>
    <row r="32814" ht="12.75"/>
    <row r="32815" ht="12.75"/>
    <row r="32816" ht="12.75"/>
    <row r="32817" ht="12.75"/>
    <row r="32818" ht="12.75"/>
    <row r="32819" ht="12.75"/>
    <row r="32820" ht="12.75"/>
    <row r="32821" ht="12.75"/>
    <row r="32822" ht="12.75"/>
    <row r="32823" ht="12.75"/>
    <row r="32824" ht="12.75"/>
    <row r="32825" ht="12.75"/>
    <row r="32826" ht="12.75"/>
    <row r="32827" ht="12.75"/>
    <row r="32828" ht="12.75"/>
    <row r="32829" ht="12.75"/>
    <row r="32830" ht="12.75"/>
    <row r="32831" ht="12.75"/>
    <row r="32832" ht="12.75"/>
    <row r="32833" ht="12.75"/>
    <row r="32834" ht="12.75"/>
    <row r="32835" ht="12.75"/>
    <row r="32836" ht="12.75"/>
    <row r="32837" ht="12.75"/>
    <row r="32838" ht="12.75"/>
    <row r="32839" ht="12.75"/>
    <row r="32840" ht="12.75"/>
    <row r="32841" ht="12.75"/>
    <row r="32842" ht="12.75"/>
    <row r="32843" ht="12.75"/>
    <row r="32844" ht="12.75"/>
    <row r="32845" ht="12.75"/>
    <row r="32846" ht="12.75"/>
    <row r="32847" ht="12.75"/>
    <row r="32848" ht="12.75"/>
    <row r="32849" ht="12.75"/>
    <row r="32850" ht="12.75"/>
    <row r="32851" ht="12.75"/>
    <row r="32852" ht="12.75"/>
    <row r="32853" ht="12.75"/>
    <row r="32854" ht="12.75"/>
    <row r="32855" ht="12.75"/>
    <row r="32856" ht="12.75"/>
    <row r="32857" ht="12.75"/>
    <row r="32858" ht="12.75"/>
    <row r="32859" ht="12.75"/>
    <row r="32860" ht="12.75"/>
    <row r="32861" ht="12.75"/>
    <row r="32862" ht="12.75"/>
    <row r="32863" ht="12.75"/>
    <row r="32864" ht="12.75"/>
    <row r="32865" ht="12.75"/>
    <row r="32866" ht="12.75"/>
    <row r="32867" ht="12.75"/>
    <row r="32868" ht="12.75"/>
    <row r="32869" ht="12.75"/>
    <row r="32870" ht="12.75"/>
    <row r="32871" ht="12.75"/>
    <row r="32872" ht="12.75"/>
    <row r="32873" ht="12.75"/>
    <row r="32874" ht="12.75"/>
    <row r="32875" ht="12.75"/>
    <row r="32876" ht="12.75"/>
    <row r="32877" ht="12.75"/>
    <row r="32878" ht="12.75"/>
    <row r="32879" ht="12.75"/>
    <row r="32880" ht="12.75"/>
    <row r="32881" ht="12.75"/>
    <row r="32882" ht="12.75"/>
    <row r="32883" ht="12.75"/>
    <row r="32884" ht="12.75"/>
    <row r="32885" ht="12.75"/>
    <row r="32886" ht="12.75"/>
    <row r="32887" ht="12.75"/>
    <row r="32888" ht="12.75"/>
    <row r="32889" ht="12.75"/>
    <row r="32890" ht="12.75"/>
    <row r="32891" ht="12.75"/>
    <row r="32892" ht="12.75"/>
    <row r="32893" ht="12.75"/>
    <row r="32894" ht="12.75"/>
    <row r="32895" ht="12.75"/>
    <row r="32896" ht="12.75"/>
    <row r="32897" ht="12.75"/>
    <row r="32898" ht="12.75"/>
    <row r="32899" ht="12.75"/>
    <row r="32900" ht="12.75"/>
    <row r="32901" ht="12.75"/>
    <row r="32902" ht="12.75"/>
    <row r="32903" ht="12.75"/>
    <row r="32904" ht="12.75"/>
    <row r="32905" ht="12.75"/>
    <row r="32906" ht="12.75"/>
    <row r="32907" ht="12.75"/>
    <row r="32908" ht="12.75"/>
    <row r="32909" ht="12.75"/>
    <row r="32910" ht="12.75"/>
    <row r="32911" ht="12.75"/>
    <row r="32912" ht="12.75"/>
    <row r="32913" ht="12.75"/>
    <row r="32914" ht="12.75"/>
    <row r="32915" ht="12.75"/>
    <row r="32916" ht="12.75"/>
    <row r="32917" ht="12.75"/>
    <row r="32918" ht="12.75"/>
    <row r="32919" ht="12.75"/>
    <row r="32920" ht="12.75"/>
    <row r="32921" ht="12.75"/>
    <row r="32922" ht="12.75"/>
    <row r="32923" ht="12.75"/>
    <row r="32924" ht="12.75"/>
    <row r="32925" ht="12.75"/>
    <row r="32926" ht="12.75"/>
    <row r="32927" ht="12.75"/>
    <row r="32928" ht="12.75"/>
    <row r="32929" ht="12.75"/>
    <row r="32930" ht="12.75"/>
    <row r="32931" ht="12.75"/>
    <row r="32932" ht="12.75"/>
    <row r="32933" ht="12.75"/>
    <row r="32934" ht="12.75"/>
    <row r="32935" ht="12.75"/>
    <row r="32936" ht="12.75"/>
    <row r="32937" ht="12.75"/>
    <row r="32938" ht="12.75"/>
    <row r="32939" ht="12.75"/>
    <row r="32940" ht="12.75"/>
    <row r="32941" ht="12.75"/>
    <row r="32942" ht="12.75"/>
    <row r="32943" ht="12.75"/>
    <row r="32944" ht="12.75"/>
    <row r="32945" ht="12.75"/>
    <row r="32946" ht="12.75"/>
    <row r="32947" ht="12.75"/>
    <row r="32948" ht="12.75"/>
    <row r="32949" ht="12.75"/>
    <row r="32950" ht="12.75"/>
    <row r="32951" ht="12.75"/>
    <row r="32952" ht="12.75"/>
    <row r="32953" ht="12.75"/>
    <row r="32954" ht="12.75"/>
    <row r="32955" ht="12.75"/>
    <row r="32956" ht="12.75"/>
    <row r="32957" ht="12.75"/>
    <row r="32958" ht="12.75"/>
    <row r="32959" ht="12.75"/>
    <row r="32960" ht="12.75"/>
    <row r="32961" ht="12.75"/>
    <row r="32962" ht="12.75"/>
    <row r="32963" ht="12.75"/>
    <row r="32964" ht="12.75"/>
    <row r="32965" ht="12.75"/>
    <row r="32966" ht="12.75"/>
    <row r="32967" ht="12.75"/>
    <row r="32968" ht="12.75"/>
    <row r="32969" ht="12.75"/>
    <row r="32970" ht="12.75"/>
    <row r="32971" ht="12.75"/>
    <row r="32972" ht="12.75"/>
    <row r="32973" ht="12.75"/>
    <row r="32974" ht="12.75"/>
    <row r="32975" ht="12.75"/>
    <row r="32976" ht="12.75"/>
    <row r="32977" ht="12.75"/>
    <row r="32978" ht="12.75"/>
    <row r="32979" ht="12.75"/>
    <row r="32980" ht="12.75"/>
    <row r="32981" ht="12.75"/>
    <row r="32982" ht="12.75"/>
    <row r="32983" ht="12.75"/>
    <row r="32984" ht="12.75"/>
    <row r="32985" ht="12.75"/>
    <row r="32986" ht="12.75"/>
    <row r="32987" ht="12.75"/>
    <row r="32988" ht="12.75"/>
    <row r="32989" ht="12.75"/>
    <row r="32990" ht="12.75"/>
    <row r="32991" ht="12.75"/>
    <row r="32992" ht="12.75"/>
    <row r="32993" ht="12.75"/>
    <row r="32994" ht="12.75"/>
    <row r="32995" ht="12.75"/>
    <row r="32996" ht="12.75"/>
    <row r="32997" ht="12.75"/>
    <row r="32998" ht="12.75"/>
    <row r="32999" ht="12.75"/>
    <row r="33000" ht="12.75"/>
    <row r="33001" ht="12.75"/>
    <row r="33002" ht="12.75"/>
    <row r="33003" ht="12.75"/>
    <row r="33004" ht="12.75"/>
    <row r="33005" ht="12.75"/>
    <row r="33006" ht="12.75"/>
    <row r="33007" ht="12.75"/>
    <row r="33008" ht="12.75"/>
    <row r="33009" ht="12.75"/>
    <row r="33010" ht="12.75"/>
    <row r="33011" ht="12.75"/>
    <row r="33012" ht="12.75"/>
    <row r="33013" ht="12.75"/>
    <row r="33014" ht="12.75"/>
    <row r="33015" ht="12.75"/>
    <row r="33016" ht="12.75"/>
    <row r="33017" ht="12.75"/>
    <row r="33018" ht="12.75"/>
    <row r="33019" ht="12.75"/>
    <row r="33020" ht="12.75"/>
    <row r="33021" ht="12.75"/>
    <row r="33022" ht="12.75"/>
    <row r="33023" ht="12.75"/>
    <row r="33024" ht="12.75"/>
    <row r="33025" ht="12.75"/>
    <row r="33026" ht="12.75"/>
    <row r="33027" ht="12.75"/>
    <row r="33028" ht="12.75"/>
    <row r="33029" ht="12.75"/>
    <row r="33030" ht="12.75"/>
    <row r="33031" ht="12.75"/>
    <row r="33032" ht="12.75"/>
    <row r="33033" ht="12.75"/>
    <row r="33034" ht="12.75"/>
    <row r="33035" ht="12.75"/>
    <row r="33036" ht="12.75"/>
    <row r="33037" ht="12.75"/>
    <row r="33038" ht="12.75"/>
    <row r="33039" ht="12.75"/>
    <row r="33040" ht="12.75"/>
    <row r="33041" ht="12.75"/>
    <row r="33042" ht="12.75"/>
    <row r="33043" ht="12.75"/>
    <row r="33044" ht="12.75"/>
    <row r="33045" ht="12.75"/>
    <row r="33046" ht="12.75"/>
    <row r="33047" ht="12.75"/>
    <row r="33048" ht="12.75"/>
    <row r="33049" ht="12.75"/>
    <row r="33050" ht="12.75"/>
    <row r="33051" ht="12.75"/>
    <row r="33052" ht="12.75"/>
    <row r="33053" ht="12.75"/>
    <row r="33054" ht="12.75"/>
    <row r="33055" ht="12.75"/>
    <row r="33056" ht="12.75"/>
    <row r="33057" ht="12.75"/>
    <row r="33058" ht="12.75"/>
    <row r="33059" ht="12.75"/>
    <row r="33060" ht="12.75"/>
    <row r="33061" ht="12.75"/>
    <row r="33062" ht="12.75"/>
    <row r="33063" ht="12.75"/>
    <row r="33064" ht="12.75"/>
    <row r="33065" ht="12.75"/>
    <row r="33066" ht="12.75"/>
    <row r="33067" ht="12.75"/>
    <row r="33068" ht="12.75"/>
    <row r="33069" ht="12.75"/>
    <row r="33070" ht="12.75"/>
    <row r="33071" ht="12.75"/>
    <row r="33072" ht="12.75"/>
    <row r="33073" ht="12.75"/>
    <row r="33074" ht="12.75"/>
    <row r="33075" ht="12.75"/>
    <row r="33076" ht="12.75"/>
    <row r="33077" ht="12.75"/>
    <row r="33078" ht="12.75"/>
    <row r="33079" ht="12.75"/>
    <row r="33080" ht="12.75"/>
    <row r="33081" ht="12.75"/>
    <row r="33082" ht="12.75"/>
    <row r="33083" ht="12.75"/>
    <row r="33084" ht="12.75"/>
    <row r="33085" ht="12.75"/>
    <row r="33086" ht="12.75"/>
    <row r="33087" ht="12.75"/>
    <row r="33088" ht="12.75"/>
    <row r="33089" ht="12.75"/>
    <row r="33090" ht="12.75"/>
    <row r="33091" ht="12.75"/>
    <row r="33092" ht="12.75"/>
    <row r="33093" ht="12.75"/>
    <row r="33094" ht="12.75"/>
    <row r="33095" ht="12.75"/>
    <row r="33096" ht="12.75"/>
    <row r="33097" ht="12.75"/>
    <row r="33098" ht="12.75"/>
    <row r="33099" ht="12.75"/>
    <row r="33100" ht="12.75"/>
    <row r="33101" ht="12.75"/>
    <row r="33102" ht="12.75"/>
    <row r="33103" ht="12.75"/>
    <row r="33104" ht="12.75"/>
    <row r="33105" ht="12.75"/>
    <row r="33106" ht="12.75"/>
    <row r="33107" ht="12.75"/>
    <row r="33108" ht="12.75"/>
    <row r="33109" ht="12.75"/>
    <row r="33110" ht="12.75"/>
    <row r="33111" ht="12.75"/>
    <row r="33112" ht="12.75"/>
    <row r="33113" ht="12.75"/>
    <row r="33114" ht="12.75"/>
    <row r="33115" ht="12.75"/>
    <row r="33116" ht="12.75"/>
    <row r="33117" ht="12.75"/>
    <row r="33118" ht="12.75"/>
    <row r="33119" ht="12.75"/>
    <row r="33120" ht="12.75"/>
    <row r="33121" ht="12.75"/>
    <row r="33122" ht="12.75"/>
    <row r="33123" ht="12.75"/>
    <row r="33124" ht="12.75"/>
    <row r="33125" ht="12.75"/>
    <row r="33126" ht="12.75"/>
    <row r="33127" ht="12.75"/>
    <row r="33128" ht="12.75"/>
    <row r="33129" ht="12.75"/>
    <row r="33130" ht="12.75"/>
    <row r="33131" ht="12.75"/>
    <row r="33132" ht="12.75"/>
    <row r="33133" ht="12.75"/>
    <row r="33134" ht="12.75"/>
    <row r="33135" ht="12.75"/>
    <row r="33136" ht="12.75"/>
    <row r="33137" ht="12.75"/>
    <row r="33138" ht="12.75"/>
    <row r="33139" ht="12.75"/>
    <row r="33140" ht="12.75"/>
    <row r="33141" ht="12.75"/>
    <row r="33142" ht="12.75"/>
    <row r="33143" ht="12.75"/>
    <row r="33144" ht="12.75"/>
    <row r="33145" ht="12.75"/>
    <row r="33146" ht="12.75"/>
    <row r="33147" ht="12.75"/>
    <row r="33148" ht="12.75"/>
    <row r="33149" ht="12.75"/>
    <row r="33150" ht="12.75"/>
    <row r="33151" ht="12.75"/>
    <row r="33152" ht="12.75"/>
    <row r="33153" ht="12.75"/>
    <row r="33154" ht="12.75"/>
    <row r="33155" ht="12.75"/>
    <row r="33156" ht="12.75"/>
    <row r="33157" ht="12.75"/>
    <row r="33158" ht="12.75"/>
    <row r="33159" ht="12.75"/>
    <row r="33160" ht="12.75"/>
    <row r="33161" ht="12.75"/>
    <row r="33162" ht="12.75"/>
    <row r="33163" ht="12.75"/>
    <row r="33164" ht="12.75"/>
    <row r="33165" ht="12.75"/>
    <row r="33166" ht="12.75"/>
    <row r="33167" ht="12.75"/>
    <row r="33168" ht="12.75"/>
    <row r="33169" ht="12.75"/>
    <row r="33170" ht="12.75"/>
    <row r="33171" ht="12.75"/>
    <row r="33172" ht="12.75"/>
    <row r="33173" ht="12.75"/>
    <row r="33174" ht="12.75"/>
    <row r="33175" ht="12.75"/>
    <row r="33176" ht="12.75"/>
    <row r="33177" ht="12.75"/>
    <row r="33178" ht="12.75"/>
    <row r="33179" ht="12.75"/>
    <row r="33180" ht="12.75"/>
    <row r="33181" ht="12.75"/>
    <row r="33182" ht="12.75"/>
    <row r="33183" ht="12.75"/>
    <row r="33184" ht="12.75"/>
    <row r="33185" ht="12.75"/>
    <row r="33186" ht="12.75"/>
    <row r="33187" ht="12.75"/>
    <row r="33188" ht="12.75"/>
    <row r="33189" ht="12.75"/>
    <row r="33190" ht="12.75"/>
    <row r="33191" ht="12.75"/>
    <row r="33192" ht="12.75"/>
    <row r="33193" ht="12.75"/>
    <row r="33194" ht="12.75"/>
    <row r="33195" ht="12.75"/>
    <row r="33196" ht="12.75"/>
    <row r="33197" ht="12.75"/>
    <row r="33198" ht="12.75"/>
    <row r="33199" ht="12.75"/>
    <row r="33200" ht="12.75"/>
    <row r="33201" ht="12.75"/>
    <row r="33202" ht="12.75"/>
    <row r="33203" ht="12.75"/>
    <row r="33204" ht="12.75"/>
    <row r="33205" ht="12.75"/>
    <row r="33206" ht="12.75"/>
    <row r="33207" ht="12.75"/>
    <row r="33208" ht="12.75"/>
    <row r="33209" ht="12.75"/>
    <row r="33210" ht="12.75"/>
    <row r="33211" ht="12.75"/>
    <row r="33212" ht="12.75"/>
    <row r="33213" ht="12.75"/>
    <row r="33214" ht="12.75"/>
    <row r="33215" ht="12.75"/>
    <row r="33216" ht="12.75"/>
    <row r="33217" ht="12.75"/>
    <row r="33218" ht="12.75"/>
    <row r="33219" ht="12.75"/>
    <row r="33220" ht="12.75"/>
    <row r="33221" ht="12.75"/>
    <row r="33222" ht="12.75"/>
    <row r="33223" ht="12.75"/>
    <row r="33224" ht="12.75"/>
    <row r="33225" ht="12.75"/>
    <row r="33226" ht="12.75"/>
    <row r="33227" ht="12.75"/>
    <row r="33228" ht="12.75"/>
    <row r="33229" ht="12.75"/>
    <row r="33230" ht="12.75"/>
    <row r="33231" ht="12.75"/>
    <row r="33232" ht="12.75"/>
    <row r="33233" ht="12.75"/>
    <row r="33234" ht="12.75"/>
    <row r="33235" ht="12.75"/>
    <row r="33236" ht="12.75"/>
    <row r="33237" ht="12.75"/>
    <row r="33238" ht="12.75"/>
    <row r="33239" ht="12.75"/>
    <row r="33240" ht="12.75"/>
    <row r="33241" ht="12.75"/>
    <row r="33242" ht="12.75"/>
    <row r="33243" ht="12.75"/>
    <row r="33244" ht="12.75"/>
    <row r="33245" ht="12.75"/>
    <row r="33246" ht="12.75"/>
    <row r="33247" ht="12.75"/>
    <row r="33248" ht="12.75"/>
    <row r="33249" ht="12.75"/>
    <row r="33250" ht="12.75"/>
    <row r="33251" ht="12.75"/>
    <row r="33252" ht="12.75"/>
    <row r="33253" ht="12.75"/>
    <row r="33254" ht="12.75"/>
    <row r="33255" ht="12.75"/>
    <row r="33256" ht="12.75"/>
    <row r="33257" ht="12.75"/>
    <row r="33258" ht="12.75"/>
    <row r="33259" ht="12.75"/>
    <row r="33260" ht="12.75"/>
    <row r="33261" ht="12.75"/>
    <row r="33262" ht="12.75"/>
    <row r="33263" ht="12.75"/>
    <row r="33264" ht="12.75"/>
    <row r="33265" ht="12.75"/>
    <row r="33266" ht="12.75"/>
    <row r="33267" ht="12.75"/>
    <row r="33268" ht="12.75"/>
    <row r="33269" ht="12.75"/>
    <row r="33270" ht="12.75"/>
    <row r="33271" ht="12.75"/>
    <row r="33272" ht="12.75"/>
    <row r="33273" ht="12.75"/>
    <row r="33274" ht="12.75"/>
    <row r="33275" ht="12.75"/>
    <row r="33276" ht="12.75"/>
    <row r="33277" ht="12.75"/>
    <row r="33278" ht="12.75"/>
    <row r="33279" ht="12.75"/>
    <row r="33280" ht="12.75"/>
    <row r="33281" ht="12.75"/>
    <row r="33282" ht="12.75"/>
    <row r="33283" ht="12.75"/>
    <row r="33284" ht="12.75"/>
    <row r="33285" ht="12.75"/>
    <row r="33286" ht="12.75"/>
    <row r="33287" ht="12.75"/>
    <row r="33288" ht="12.75"/>
    <row r="33289" ht="12.75"/>
    <row r="33290" ht="12.75"/>
    <row r="33291" ht="12.75"/>
    <row r="33292" ht="12.75"/>
    <row r="33293" ht="12.75"/>
    <row r="33294" ht="12.75"/>
    <row r="33295" ht="12.75"/>
    <row r="33296" ht="12.75"/>
    <row r="33297" ht="12.75"/>
    <row r="33298" ht="12.75"/>
    <row r="33299" ht="12.75"/>
    <row r="33300" ht="12.75"/>
    <row r="33301" ht="12.75"/>
    <row r="33302" ht="12.75"/>
    <row r="33303" ht="12.75"/>
    <row r="33304" ht="12.75"/>
    <row r="33305" ht="12.75"/>
    <row r="33306" ht="12.75"/>
    <row r="33307" ht="12.75"/>
    <row r="33308" ht="12.75"/>
    <row r="33309" ht="12.75"/>
    <row r="33310" ht="12.75"/>
    <row r="33311" ht="12.75"/>
    <row r="33312" ht="12.75"/>
    <row r="33313" ht="12.75"/>
    <row r="33314" ht="12.75"/>
    <row r="33315" ht="12.75"/>
    <row r="33316" ht="12.75"/>
    <row r="33317" ht="12.75"/>
    <row r="33318" ht="12.75"/>
    <row r="33319" ht="12.75"/>
    <row r="33320" ht="12.75"/>
    <row r="33321" ht="12.75"/>
    <row r="33322" ht="12.75"/>
    <row r="33323" ht="12.75"/>
    <row r="33324" ht="12.75"/>
    <row r="33325" ht="12.75"/>
    <row r="33326" ht="12.75"/>
    <row r="33327" ht="12.75"/>
    <row r="33328" ht="12.75"/>
    <row r="33329" ht="12.75"/>
    <row r="33330" ht="12.75"/>
    <row r="33331" ht="12.75"/>
    <row r="33332" ht="12.75"/>
    <row r="33333" ht="12.75"/>
    <row r="33334" ht="12.75"/>
    <row r="33335" ht="12.75"/>
    <row r="33336" ht="12.75"/>
    <row r="33337" ht="12.75"/>
    <row r="33338" ht="12.75"/>
    <row r="33339" ht="12.75"/>
    <row r="33340" ht="12.75"/>
    <row r="33341" ht="12.75"/>
    <row r="33342" ht="12.75"/>
    <row r="33343" ht="12.75"/>
    <row r="33344" ht="12.75"/>
    <row r="33345" ht="12.75"/>
    <row r="33346" ht="12.75"/>
    <row r="33347" ht="12.75"/>
    <row r="33348" ht="12.75"/>
    <row r="33349" ht="12.75"/>
    <row r="33350" ht="12.75"/>
    <row r="33351" ht="12.75"/>
    <row r="33352" ht="12.75"/>
    <row r="33353" ht="12.75"/>
    <row r="33354" ht="12.75"/>
    <row r="33355" ht="12.75"/>
    <row r="33356" ht="12.75"/>
    <row r="33357" ht="12.75"/>
    <row r="33358" ht="12.75"/>
    <row r="33359" ht="12.75"/>
    <row r="33360" ht="12.75"/>
    <row r="33361" ht="12.75"/>
    <row r="33362" ht="12.75"/>
    <row r="33363" ht="12.75"/>
    <row r="33364" ht="12.75"/>
    <row r="33365" ht="12.75"/>
    <row r="33366" ht="12.75"/>
    <row r="33367" ht="12.75"/>
    <row r="33368" ht="12.75"/>
    <row r="33369" ht="12.75"/>
    <row r="33370" ht="12.75"/>
    <row r="33371" ht="12.75"/>
    <row r="33372" ht="12.75"/>
    <row r="33373" ht="12.75"/>
    <row r="33374" ht="12.75"/>
    <row r="33375" ht="12.75"/>
    <row r="33376" ht="12.75"/>
    <row r="33377" ht="12.75"/>
    <row r="33378" ht="12.75"/>
    <row r="33379" ht="12.75"/>
    <row r="33380" ht="12.75"/>
    <row r="33381" ht="12.75"/>
    <row r="33382" ht="12.75"/>
    <row r="33383" ht="12.75"/>
    <row r="33384" ht="12.75"/>
    <row r="33385" ht="12.75"/>
    <row r="33386" ht="12.75"/>
    <row r="33387" ht="12.75"/>
    <row r="33388" ht="12.75"/>
    <row r="33389" ht="12.75"/>
    <row r="33390" ht="12.75"/>
    <row r="33391" ht="12.75"/>
    <row r="33392" ht="12.75"/>
    <row r="33393" ht="12.75"/>
    <row r="33394" ht="12.75"/>
    <row r="33395" ht="12.75"/>
    <row r="33396" ht="12.75"/>
    <row r="33397" ht="12.75"/>
    <row r="33398" ht="12.75"/>
    <row r="33399" ht="12.75"/>
    <row r="33400" ht="12.75"/>
    <row r="33401" ht="12.75"/>
    <row r="33402" ht="12.75"/>
    <row r="33403" ht="12.75"/>
    <row r="33404" ht="12.75"/>
    <row r="33405" ht="12.75"/>
    <row r="33406" ht="12.75"/>
    <row r="33407" ht="12.75"/>
    <row r="33408" ht="12.75"/>
    <row r="33409" ht="12.75"/>
    <row r="33410" ht="12.75"/>
    <row r="33411" ht="12.75"/>
    <row r="33412" ht="12.75"/>
    <row r="33413" ht="12.75"/>
    <row r="33414" ht="12.75"/>
    <row r="33415" ht="12.75"/>
    <row r="33416" ht="12.75"/>
    <row r="33417" ht="12.75"/>
    <row r="33418" ht="12.75"/>
    <row r="33419" ht="12.75"/>
    <row r="33420" ht="12.75"/>
    <row r="33421" ht="12.75"/>
    <row r="33422" ht="12.75"/>
    <row r="33423" ht="12.75"/>
    <row r="33424" ht="12.75"/>
    <row r="33425" ht="12.75"/>
    <row r="33426" ht="12.75"/>
    <row r="33427" ht="12.75"/>
    <row r="33428" ht="12.75"/>
    <row r="33429" ht="12.75"/>
    <row r="33430" ht="12.75"/>
    <row r="33431" ht="12.75"/>
    <row r="33432" ht="12.75"/>
    <row r="33433" ht="12.75"/>
    <row r="33434" ht="12.75"/>
    <row r="33435" ht="12.75"/>
    <row r="33436" ht="12.75"/>
    <row r="33437" ht="12.75"/>
    <row r="33438" ht="12.75"/>
    <row r="33439" ht="12.75"/>
    <row r="33440" ht="12.75"/>
    <row r="33441" ht="12.75"/>
    <row r="33442" ht="12.75"/>
    <row r="33443" ht="12.75"/>
    <row r="33444" ht="12.75"/>
    <row r="33445" ht="12.75"/>
    <row r="33446" ht="12.75"/>
    <row r="33447" ht="12.75"/>
    <row r="33448" ht="12.75"/>
    <row r="33449" ht="12.75"/>
    <row r="33450" ht="12.75"/>
    <row r="33451" ht="12.75"/>
    <row r="33452" ht="12.75"/>
    <row r="33453" ht="12.75"/>
    <row r="33454" ht="12.75"/>
    <row r="33455" ht="12.75"/>
    <row r="33456" ht="12.75"/>
    <row r="33457" ht="12.75"/>
    <row r="33458" ht="12.75"/>
    <row r="33459" ht="12.75"/>
    <row r="33460" ht="12.75"/>
    <row r="33461" ht="12.75"/>
    <row r="33462" ht="12.75"/>
    <row r="33463" ht="12.75"/>
    <row r="33464" ht="12.75"/>
    <row r="33465" ht="12.75"/>
    <row r="33466" ht="12.75"/>
    <row r="33467" ht="12.75"/>
    <row r="33468" ht="12.75"/>
    <row r="33469" ht="12.75"/>
    <row r="33470" ht="12.75"/>
    <row r="33471" ht="12.75"/>
    <row r="33472" ht="12.75"/>
    <row r="33473" ht="12.75"/>
    <row r="33474" ht="12.75"/>
    <row r="33475" ht="12.75"/>
    <row r="33476" ht="12.75"/>
    <row r="33477" ht="12.75"/>
    <row r="33478" ht="12.75"/>
    <row r="33479" ht="12.75"/>
    <row r="33480" ht="12.75"/>
    <row r="33481" ht="12.75"/>
    <row r="33482" ht="12.75"/>
    <row r="33483" ht="12.75"/>
    <row r="33484" ht="12.75"/>
    <row r="33485" ht="12.75"/>
    <row r="33486" ht="12.75"/>
    <row r="33487" ht="12.75"/>
    <row r="33488" ht="12.75"/>
    <row r="33489" ht="12.75"/>
    <row r="33490" ht="12.75"/>
    <row r="33491" ht="12.75"/>
    <row r="33492" ht="12.75"/>
    <row r="33493" ht="12.75"/>
    <row r="33494" ht="12.75"/>
    <row r="33495" ht="12.75"/>
    <row r="33496" ht="12.75"/>
    <row r="33497" ht="12.75"/>
    <row r="33498" ht="12.75"/>
    <row r="33499" ht="12.75"/>
    <row r="33500" ht="12.75"/>
    <row r="33501" ht="12.75"/>
    <row r="33502" ht="12.75"/>
    <row r="33503" ht="12.75"/>
    <row r="33504" ht="12.75"/>
    <row r="33505" ht="12.75"/>
    <row r="33506" ht="12.75"/>
    <row r="33507" ht="12.75"/>
    <row r="33508" ht="12.75"/>
    <row r="33509" ht="12.75"/>
    <row r="33510" ht="12.75"/>
    <row r="33511" ht="12.75"/>
    <row r="33512" ht="12.75"/>
    <row r="33513" ht="12.75"/>
    <row r="33514" ht="12.75"/>
    <row r="33515" ht="12.75"/>
    <row r="33516" ht="12.75"/>
    <row r="33517" ht="12.75"/>
    <row r="33518" ht="12.75"/>
    <row r="33519" ht="12.75"/>
    <row r="33520" ht="12.75"/>
    <row r="33521" ht="12.75"/>
    <row r="33522" ht="12.75"/>
    <row r="33523" ht="12.75"/>
    <row r="33524" ht="12.75"/>
    <row r="33525" ht="12.75"/>
    <row r="33526" ht="12.75"/>
    <row r="33527" ht="12.75"/>
    <row r="33528" ht="12.75"/>
    <row r="33529" ht="12.75"/>
    <row r="33530" ht="12.75"/>
    <row r="33531" ht="12.75"/>
    <row r="33532" ht="12.75"/>
    <row r="33533" ht="12.75"/>
    <row r="33534" ht="12.75"/>
    <row r="33535" ht="12.75"/>
    <row r="33536" ht="12.75"/>
    <row r="33537" ht="12.75"/>
    <row r="33538" ht="12.75"/>
    <row r="33539" ht="12.75"/>
    <row r="33540" ht="12.75"/>
    <row r="33541" ht="12.75"/>
    <row r="33542" ht="12.75"/>
    <row r="33543" ht="12.75"/>
    <row r="33544" ht="12.75"/>
    <row r="33545" ht="12.75"/>
    <row r="33546" ht="12.75"/>
    <row r="33547" ht="12.75"/>
    <row r="33548" ht="12.75"/>
    <row r="33549" ht="12.75"/>
    <row r="33550" ht="12.75"/>
    <row r="33551" ht="12.75"/>
    <row r="33552" ht="12.75"/>
    <row r="33553" ht="12.75"/>
    <row r="33554" ht="12.75"/>
    <row r="33555" ht="12.75"/>
    <row r="33556" ht="12.75"/>
    <row r="33557" ht="12.75"/>
    <row r="33558" ht="12.75"/>
    <row r="33559" ht="12.75"/>
    <row r="33560" ht="12.75"/>
    <row r="33561" ht="12.75"/>
    <row r="33562" ht="12.75"/>
    <row r="33563" ht="12.75"/>
    <row r="33564" ht="12.75"/>
    <row r="33565" ht="12.75"/>
    <row r="33566" ht="12.75"/>
    <row r="33567" ht="12.75"/>
    <row r="33568" ht="12.75"/>
    <row r="33569" ht="12.75"/>
    <row r="33570" ht="12.75"/>
    <row r="33571" ht="12.75"/>
    <row r="33572" ht="12.75"/>
    <row r="33573" ht="12.75"/>
    <row r="33574" ht="12.75"/>
    <row r="33575" ht="12.75"/>
    <row r="33576" ht="12.75"/>
    <row r="33577" ht="12.75"/>
    <row r="33578" ht="12.75"/>
    <row r="33579" ht="12.75"/>
    <row r="33580" ht="12.75"/>
    <row r="33581" ht="12.75"/>
    <row r="33582" ht="12.75"/>
    <row r="33583" ht="12.75"/>
    <row r="33584" ht="12.75"/>
    <row r="33585" ht="12.75"/>
    <row r="33586" ht="12.75"/>
    <row r="33587" ht="12.75"/>
    <row r="33588" ht="12.75"/>
    <row r="33589" ht="12.75"/>
    <row r="33590" ht="12.75"/>
    <row r="33591" ht="12.75"/>
    <row r="33592" ht="12.75"/>
    <row r="33593" ht="12.75"/>
    <row r="33594" ht="12.75"/>
    <row r="33595" ht="12.75"/>
    <row r="33596" ht="12.75"/>
    <row r="33597" ht="12.75"/>
    <row r="33598" ht="12.75"/>
    <row r="33599" ht="12.75"/>
    <row r="33600" ht="12.75"/>
    <row r="33601" ht="12.75"/>
    <row r="33602" ht="12.75"/>
    <row r="33603" ht="12.75"/>
    <row r="33604" ht="12.75"/>
    <row r="33605" ht="12.75"/>
    <row r="33606" ht="12.75"/>
    <row r="33607" ht="12.75"/>
    <row r="33608" ht="12.75"/>
    <row r="33609" ht="12.75"/>
    <row r="33610" ht="12.75"/>
    <row r="33611" ht="12.75"/>
    <row r="33612" ht="12.75"/>
    <row r="33613" ht="12.75"/>
    <row r="33614" ht="12.75"/>
    <row r="33615" ht="12.75"/>
    <row r="33616" ht="12.75"/>
    <row r="33617" ht="12.75"/>
    <row r="33618" ht="12.75"/>
    <row r="33619" ht="12.75"/>
    <row r="33620" ht="12.75"/>
    <row r="33621" ht="12.75"/>
    <row r="33622" ht="12.75"/>
    <row r="33623" ht="12.75"/>
    <row r="33624" ht="12.75"/>
    <row r="33625" ht="12.75"/>
    <row r="33626" ht="12.75"/>
    <row r="33627" ht="12.75"/>
    <row r="33628" ht="12.75"/>
    <row r="33629" ht="12.75"/>
    <row r="33630" ht="12.75"/>
    <row r="33631" ht="12.75"/>
    <row r="33632" ht="12.75"/>
    <row r="33633" ht="12.75"/>
    <row r="33634" ht="12.75"/>
    <row r="33635" ht="12.75"/>
    <row r="33636" ht="12.75"/>
    <row r="33637" ht="12.75"/>
    <row r="33638" ht="12.75"/>
    <row r="33639" ht="12.75"/>
    <row r="33640" ht="12.75"/>
    <row r="33641" ht="12.75"/>
    <row r="33642" ht="12.75"/>
    <row r="33643" ht="12.75"/>
    <row r="33644" ht="12.75"/>
    <row r="33645" ht="12.75"/>
    <row r="33646" ht="12.75"/>
    <row r="33647" ht="12.75"/>
    <row r="33648" ht="12.75"/>
    <row r="33649" ht="12.75"/>
    <row r="33650" ht="12.75"/>
    <row r="33651" ht="12.75"/>
    <row r="33652" ht="12.75"/>
    <row r="33653" ht="12.75"/>
    <row r="33654" ht="12.75"/>
    <row r="33655" ht="12.75"/>
    <row r="33656" ht="12.75"/>
    <row r="33657" ht="12.75"/>
    <row r="33658" ht="12.75"/>
    <row r="33659" ht="12.75"/>
    <row r="33660" ht="12.75"/>
    <row r="33661" ht="12.75"/>
    <row r="33662" ht="12.75"/>
    <row r="33663" ht="12.75"/>
    <row r="33664" ht="12.75"/>
    <row r="33665" ht="12.75"/>
    <row r="33666" ht="12.75"/>
    <row r="33667" ht="12.75"/>
    <row r="33668" ht="12.75"/>
    <row r="33669" ht="12.75"/>
    <row r="33670" ht="12.75"/>
    <row r="33671" ht="12.75"/>
    <row r="33672" ht="12.75"/>
    <row r="33673" ht="12.75"/>
    <row r="33674" ht="12.75"/>
    <row r="33675" ht="12.75"/>
    <row r="33676" ht="12.75"/>
    <row r="33677" ht="12.75"/>
    <row r="33678" ht="12.75"/>
    <row r="33679" ht="12.75"/>
    <row r="33680" ht="12.75"/>
    <row r="33681" ht="12.75"/>
    <row r="33682" ht="12.75"/>
    <row r="33683" ht="12.75"/>
    <row r="33684" ht="12.75"/>
    <row r="33685" ht="12.75"/>
    <row r="33686" ht="12.75"/>
    <row r="33687" ht="12.75"/>
    <row r="33688" ht="12.75"/>
    <row r="33689" ht="12.75"/>
    <row r="33690" ht="12.75"/>
    <row r="33691" ht="12.75"/>
    <row r="33692" ht="12.75"/>
    <row r="33693" ht="12.75"/>
    <row r="33694" ht="12.75"/>
    <row r="33695" ht="12.75"/>
    <row r="33696" ht="12.75"/>
    <row r="33697" ht="12.75"/>
    <row r="33698" ht="12.75"/>
    <row r="33699" ht="12.75"/>
    <row r="33700" ht="12.75"/>
    <row r="33701" ht="12.75"/>
    <row r="33702" ht="12.75"/>
    <row r="33703" ht="12.75"/>
    <row r="33704" ht="12.75"/>
    <row r="33705" ht="12.75"/>
    <row r="33706" ht="12.75"/>
    <row r="33707" ht="12.75"/>
    <row r="33708" ht="12.75"/>
    <row r="33709" ht="12.75"/>
    <row r="33710" ht="12.75"/>
    <row r="33711" ht="12.75"/>
    <row r="33712" ht="12.75"/>
    <row r="33713" ht="12.75"/>
    <row r="33714" ht="12.75"/>
    <row r="33715" ht="12.75"/>
    <row r="33716" ht="12.75"/>
    <row r="33717" ht="12.75"/>
    <row r="33718" ht="12.75"/>
    <row r="33719" ht="12.75"/>
    <row r="33720" ht="12.75"/>
    <row r="33721" ht="12.75"/>
    <row r="33722" ht="12.75"/>
    <row r="33723" ht="12.75"/>
    <row r="33724" ht="12.75"/>
    <row r="33725" ht="12.75"/>
    <row r="33726" ht="12.75"/>
    <row r="33727" ht="12.75"/>
    <row r="33728" ht="12.75"/>
    <row r="33729" ht="12.75"/>
    <row r="33730" ht="12.75"/>
    <row r="33731" ht="12.75"/>
    <row r="33732" ht="12.75"/>
    <row r="33733" ht="12.75"/>
    <row r="33734" ht="12.75"/>
    <row r="33735" ht="12.75"/>
    <row r="33736" ht="12.75"/>
    <row r="33737" ht="12.75"/>
    <row r="33738" ht="12.75"/>
    <row r="33739" ht="12.75"/>
    <row r="33740" ht="12.75"/>
    <row r="33741" ht="12.75"/>
    <row r="33742" ht="12.75"/>
    <row r="33743" ht="12.75"/>
    <row r="33744" ht="12.75"/>
    <row r="33745" ht="12.75"/>
    <row r="33746" ht="12.75"/>
    <row r="33747" ht="12.75"/>
    <row r="33748" ht="12.75"/>
    <row r="33749" ht="12.75"/>
    <row r="33750" ht="12.75"/>
    <row r="33751" ht="12.75"/>
    <row r="33752" ht="12.75"/>
    <row r="33753" ht="12.75"/>
    <row r="33754" ht="12.75"/>
    <row r="33755" ht="12.75"/>
    <row r="33756" ht="12.75"/>
    <row r="33757" ht="12.75"/>
    <row r="33758" ht="12.75"/>
    <row r="33759" ht="12.75"/>
    <row r="33760" ht="12.75"/>
    <row r="33761" ht="12.75"/>
    <row r="33762" ht="12.75"/>
    <row r="33763" ht="12.75"/>
    <row r="33764" ht="12.75"/>
    <row r="33765" ht="12.75"/>
    <row r="33766" ht="12.75"/>
    <row r="33767" ht="12.75"/>
    <row r="33768" ht="12.75"/>
    <row r="33769" ht="12.75"/>
    <row r="33770" ht="12.75"/>
    <row r="33771" ht="12.75"/>
    <row r="33772" ht="12.75"/>
    <row r="33773" ht="12.75"/>
    <row r="33774" ht="12.75"/>
    <row r="33775" ht="12.75"/>
    <row r="33776" ht="12.75"/>
    <row r="33777" ht="12.75"/>
    <row r="33778" ht="12.75"/>
    <row r="33779" ht="12.75"/>
    <row r="33780" ht="12.75"/>
    <row r="33781" ht="12.75"/>
    <row r="33782" ht="12.75"/>
    <row r="33783" ht="12.75"/>
    <row r="33784" ht="12.75"/>
    <row r="33785" ht="12.75"/>
    <row r="33786" ht="12.75"/>
    <row r="33787" ht="12.75"/>
    <row r="33788" ht="12.75"/>
    <row r="33789" ht="12.75"/>
    <row r="33790" ht="12.75"/>
    <row r="33791" ht="12.75"/>
    <row r="33792" ht="12.75"/>
    <row r="33793" ht="12.75"/>
    <row r="33794" ht="12.75"/>
    <row r="33795" ht="12.75"/>
    <row r="33796" ht="12.75"/>
    <row r="33797" ht="12.75"/>
    <row r="33798" ht="12.75"/>
    <row r="33799" ht="12.75"/>
    <row r="33800" ht="12.75"/>
    <row r="33801" ht="12.75"/>
    <row r="33802" ht="12.75"/>
    <row r="33803" ht="12.75"/>
    <row r="33804" ht="12.75"/>
    <row r="33805" ht="12.75"/>
    <row r="33806" ht="12.75"/>
    <row r="33807" ht="12.75"/>
    <row r="33808" ht="12.75"/>
    <row r="33809" ht="12.75"/>
    <row r="33810" ht="12.75"/>
    <row r="33811" ht="12.75"/>
    <row r="33812" ht="12.75"/>
    <row r="33813" ht="12.75"/>
    <row r="33814" ht="12.75"/>
    <row r="33815" ht="12.75"/>
    <row r="33816" ht="12.75"/>
    <row r="33817" ht="12.75"/>
    <row r="33818" ht="12.75"/>
    <row r="33819" ht="12.75"/>
    <row r="33820" ht="12.75"/>
    <row r="33821" ht="12.75"/>
    <row r="33822" ht="12.75"/>
    <row r="33823" ht="12.75"/>
    <row r="33824" ht="12.75"/>
    <row r="33825" ht="12.75"/>
    <row r="33826" ht="12.75"/>
    <row r="33827" ht="12.75"/>
    <row r="33828" ht="12.75"/>
    <row r="33829" ht="12.75"/>
    <row r="33830" ht="12.75"/>
    <row r="33831" ht="12.75"/>
    <row r="33832" ht="12.75"/>
    <row r="33833" ht="12.75"/>
    <row r="33834" ht="12.75"/>
    <row r="33835" ht="12.75"/>
    <row r="33836" ht="12.75"/>
    <row r="33837" ht="12.75"/>
    <row r="33838" ht="12.75"/>
    <row r="33839" ht="12.75"/>
    <row r="33840" ht="12.75"/>
    <row r="33841" ht="12.75"/>
    <row r="33842" ht="12.75"/>
    <row r="33843" ht="12.75"/>
    <row r="33844" ht="12.75"/>
    <row r="33845" ht="12.75"/>
    <row r="33846" ht="12.75"/>
    <row r="33847" ht="12.75"/>
    <row r="33848" ht="12.75"/>
    <row r="33849" ht="12.75"/>
    <row r="33850" ht="12.75"/>
    <row r="33851" ht="12.75"/>
    <row r="33852" ht="12.75"/>
    <row r="33853" ht="12.75"/>
    <row r="33854" ht="12.75"/>
    <row r="33855" ht="12.75"/>
    <row r="33856" ht="12.75"/>
    <row r="33857" ht="12.75"/>
    <row r="33858" ht="12.75"/>
    <row r="33859" ht="12.75"/>
    <row r="33860" ht="12.75"/>
    <row r="33861" ht="12.75"/>
    <row r="33862" ht="12.75"/>
    <row r="33863" ht="12.75"/>
    <row r="33864" ht="12.75"/>
    <row r="33865" ht="12.75"/>
    <row r="33866" ht="12.75"/>
    <row r="33867" ht="12.75"/>
    <row r="33868" ht="12.75"/>
    <row r="33869" ht="12.75"/>
    <row r="33870" ht="12.75"/>
    <row r="33871" ht="12.75"/>
    <row r="33872" ht="12.75"/>
    <row r="33873" ht="12.75"/>
    <row r="33874" ht="12.75"/>
    <row r="33875" ht="12.75"/>
    <row r="33876" ht="12.75"/>
    <row r="33877" ht="12.75"/>
    <row r="33878" ht="12.75"/>
    <row r="33879" ht="12.75"/>
    <row r="33880" ht="12.75"/>
    <row r="33881" ht="12.75"/>
    <row r="33882" ht="12.75"/>
    <row r="33883" ht="12.75"/>
    <row r="33884" ht="12.75"/>
    <row r="33885" ht="12.75"/>
    <row r="33886" ht="12.75"/>
    <row r="33887" ht="12.75"/>
    <row r="33888" ht="12.75"/>
    <row r="33889" ht="12.75"/>
    <row r="33890" ht="12.75"/>
    <row r="33891" ht="12.75"/>
    <row r="33892" ht="12.75"/>
    <row r="33893" ht="12.75"/>
    <row r="33894" ht="12.75"/>
    <row r="33895" ht="12.75"/>
    <row r="33896" ht="12.75"/>
    <row r="33897" ht="12.75"/>
    <row r="33898" ht="12.75"/>
    <row r="33899" ht="12.75"/>
    <row r="33900" ht="12.75"/>
    <row r="33901" ht="12.75"/>
    <row r="33902" ht="12.75"/>
    <row r="33903" ht="12.75"/>
    <row r="33904" ht="12.75"/>
    <row r="33905" ht="12.75"/>
    <row r="33906" ht="12.75"/>
    <row r="33907" ht="12.75"/>
    <row r="33908" ht="12.75"/>
    <row r="33909" ht="12.75"/>
    <row r="33910" ht="12.75"/>
    <row r="33911" ht="12.75"/>
    <row r="33912" ht="12.75"/>
    <row r="33913" ht="12.75"/>
    <row r="33914" ht="12.75"/>
    <row r="33915" ht="12.75"/>
    <row r="33916" ht="12.75"/>
    <row r="33917" ht="12.75"/>
    <row r="33918" ht="12.75"/>
    <row r="33919" ht="12.75"/>
    <row r="33920" ht="12.75"/>
    <row r="33921" ht="12.75"/>
    <row r="33922" ht="12.75"/>
    <row r="33923" ht="12.75"/>
    <row r="33924" ht="12.75"/>
    <row r="33925" ht="12.75"/>
    <row r="33926" ht="12.75"/>
    <row r="33927" ht="12.75"/>
    <row r="33928" ht="12.75"/>
    <row r="33929" ht="12.75"/>
    <row r="33930" ht="12.75"/>
    <row r="33931" ht="12.75"/>
    <row r="33932" ht="12.75"/>
    <row r="33933" ht="12.75"/>
    <row r="33934" ht="12.75"/>
    <row r="33935" ht="12.75"/>
    <row r="33936" ht="12.75"/>
    <row r="33937" ht="12.75"/>
    <row r="33938" ht="12.75"/>
    <row r="33939" ht="12.75"/>
    <row r="33940" ht="12.75"/>
    <row r="33941" ht="12.75"/>
    <row r="33942" ht="12.75"/>
    <row r="33943" ht="12.75"/>
    <row r="33944" ht="12.75"/>
    <row r="33945" ht="12.75"/>
    <row r="33946" ht="12.75"/>
    <row r="33947" ht="12.75"/>
    <row r="33948" ht="12.75"/>
    <row r="33949" ht="12.75"/>
    <row r="33950" ht="12.75"/>
    <row r="33951" ht="12.75"/>
    <row r="33952" ht="12.75"/>
    <row r="33953" ht="12.75"/>
    <row r="33954" ht="12.75"/>
    <row r="33955" ht="12.75"/>
    <row r="33956" ht="12.75"/>
    <row r="33957" ht="12.75"/>
    <row r="33958" ht="12.75"/>
    <row r="33959" ht="12.75"/>
    <row r="33960" ht="12.75"/>
    <row r="33961" ht="12.75"/>
    <row r="33962" ht="12.75"/>
    <row r="33963" ht="12.75"/>
    <row r="33964" ht="12.75"/>
    <row r="33965" ht="12.75"/>
    <row r="33966" ht="12.75"/>
    <row r="33967" ht="12.75"/>
    <row r="33968" ht="12.75"/>
    <row r="33969" ht="12.75"/>
    <row r="33970" ht="12.75"/>
    <row r="33971" ht="12.75"/>
    <row r="33972" ht="12.75"/>
    <row r="33973" ht="12.75"/>
    <row r="33974" ht="12.75"/>
    <row r="33975" ht="12.75"/>
    <row r="33976" ht="12.75"/>
    <row r="33977" ht="12.75"/>
    <row r="33978" ht="12.75"/>
    <row r="33979" ht="12.75"/>
    <row r="33980" ht="12.75"/>
    <row r="33981" ht="12.75"/>
    <row r="33982" ht="12.75"/>
    <row r="33983" ht="12.75"/>
    <row r="33984" ht="12.75"/>
    <row r="33985" ht="12.75"/>
    <row r="33986" ht="12.75"/>
    <row r="33987" ht="12.75"/>
    <row r="33988" ht="12.75"/>
    <row r="33989" ht="12.75"/>
    <row r="33990" ht="12.75"/>
    <row r="33991" ht="12.75"/>
    <row r="33992" ht="12.75"/>
    <row r="33993" ht="12.75"/>
    <row r="33994" ht="12.75"/>
    <row r="33995" ht="12.75"/>
    <row r="33996" ht="12.75"/>
    <row r="33997" ht="12.75"/>
    <row r="33998" ht="12.75"/>
    <row r="33999" ht="12.75"/>
    <row r="34000" ht="12.75"/>
    <row r="34001" ht="12.75"/>
    <row r="34002" ht="12.75"/>
    <row r="34003" ht="12.75"/>
    <row r="34004" ht="12.75"/>
    <row r="34005" ht="12.75"/>
    <row r="34006" ht="12.75"/>
    <row r="34007" ht="12.75"/>
    <row r="34008" ht="12.75"/>
    <row r="34009" ht="12.75"/>
    <row r="34010" ht="12.75"/>
    <row r="34011" ht="12.75"/>
    <row r="34012" ht="12.75"/>
    <row r="34013" ht="12.75"/>
    <row r="34014" ht="12.75"/>
    <row r="34015" ht="12.75"/>
    <row r="34016" ht="12.75"/>
    <row r="34017" ht="12.75"/>
    <row r="34018" ht="12.75"/>
    <row r="34019" ht="12.75"/>
    <row r="34020" ht="12.75"/>
    <row r="34021" ht="12.75"/>
    <row r="34022" ht="12.75"/>
    <row r="34023" ht="12.75"/>
    <row r="34024" ht="12.75"/>
    <row r="34025" ht="12.75"/>
    <row r="34026" ht="12.75"/>
    <row r="34027" ht="12.75"/>
    <row r="34028" ht="12.75"/>
    <row r="34029" ht="12.75"/>
    <row r="34030" ht="12.75"/>
    <row r="34031" ht="12.75"/>
    <row r="34032" ht="12.75"/>
    <row r="34033" ht="12.75"/>
    <row r="34034" ht="12.75"/>
    <row r="34035" ht="12.75"/>
    <row r="34036" ht="12.75"/>
    <row r="34037" ht="12.75"/>
    <row r="34038" ht="12.75"/>
    <row r="34039" ht="12.75"/>
    <row r="34040" ht="12.75"/>
    <row r="34041" ht="12.75"/>
    <row r="34042" ht="12.75"/>
    <row r="34043" ht="12.75"/>
    <row r="34044" ht="12.75"/>
    <row r="34045" ht="12.75"/>
    <row r="34046" ht="12.75"/>
    <row r="34047" ht="12.75"/>
    <row r="34048" ht="12.75"/>
    <row r="34049" ht="12.75"/>
    <row r="34050" ht="12.75"/>
    <row r="34051" ht="12.75"/>
    <row r="34052" ht="12.75"/>
    <row r="34053" ht="12.75"/>
    <row r="34054" ht="12.75"/>
    <row r="34055" ht="12.75"/>
    <row r="34056" ht="12.75"/>
    <row r="34057" ht="12.75"/>
    <row r="34058" ht="12.75"/>
    <row r="34059" ht="12.75"/>
    <row r="34060" ht="12.75"/>
    <row r="34061" ht="12.75"/>
    <row r="34062" ht="12.75"/>
    <row r="34063" ht="12.75"/>
    <row r="34064" ht="12.75"/>
    <row r="34065" ht="12.75"/>
    <row r="34066" ht="12.75"/>
    <row r="34067" ht="12.75"/>
    <row r="34068" ht="12.75"/>
    <row r="34069" ht="12.75"/>
    <row r="34070" ht="12.75"/>
    <row r="34071" ht="12.75"/>
    <row r="34072" ht="12.75"/>
    <row r="34073" ht="12.75"/>
    <row r="34074" ht="12.75"/>
    <row r="34075" ht="12.75"/>
    <row r="34076" ht="12.75"/>
    <row r="34077" ht="12.75"/>
    <row r="34078" ht="12.75"/>
    <row r="34079" ht="12.75"/>
    <row r="34080" ht="12.75"/>
    <row r="34081" ht="12.75"/>
    <row r="34082" ht="12.75"/>
    <row r="34083" ht="12.75"/>
    <row r="34084" ht="12.75"/>
    <row r="34085" ht="12.75"/>
    <row r="34086" ht="12.75"/>
    <row r="34087" ht="12.75"/>
    <row r="34088" ht="12.75"/>
    <row r="34089" ht="12.75"/>
    <row r="34090" ht="12.75"/>
    <row r="34091" ht="12.75"/>
    <row r="34092" ht="12.75"/>
    <row r="34093" ht="12.75"/>
    <row r="34094" ht="12.75"/>
    <row r="34095" ht="12.75"/>
    <row r="34096" ht="12.75"/>
    <row r="34097" ht="12.75"/>
    <row r="34098" ht="12.75"/>
    <row r="34099" ht="12.75"/>
    <row r="34100" ht="12.75"/>
    <row r="34101" ht="12.75"/>
    <row r="34102" ht="12.75"/>
    <row r="34103" ht="12.75"/>
    <row r="34104" ht="12.75"/>
    <row r="34105" ht="12.75"/>
    <row r="34106" ht="12.75"/>
    <row r="34107" ht="12.75"/>
    <row r="34108" ht="12.75"/>
    <row r="34109" ht="12.75"/>
    <row r="34110" ht="12.75"/>
    <row r="34111" ht="12.75"/>
    <row r="34112" ht="12.75"/>
    <row r="34113" ht="12.75"/>
    <row r="34114" ht="12.75"/>
    <row r="34115" ht="12.75"/>
    <row r="34116" ht="12.75"/>
    <row r="34117" ht="12.75"/>
    <row r="34118" ht="12.75"/>
    <row r="34119" ht="12.75"/>
    <row r="34120" ht="12.75"/>
    <row r="34121" ht="12.75"/>
    <row r="34122" ht="12.75"/>
    <row r="34123" ht="12.75"/>
    <row r="34124" ht="12.75"/>
    <row r="34125" ht="12.75"/>
    <row r="34126" ht="12.75"/>
    <row r="34127" ht="12.75"/>
    <row r="34128" ht="12.75"/>
    <row r="34129" ht="12.75"/>
    <row r="34130" ht="12.75"/>
    <row r="34131" ht="12.75"/>
    <row r="34132" ht="12.75"/>
    <row r="34133" ht="12.75"/>
    <row r="34134" ht="12.75"/>
    <row r="34135" ht="12.75"/>
    <row r="34136" ht="12.75"/>
    <row r="34137" ht="12.75"/>
    <row r="34138" ht="12.75"/>
    <row r="34139" ht="12.75"/>
    <row r="34140" ht="12.75"/>
    <row r="34141" ht="12.75"/>
    <row r="34142" ht="12.75"/>
    <row r="34143" ht="12.75"/>
    <row r="34144" ht="12.75"/>
    <row r="34145" ht="12.75"/>
    <row r="34146" ht="12.75"/>
    <row r="34147" ht="12.75"/>
    <row r="34148" ht="12.75"/>
    <row r="34149" ht="12.75"/>
    <row r="34150" ht="12.75"/>
    <row r="34151" ht="12.75"/>
    <row r="34152" ht="12.75"/>
    <row r="34153" ht="12.75"/>
    <row r="34154" ht="12.75"/>
    <row r="34155" ht="12.75"/>
    <row r="34156" ht="12.75"/>
    <row r="34157" ht="12.75"/>
    <row r="34158" ht="12.75"/>
    <row r="34159" ht="12.75"/>
    <row r="34160" ht="12.75"/>
    <row r="34161" ht="12.75"/>
    <row r="34162" ht="12.75"/>
    <row r="34163" ht="12.75"/>
    <row r="34164" ht="12.75"/>
    <row r="34165" ht="12.75"/>
    <row r="34166" ht="12.75"/>
    <row r="34167" ht="12.75"/>
    <row r="34168" ht="12.75"/>
    <row r="34169" ht="12.75"/>
    <row r="34170" ht="12.75"/>
    <row r="34171" ht="12.75"/>
    <row r="34172" ht="12.75"/>
    <row r="34173" ht="12.75"/>
    <row r="34174" ht="12.75"/>
    <row r="34175" ht="12.75"/>
    <row r="34176" ht="12.75"/>
    <row r="34177" ht="12.75"/>
    <row r="34178" ht="12.75"/>
    <row r="34179" ht="12.75"/>
    <row r="34180" ht="12.75"/>
    <row r="34181" ht="12.75"/>
    <row r="34182" ht="12.75"/>
    <row r="34183" ht="12.75"/>
    <row r="34184" ht="12.75"/>
    <row r="34185" ht="12.75"/>
    <row r="34186" ht="12.75"/>
    <row r="34187" ht="12.75"/>
    <row r="34188" ht="12.75"/>
    <row r="34189" ht="12.75"/>
    <row r="34190" ht="12.75"/>
    <row r="34191" ht="12.75"/>
    <row r="34192" ht="12.75"/>
    <row r="34193" ht="12.75"/>
    <row r="34194" ht="12.75"/>
    <row r="34195" ht="12.75"/>
    <row r="34196" ht="12.75"/>
    <row r="34197" ht="12.75"/>
    <row r="34198" ht="12.75"/>
    <row r="34199" ht="12.75"/>
    <row r="34200" ht="12.75"/>
    <row r="34201" ht="12.75"/>
    <row r="34202" ht="12.75"/>
    <row r="34203" ht="12.75"/>
    <row r="34204" ht="12.75"/>
    <row r="34205" ht="12.75"/>
    <row r="34206" ht="12.75"/>
    <row r="34207" ht="12.75"/>
    <row r="34208" ht="12.75"/>
    <row r="34209" ht="12.75"/>
    <row r="34210" ht="12.75"/>
    <row r="34211" ht="12.75"/>
    <row r="34212" ht="12.75"/>
    <row r="34213" ht="12.75"/>
    <row r="34214" ht="12.75"/>
    <row r="34215" ht="12.75"/>
    <row r="34216" ht="12.75"/>
    <row r="34217" ht="12.75"/>
    <row r="34218" ht="12.75"/>
    <row r="34219" ht="12.75"/>
    <row r="34220" ht="12.75"/>
    <row r="34221" ht="12.75"/>
    <row r="34222" ht="12.75"/>
    <row r="34223" ht="12.75"/>
    <row r="34224" ht="12.75"/>
    <row r="34225" ht="12.75"/>
    <row r="34226" ht="12.75"/>
    <row r="34227" ht="12.75"/>
    <row r="34228" ht="12.75"/>
    <row r="34229" ht="12.75"/>
    <row r="34230" ht="12.75"/>
    <row r="34231" ht="12.75"/>
    <row r="34232" ht="12.75"/>
    <row r="34233" ht="12.75"/>
    <row r="34234" ht="12.75"/>
    <row r="34235" ht="12.75"/>
    <row r="34236" ht="12.75"/>
    <row r="34237" ht="12.75"/>
    <row r="34238" ht="12.75"/>
    <row r="34239" ht="12.75"/>
    <row r="34240" ht="12.75"/>
    <row r="34241" ht="12.75"/>
    <row r="34242" ht="12.75"/>
    <row r="34243" ht="12.75"/>
    <row r="34244" ht="12.75"/>
    <row r="34245" ht="12.75"/>
    <row r="34246" ht="12.75"/>
    <row r="34247" ht="12.75"/>
    <row r="34248" ht="12.75"/>
    <row r="34249" ht="12.75"/>
    <row r="34250" ht="12.75"/>
    <row r="34251" ht="12.75"/>
    <row r="34252" ht="12.75"/>
    <row r="34253" ht="12.75"/>
    <row r="34254" ht="12.75"/>
    <row r="34255" ht="12.75"/>
    <row r="34256" ht="12.75"/>
    <row r="34257" ht="12.75"/>
    <row r="34258" ht="12.75"/>
    <row r="34259" ht="12.75"/>
    <row r="34260" ht="12.75"/>
    <row r="34261" ht="12.75"/>
    <row r="34262" ht="12.75"/>
    <row r="34263" ht="12.75"/>
    <row r="34264" ht="12.75"/>
    <row r="34265" ht="12.75"/>
    <row r="34266" ht="12.75"/>
    <row r="34267" ht="12.75"/>
    <row r="34268" ht="12.75"/>
    <row r="34269" ht="12.75"/>
    <row r="34270" ht="12.75"/>
    <row r="34271" ht="12.75"/>
    <row r="34272" ht="12.75"/>
    <row r="34273" ht="12.75"/>
    <row r="34274" ht="12.75"/>
    <row r="34275" ht="12.75"/>
    <row r="34276" ht="12.75"/>
    <row r="34277" ht="12.75"/>
    <row r="34278" ht="12.75"/>
    <row r="34279" ht="12.75"/>
    <row r="34280" ht="12.75"/>
    <row r="34281" ht="12.75"/>
    <row r="34282" ht="12.75"/>
    <row r="34283" ht="12.75"/>
    <row r="34284" ht="12.75"/>
    <row r="34285" ht="12.75"/>
    <row r="34286" ht="12.75"/>
    <row r="34287" ht="12.75"/>
    <row r="34288" ht="12.75"/>
    <row r="34289" ht="12.75"/>
    <row r="34290" ht="12.75"/>
    <row r="34291" ht="12.75"/>
    <row r="34292" ht="12.75"/>
    <row r="34293" ht="12.75"/>
    <row r="34294" ht="12.75"/>
    <row r="34295" ht="12.75"/>
    <row r="34296" ht="12.75"/>
    <row r="34297" ht="12.75"/>
    <row r="34298" ht="12.75"/>
    <row r="34299" ht="12.75"/>
    <row r="34300" ht="12.75"/>
    <row r="34301" ht="12.75"/>
    <row r="34302" ht="12.75"/>
    <row r="34303" ht="12.75"/>
    <row r="34304" ht="12.75"/>
    <row r="34305" ht="12.75"/>
    <row r="34306" ht="12.75"/>
    <row r="34307" ht="12.75"/>
    <row r="34308" ht="12.75"/>
    <row r="34309" ht="12.75"/>
    <row r="34310" ht="12.75"/>
    <row r="34311" ht="12.75"/>
    <row r="34312" ht="12.75"/>
    <row r="34313" ht="12.75"/>
    <row r="34314" ht="12.75"/>
    <row r="34315" ht="12.75"/>
    <row r="34316" ht="12.75"/>
    <row r="34317" ht="12.75"/>
    <row r="34318" ht="12.75"/>
    <row r="34319" ht="12.75"/>
    <row r="34320" ht="12.75"/>
    <row r="34321" ht="12.75"/>
    <row r="34322" ht="12.75"/>
    <row r="34323" ht="12.75"/>
    <row r="34324" ht="12.75"/>
    <row r="34325" ht="12.75"/>
    <row r="34326" ht="12.75"/>
    <row r="34327" ht="12.75"/>
    <row r="34328" ht="12.75"/>
    <row r="34329" ht="12.75"/>
    <row r="34330" ht="12.75"/>
    <row r="34331" ht="12.75"/>
    <row r="34332" ht="12.75"/>
    <row r="34333" ht="12.75"/>
    <row r="34334" ht="12.75"/>
    <row r="34335" ht="12.75"/>
    <row r="34336" ht="12.75"/>
    <row r="34337" ht="12.75"/>
    <row r="34338" ht="12.75"/>
    <row r="34339" ht="12.75"/>
    <row r="34340" ht="12.75"/>
    <row r="34341" ht="12.75"/>
    <row r="34342" ht="12.75"/>
    <row r="34343" ht="12.75"/>
    <row r="34344" ht="12.75"/>
    <row r="34345" ht="12.75"/>
    <row r="34346" ht="12.75"/>
    <row r="34347" ht="12.75"/>
    <row r="34348" ht="12.75"/>
    <row r="34349" ht="12.75"/>
    <row r="34350" ht="12.75"/>
    <row r="34351" ht="12.75"/>
    <row r="34352" ht="12.75"/>
    <row r="34353" ht="12.75"/>
    <row r="34354" ht="12.75"/>
    <row r="34355" ht="12.75"/>
    <row r="34356" ht="12.75"/>
    <row r="34357" ht="12.75"/>
    <row r="34358" ht="12.75"/>
    <row r="34359" ht="12.75"/>
    <row r="34360" ht="12.75"/>
    <row r="34361" ht="12.75"/>
    <row r="34362" ht="12.75"/>
    <row r="34363" ht="12.75"/>
    <row r="34364" ht="12.75"/>
    <row r="34365" ht="12.75"/>
    <row r="34366" ht="12.75"/>
    <row r="34367" ht="12.75"/>
    <row r="34368" ht="12.75"/>
    <row r="34369" ht="12.75"/>
    <row r="34370" ht="12.75"/>
    <row r="34371" ht="12.75"/>
    <row r="34372" ht="12.75"/>
    <row r="34373" ht="12.75"/>
    <row r="34374" ht="12.75"/>
    <row r="34375" ht="12.75"/>
    <row r="34376" ht="12.75"/>
    <row r="34377" ht="12.75"/>
    <row r="34378" ht="12.75"/>
    <row r="34379" ht="12.75"/>
    <row r="34380" ht="12.75"/>
    <row r="34381" ht="12.75"/>
    <row r="34382" ht="12.75"/>
    <row r="34383" ht="12.75"/>
    <row r="34384" ht="12.75"/>
    <row r="34385" ht="12.75"/>
    <row r="34386" ht="12.75"/>
    <row r="34387" ht="12.75"/>
    <row r="34388" ht="12.75"/>
    <row r="34389" ht="12.75"/>
    <row r="34390" ht="12.75"/>
    <row r="34391" ht="12.75"/>
    <row r="34392" ht="12.75"/>
    <row r="34393" ht="12.75"/>
    <row r="34394" ht="12.75"/>
    <row r="34395" ht="12.75"/>
    <row r="34396" ht="12.75"/>
    <row r="34397" ht="12.75"/>
    <row r="34398" ht="12.75"/>
    <row r="34399" ht="12.75"/>
    <row r="34400" ht="12.75"/>
    <row r="34401" ht="12.75"/>
    <row r="34402" ht="12.75"/>
    <row r="34403" ht="12.75"/>
    <row r="34404" ht="12.75"/>
    <row r="34405" ht="12.75"/>
    <row r="34406" ht="12.75"/>
    <row r="34407" ht="12.75"/>
    <row r="34408" ht="12.75"/>
    <row r="34409" ht="12.75"/>
    <row r="34410" ht="12.75"/>
    <row r="34411" ht="12.75"/>
    <row r="34412" ht="12.75"/>
    <row r="34413" ht="12.75"/>
    <row r="34414" ht="12.75"/>
    <row r="34415" ht="12.75"/>
    <row r="34416" ht="12.75"/>
    <row r="34417" ht="12.75"/>
    <row r="34418" ht="12.75"/>
    <row r="34419" ht="12.75"/>
    <row r="34420" ht="12.75"/>
    <row r="34421" ht="12.75"/>
    <row r="34422" ht="12.75"/>
    <row r="34423" ht="12.75"/>
    <row r="34424" ht="12.75"/>
    <row r="34425" ht="12.75"/>
    <row r="34426" ht="12.75"/>
    <row r="34427" ht="12.75"/>
    <row r="34428" ht="12.75"/>
    <row r="34429" ht="12.75"/>
    <row r="34430" ht="12.75"/>
    <row r="34431" ht="12.75"/>
    <row r="34432" ht="12.75"/>
    <row r="34433" ht="12.75"/>
    <row r="34434" ht="12.75"/>
    <row r="34435" ht="12.75"/>
    <row r="34436" ht="12.75"/>
    <row r="34437" ht="12.75"/>
    <row r="34438" ht="12.75"/>
    <row r="34439" ht="12.75"/>
    <row r="34440" ht="12.75"/>
    <row r="34441" ht="12.75"/>
    <row r="34442" ht="12.75"/>
    <row r="34443" ht="12.75"/>
    <row r="34444" ht="12.75"/>
    <row r="34445" ht="12.75"/>
    <row r="34446" ht="12.75"/>
    <row r="34447" ht="12.75"/>
    <row r="34448" ht="12.75"/>
    <row r="34449" ht="12.75"/>
    <row r="34450" ht="12.75"/>
    <row r="34451" ht="12.75"/>
    <row r="34452" ht="12.75"/>
    <row r="34453" ht="12.75"/>
    <row r="34454" ht="12.75"/>
    <row r="34455" ht="12.75"/>
    <row r="34456" ht="12.75"/>
    <row r="34457" ht="12.75"/>
    <row r="34458" ht="12.75"/>
    <row r="34459" ht="12.75"/>
    <row r="34460" ht="12.75"/>
    <row r="34461" ht="12.75"/>
    <row r="34462" ht="12.75"/>
    <row r="34463" ht="12.75"/>
    <row r="34464" ht="12.75"/>
    <row r="34465" ht="12.75"/>
    <row r="34466" ht="12.75"/>
    <row r="34467" ht="12.75"/>
    <row r="34468" ht="12.75"/>
    <row r="34469" ht="12.75"/>
    <row r="34470" ht="12.75"/>
    <row r="34471" ht="12.75"/>
    <row r="34472" ht="12.75"/>
    <row r="34473" ht="12.75"/>
    <row r="34474" ht="12.75"/>
    <row r="34475" ht="12.75"/>
    <row r="34476" ht="12.75"/>
    <row r="34477" ht="12.75"/>
    <row r="34478" ht="12.75"/>
    <row r="34479" ht="12.75"/>
    <row r="34480" ht="12.75"/>
    <row r="34481" ht="12.75"/>
    <row r="34482" ht="12.75"/>
    <row r="34483" ht="12.75"/>
    <row r="34484" ht="12.75"/>
    <row r="34485" ht="12.75"/>
    <row r="34486" ht="12.75"/>
    <row r="34487" ht="12.75"/>
    <row r="34488" ht="12.75"/>
    <row r="34489" ht="12.75"/>
    <row r="34490" ht="12.75"/>
    <row r="34491" ht="12.75"/>
    <row r="34492" ht="12.75"/>
    <row r="34493" ht="12.75"/>
    <row r="34494" ht="12.75"/>
    <row r="34495" ht="12.75"/>
    <row r="34496" ht="12.75"/>
    <row r="34497" ht="12.75"/>
    <row r="34498" ht="12.75"/>
    <row r="34499" ht="12.75"/>
    <row r="34500" ht="12.75"/>
    <row r="34501" ht="12.75"/>
    <row r="34502" ht="12.75"/>
    <row r="34503" ht="12.75"/>
    <row r="34504" ht="12.75"/>
    <row r="34505" ht="12.75"/>
    <row r="34506" ht="12.75"/>
    <row r="34507" ht="12.75"/>
    <row r="34508" ht="12.75"/>
    <row r="34509" ht="12.75"/>
    <row r="34510" ht="12.75"/>
    <row r="34511" ht="12.75"/>
    <row r="34512" ht="12.75"/>
    <row r="34513" ht="12.75"/>
    <row r="34514" ht="12.75"/>
    <row r="34515" ht="12.75"/>
    <row r="34516" ht="12.75"/>
    <row r="34517" ht="12.75"/>
    <row r="34518" ht="12.75"/>
    <row r="34519" ht="12.75"/>
    <row r="34520" ht="12.75"/>
    <row r="34521" ht="12.75"/>
    <row r="34522" ht="12.75"/>
    <row r="34523" ht="12.75"/>
    <row r="34524" ht="12.75"/>
    <row r="34525" ht="12.75"/>
    <row r="34526" ht="12.75"/>
    <row r="34527" ht="12.75"/>
    <row r="34528" ht="12.75"/>
    <row r="34529" ht="12.75"/>
    <row r="34530" ht="12.75"/>
    <row r="34531" ht="12.75"/>
    <row r="34532" ht="12.75"/>
    <row r="34533" ht="12.75"/>
    <row r="34534" ht="12.75"/>
    <row r="34535" ht="12.75"/>
    <row r="34536" ht="12.75"/>
    <row r="34537" ht="12.75"/>
    <row r="34538" ht="12.75"/>
    <row r="34539" ht="12.75"/>
    <row r="34540" ht="12.75"/>
    <row r="34541" ht="12.75"/>
    <row r="34542" ht="12.75"/>
    <row r="34543" ht="12.75"/>
    <row r="34544" ht="12.75"/>
    <row r="34545" ht="12.75"/>
    <row r="34546" ht="12.75"/>
    <row r="34547" ht="12.75"/>
    <row r="34548" ht="12.75"/>
    <row r="34549" ht="12.75"/>
    <row r="34550" ht="12.75"/>
    <row r="34551" ht="12.75"/>
    <row r="34552" ht="12.75"/>
    <row r="34553" ht="12.75"/>
    <row r="34554" ht="12.75"/>
    <row r="34555" ht="12.75"/>
    <row r="34556" ht="12.75"/>
    <row r="34557" ht="12.75"/>
    <row r="34558" ht="12.75"/>
    <row r="34559" ht="12.75"/>
    <row r="34560" ht="12.75"/>
    <row r="34561" ht="12.75"/>
    <row r="34562" ht="12.75"/>
    <row r="34563" ht="12.75"/>
    <row r="34564" ht="12.75"/>
    <row r="34565" ht="12.75"/>
    <row r="34566" ht="12.75"/>
    <row r="34567" ht="12.75"/>
    <row r="34568" ht="12.75"/>
    <row r="34569" ht="12.75"/>
    <row r="34570" ht="12.75"/>
    <row r="34571" ht="12.75"/>
    <row r="34572" ht="12.75"/>
    <row r="34573" ht="12.75"/>
    <row r="34574" ht="12.75"/>
    <row r="34575" ht="12.75"/>
    <row r="34576" ht="12.75"/>
    <row r="34577" ht="12.75"/>
    <row r="34578" ht="12.75"/>
    <row r="34579" ht="12.75"/>
    <row r="34580" ht="12.75"/>
    <row r="34581" ht="12.75"/>
    <row r="34582" ht="12.75"/>
    <row r="34583" ht="12.75"/>
    <row r="34584" ht="12.75"/>
    <row r="34585" ht="12.75"/>
    <row r="34586" ht="12.75"/>
    <row r="34587" ht="12.75"/>
    <row r="34588" ht="12.75"/>
    <row r="34589" ht="12.75"/>
    <row r="34590" ht="12.75"/>
    <row r="34591" ht="12.75"/>
    <row r="34592" ht="12.75"/>
    <row r="34593" ht="12.75"/>
    <row r="34594" ht="12.75"/>
    <row r="34595" ht="12.75"/>
    <row r="34596" ht="12.75"/>
    <row r="34597" ht="12.75"/>
    <row r="34598" ht="12.75"/>
    <row r="34599" ht="12.75"/>
    <row r="34600" ht="12.75"/>
    <row r="34601" ht="12.75"/>
    <row r="34602" ht="12.75"/>
    <row r="34603" ht="12.75"/>
    <row r="34604" ht="12.75"/>
    <row r="34605" ht="12.75"/>
    <row r="34606" ht="12.75"/>
    <row r="34607" ht="12.75"/>
    <row r="34608" ht="12.75"/>
    <row r="34609" ht="12.75"/>
    <row r="34610" ht="12.75"/>
    <row r="34611" ht="12.75"/>
    <row r="34612" ht="12.75"/>
    <row r="34613" ht="12.75"/>
    <row r="34614" ht="12.75"/>
    <row r="34615" ht="12.75"/>
    <row r="34616" ht="12.75"/>
    <row r="34617" ht="12.75"/>
    <row r="34618" ht="12.75"/>
    <row r="34619" ht="12.75"/>
    <row r="34620" ht="12.75"/>
    <row r="34621" ht="12.75"/>
    <row r="34622" ht="12.75"/>
    <row r="34623" ht="12.75"/>
    <row r="34624" ht="12.75"/>
    <row r="34625" ht="12.75"/>
    <row r="34626" ht="12.75"/>
    <row r="34627" ht="12.75"/>
    <row r="34628" ht="12.75"/>
    <row r="34629" ht="12.75"/>
    <row r="34630" ht="12.75"/>
    <row r="34631" ht="12.75"/>
    <row r="34632" ht="12.75"/>
    <row r="34633" ht="12.75"/>
    <row r="34634" ht="12.75"/>
    <row r="34635" ht="12.75"/>
    <row r="34636" ht="12.75"/>
    <row r="34637" ht="12.75"/>
    <row r="34638" ht="12.75"/>
    <row r="34639" ht="12.75"/>
    <row r="34640" ht="12.75"/>
    <row r="34641" ht="12.75"/>
    <row r="34642" ht="12.75"/>
    <row r="34643" ht="12.75"/>
    <row r="34644" ht="12.75"/>
    <row r="34645" ht="12.75"/>
    <row r="34646" ht="12.75"/>
    <row r="34647" ht="12.75"/>
    <row r="34648" ht="12.75"/>
    <row r="34649" ht="12.75"/>
    <row r="34650" ht="12.75"/>
    <row r="34651" ht="12.75"/>
    <row r="34652" ht="12.75"/>
    <row r="34653" ht="12.75"/>
    <row r="34654" ht="12.75"/>
    <row r="34655" ht="12.75"/>
    <row r="34656" ht="12.75"/>
    <row r="34657" ht="12.75"/>
    <row r="34658" ht="12.75"/>
    <row r="34659" ht="12.75"/>
    <row r="34660" ht="12.75"/>
    <row r="34661" ht="12.75"/>
    <row r="34662" ht="12.75"/>
    <row r="34663" ht="12.75"/>
    <row r="34664" ht="12.75"/>
    <row r="34665" ht="12.75"/>
    <row r="34666" ht="12.75"/>
    <row r="34667" ht="12.75"/>
    <row r="34668" ht="12.75"/>
    <row r="34669" ht="12.75"/>
    <row r="34670" ht="12.75"/>
    <row r="34671" ht="12.75"/>
    <row r="34672" ht="12.75"/>
    <row r="34673" ht="12.75"/>
    <row r="34674" ht="12.75"/>
    <row r="34675" ht="12.75"/>
    <row r="34676" ht="12.75"/>
    <row r="34677" ht="12.75"/>
    <row r="34678" ht="12.75"/>
    <row r="34679" ht="12.75"/>
    <row r="34680" ht="12.75"/>
    <row r="34681" ht="12.75"/>
    <row r="34682" ht="12.75"/>
    <row r="34683" ht="12.75"/>
    <row r="34684" ht="12.75"/>
    <row r="34685" ht="12.75"/>
    <row r="34686" ht="12.75"/>
    <row r="34687" ht="12.75"/>
    <row r="34688" ht="12.75"/>
    <row r="34689" ht="12.75"/>
    <row r="34690" ht="12.75"/>
    <row r="34691" ht="12.75"/>
    <row r="34692" ht="12.75"/>
    <row r="34693" ht="12.75"/>
    <row r="34694" ht="12.75"/>
    <row r="34695" ht="12.75"/>
    <row r="34696" ht="12.75"/>
    <row r="34697" ht="12.75"/>
    <row r="34698" ht="12.75"/>
    <row r="34699" ht="12.75"/>
    <row r="34700" ht="12.75"/>
    <row r="34701" ht="12.75"/>
    <row r="34702" ht="12.75"/>
    <row r="34703" ht="12.75"/>
    <row r="34704" ht="12.75"/>
    <row r="34705" ht="12.75"/>
    <row r="34706" ht="12.75"/>
    <row r="34707" ht="12.75"/>
    <row r="34708" ht="12.75"/>
    <row r="34709" ht="12.75"/>
    <row r="34710" ht="12.75"/>
    <row r="34711" ht="12.75"/>
    <row r="34712" ht="12.75"/>
    <row r="34713" ht="12.75"/>
    <row r="34714" ht="12.75"/>
    <row r="34715" ht="12.75"/>
    <row r="34716" ht="12.75"/>
    <row r="34717" ht="12.75"/>
    <row r="34718" ht="12.75"/>
    <row r="34719" ht="12.75"/>
    <row r="34720" ht="12.75"/>
    <row r="34721" ht="12.75"/>
    <row r="34722" ht="12.75"/>
    <row r="34723" ht="12.75"/>
    <row r="34724" ht="12.75"/>
    <row r="34725" ht="12.75"/>
    <row r="34726" ht="12.75"/>
    <row r="34727" ht="12.75"/>
    <row r="34728" ht="12.75"/>
    <row r="34729" ht="12.75"/>
    <row r="34730" ht="12.75"/>
    <row r="34731" ht="12.75"/>
    <row r="34732" ht="12.75"/>
    <row r="34733" ht="12.75"/>
    <row r="34734" ht="12.75"/>
    <row r="34735" ht="12.75"/>
    <row r="34736" ht="12.75"/>
    <row r="34737" ht="12.75"/>
    <row r="34738" ht="12.75"/>
    <row r="34739" ht="12.75"/>
    <row r="34740" ht="12.75"/>
    <row r="34741" ht="12.75"/>
    <row r="34742" ht="12.75"/>
    <row r="34743" ht="12.75"/>
    <row r="34744" ht="12.75"/>
    <row r="34745" ht="12.75"/>
    <row r="34746" ht="12.75"/>
    <row r="34747" ht="12.75"/>
    <row r="34748" ht="12.75"/>
    <row r="34749" ht="12.75"/>
    <row r="34750" ht="12.75"/>
    <row r="34751" ht="12.75"/>
    <row r="34752" ht="12.75"/>
    <row r="34753" ht="12.75"/>
    <row r="34754" ht="12.75"/>
    <row r="34755" ht="12.75"/>
    <row r="34756" ht="12.75"/>
    <row r="34757" ht="12.75"/>
    <row r="34758" ht="12.75"/>
    <row r="34759" ht="12.75"/>
    <row r="34760" ht="12.75"/>
    <row r="34761" ht="12.75"/>
    <row r="34762" ht="12.75"/>
    <row r="34763" ht="12.75"/>
    <row r="34764" ht="12.75"/>
    <row r="34765" ht="12.75"/>
    <row r="34766" ht="12.75"/>
    <row r="34767" ht="12.75"/>
    <row r="34768" ht="12.75"/>
    <row r="34769" ht="12.75"/>
    <row r="34770" ht="12.75"/>
    <row r="34771" ht="12.75"/>
    <row r="34772" ht="12.75"/>
    <row r="34773" ht="12.75"/>
    <row r="34774" ht="12.75"/>
    <row r="34775" ht="12.75"/>
    <row r="34776" ht="12.75"/>
    <row r="34777" ht="12.75"/>
    <row r="34778" ht="12.75"/>
    <row r="34779" ht="12.75"/>
    <row r="34780" ht="12.75"/>
    <row r="34781" ht="12.75"/>
    <row r="34782" ht="12.75"/>
    <row r="34783" ht="12.75"/>
    <row r="34784" ht="12.75"/>
    <row r="34785" ht="12.75"/>
    <row r="34786" ht="12.75"/>
    <row r="34787" ht="12.75"/>
    <row r="34788" ht="12.75"/>
    <row r="34789" ht="12.75"/>
    <row r="34790" ht="12.75"/>
    <row r="34791" ht="12.75"/>
    <row r="34792" ht="12.75"/>
    <row r="34793" ht="12.75"/>
    <row r="34794" ht="12.75"/>
    <row r="34795" ht="12.75"/>
    <row r="34796" ht="12.75"/>
    <row r="34797" ht="12.75"/>
    <row r="34798" ht="12.75"/>
    <row r="34799" ht="12.75"/>
    <row r="34800" ht="12.75"/>
    <row r="34801" ht="12.75"/>
    <row r="34802" ht="12.75"/>
    <row r="34803" ht="12.75"/>
    <row r="34804" ht="12.75"/>
    <row r="34805" ht="12.75"/>
    <row r="34806" ht="12.75"/>
    <row r="34807" ht="12.75"/>
    <row r="34808" ht="12.75"/>
    <row r="34809" ht="12.75"/>
    <row r="34810" ht="12.75"/>
    <row r="34811" ht="12.75"/>
    <row r="34812" ht="12.75"/>
    <row r="34813" ht="12.75"/>
    <row r="34814" ht="12.75"/>
    <row r="34815" ht="12.75"/>
    <row r="34816" ht="12.75"/>
    <row r="34817" ht="12.75"/>
    <row r="34818" ht="12.75"/>
    <row r="34819" ht="12.75"/>
    <row r="34820" ht="12.75"/>
    <row r="34821" ht="12.75"/>
    <row r="34822" ht="12.75"/>
    <row r="34823" ht="12.75"/>
    <row r="34824" ht="12.75"/>
    <row r="34825" ht="12.75"/>
    <row r="34826" ht="12.75"/>
    <row r="34827" ht="12.75"/>
    <row r="34828" ht="12.75"/>
    <row r="34829" ht="12.75"/>
    <row r="34830" ht="12.75"/>
    <row r="34831" ht="12.75"/>
    <row r="34832" ht="12.75"/>
    <row r="34833" ht="12.75"/>
    <row r="34834" ht="12.75"/>
    <row r="34835" ht="12.75"/>
    <row r="34836" ht="12.75"/>
    <row r="34837" ht="12.75"/>
    <row r="34838" ht="12.75"/>
    <row r="34839" ht="12.75"/>
    <row r="34840" ht="12.75"/>
    <row r="34841" ht="12.75"/>
    <row r="34842" ht="12.75"/>
    <row r="34843" ht="12.75"/>
    <row r="34844" ht="12.75"/>
    <row r="34845" ht="12.75"/>
    <row r="34846" ht="12.75"/>
    <row r="34847" ht="12.75"/>
    <row r="34848" ht="12.75"/>
    <row r="34849" ht="12.75"/>
    <row r="34850" ht="12.75"/>
    <row r="34851" ht="12.75"/>
    <row r="34852" ht="12.75"/>
    <row r="34853" ht="12.75"/>
    <row r="34854" ht="12.75"/>
    <row r="34855" ht="12.75"/>
    <row r="34856" ht="12.75"/>
    <row r="34857" ht="12.75"/>
    <row r="34858" ht="12.75"/>
    <row r="34859" ht="12.75"/>
    <row r="34860" ht="12.75"/>
    <row r="34861" ht="12.75"/>
    <row r="34862" ht="12.75"/>
    <row r="34863" ht="12.75"/>
    <row r="34864" ht="12.75"/>
    <row r="34865" ht="12.75"/>
    <row r="34866" ht="12.75"/>
    <row r="34867" ht="12.75"/>
    <row r="34868" ht="12.75"/>
    <row r="34869" ht="12.75"/>
    <row r="34870" ht="12.75"/>
    <row r="34871" ht="12.75"/>
    <row r="34872" ht="12.75"/>
    <row r="34873" ht="12.75"/>
    <row r="34874" ht="12.75"/>
    <row r="34875" ht="12.75"/>
    <row r="34876" ht="12.75"/>
    <row r="34877" ht="12.75"/>
    <row r="34878" ht="12.75"/>
    <row r="34879" ht="12.75"/>
    <row r="34880" ht="12.75"/>
    <row r="34881" ht="12.75"/>
    <row r="34882" ht="12.75"/>
    <row r="34883" ht="12.75"/>
    <row r="34884" ht="12.75"/>
    <row r="34885" ht="12.75"/>
    <row r="34886" ht="12.75"/>
    <row r="34887" ht="12.75"/>
    <row r="34888" ht="12.75"/>
    <row r="34889" ht="12.75"/>
    <row r="34890" ht="12.75"/>
    <row r="34891" ht="12.75"/>
    <row r="34892" ht="12.75"/>
    <row r="34893" ht="12.75"/>
    <row r="34894" ht="12.75"/>
    <row r="34895" ht="12.75"/>
    <row r="34896" ht="12.75"/>
    <row r="34897" ht="12.75"/>
    <row r="34898" ht="12.75"/>
    <row r="34899" ht="12.75"/>
    <row r="34900" ht="12.75"/>
    <row r="34901" ht="12.75"/>
    <row r="34902" ht="12.75"/>
    <row r="34903" ht="12.75"/>
    <row r="34904" ht="12.75"/>
    <row r="34905" ht="12.75"/>
    <row r="34906" ht="12.75"/>
    <row r="34907" ht="12.75"/>
    <row r="34908" ht="12.75"/>
    <row r="34909" ht="12.75"/>
    <row r="34910" ht="12.75"/>
    <row r="34911" ht="12.75"/>
    <row r="34912" ht="12.75"/>
    <row r="34913" ht="12.75"/>
    <row r="34914" ht="12.75"/>
    <row r="34915" ht="12.75"/>
    <row r="34916" ht="12.75"/>
    <row r="34917" ht="12.75"/>
    <row r="34918" ht="12.75"/>
    <row r="34919" ht="12.75"/>
    <row r="34920" ht="12.75"/>
    <row r="34921" ht="12.75"/>
    <row r="34922" ht="12.75"/>
    <row r="34923" ht="12.75"/>
    <row r="34924" ht="12.75"/>
    <row r="34925" ht="12.75"/>
    <row r="34926" ht="12.75"/>
    <row r="34927" ht="12.75"/>
    <row r="34928" ht="12.75"/>
    <row r="34929" ht="12.75"/>
    <row r="34930" ht="12.75"/>
    <row r="34931" ht="12.75"/>
    <row r="34932" ht="12.75"/>
    <row r="34933" ht="12.75"/>
    <row r="34934" ht="12.75"/>
    <row r="34935" ht="12.75"/>
    <row r="34936" ht="12.75"/>
    <row r="34937" ht="12.75"/>
    <row r="34938" ht="12.75"/>
    <row r="34939" ht="12.75"/>
    <row r="34940" ht="12.75"/>
    <row r="34941" ht="12.75"/>
    <row r="34942" ht="12.75"/>
    <row r="34943" ht="12.75"/>
    <row r="34944" ht="12.75"/>
    <row r="34945" ht="12.75"/>
    <row r="34946" ht="12.75"/>
    <row r="34947" ht="12.75"/>
    <row r="34948" ht="12.75"/>
    <row r="34949" ht="12.75"/>
    <row r="34950" ht="12.75"/>
    <row r="34951" ht="12.75"/>
    <row r="34952" ht="12.75"/>
    <row r="34953" ht="12.75"/>
    <row r="34954" ht="12.75"/>
    <row r="34955" ht="12.75"/>
    <row r="34956" ht="12.75"/>
    <row r="34957" ht="12.75"/>
    <row r="34958" ht="12.75"/>
    <row r="34959" ht="12.75"/>
    <row r="34960" ht="12.75"/>
    <row r="34961" ht="12.75"/>
    <row r="34962" ht="12.75"/>
    <row r="34963" ht="12.75"/>
    <row r="34964" ht="12.75"/>
    <row r="34965" ht="12.75"/>
    <row r="34966" ht="12.75"/>
    <row r="34967" ht="12.75"/>
    <row r="34968" ht="12.75"/>
    <row r="34969" ht="12.75"/>
    <row r="34970" ht="12.75"/>
    <row r="34971" ht="12.75"/>
    <row r="34972" ht="12.75"/>
    <row r="34973" ht="12.75"/>
    <row r="34974" ht="12.75"/>
    <row r="34975" ht="12.75"/>
    <row r="34976" ht="12.75"/>
    <row r="34977" ht="12.75"/>
    <row r="34978" ht="12.75"/>
    <row r="34979" ht="12.75"/>
    <row r="34980" ht="12.75"/>
    <row r="34981" ht="12.75"/>
    <row r="34982" ht="12.75"/>
    <row r="34983" ht="12.75"/>
    <row r="34984" ht="12.75"/>
    <row r="34985" ht="12.75"/>
    <row r="34986" ht="12.75"/>
    <row r="34987" ht="12.75"/>
    <row r="34988" ht="12.75"/>
    <row r="34989" ht="12.75"/>
    <row r="34990" ht="12.75"/>
    <row r="34991" ht="12.75"/>
    <row r="34992" ht="12.75"/>
    <row r="34993" ht="12.75"/>
    <row r="34994" ht="12.75"/>
    <row r="34995" ht="12.75"/>
    <row r="34996" ht="12.75"/>
    <row r="34997" ht="12.75"/>
    <row r="34998" ht="12.75"/>
    <row r="34999" ht="12.75"/>
    <row r="35000" ht="12.75"/>
    <row r="35001" ht="12.75"/>
    <row r="35002" ht="12.75"/>
    <row r="35003" ht="12.75"/>
    <row r="35004" ht="12.75"/>
    <row r="35005" ht="12.75"/>
    <row r="35006" ht="12.75"/>
    <row r="35007" ht="12.75"/>
    <row r="35008" ht="12.75"/>
    <row r="35009" ht="12.75"/>
    <row r="35010" ht="12.75"/>
    <row r="35011" ht="12.75"/>
    <row r="35012" ht="12.75"/>
    <row r="35013" ht="12.75"/>
    <row r="35014" ht="12.75"/>
    <row r="35015" ht="12.75"/>
    <row r="35016" ht="12.75"/>
    <row r="35017" ht="12.75"/>
    <row r="35018" ht="12.75"/>
    <row r="35019" ht="12.75"/>
    <row r="35020" ht="12.75"/>
    <row r="35021" ht="12.75"/>
    <row r="35022" ht="12.75"/>
    <row r="35023" ht="12.75"/>
    <row r="35024" ht="12.75"/>
    <row r="35025" ht="12.75"/>
    <row r="35026" ht="12.75"/>
    <row r="35027" ht="12.75"/>
    <row r="35028" ht="12.75"/>
    <row r="35029" ht="12.75"/>
    <row r="35030" ht="12.75"/>
    <row r="35031" ht="12.75"/>
    <row r="35032" ht="12.75"/>
    <row r="35033" ht="12.75"/>
    <row r="35034" ht="12.75"/>
    <row r="35035" ht="12.75"/>
    <row r="35036" ht="12.75"/>
    <row r="35037" ht="12.75"/>
    <row r="35038" ht="12.75"/>
    <row r="35039" ht="12.75"/>
    <row r="35040" ht="12.75"/>
    <row r="35041" ht="12.75"/>
    <row r="35042" ht="12.75"/>
    <row r="35043" ht="12.75"/>
    <row r="35044" ht="12.75"/>
    <row r="35045" ht="12.75"/>
    <row r="35046" ht="12.75"/>
    <row r="35047" ht="12.75"/>
    <row r="35048" ht="12.75"/>
    <row r="35049" ht="12.75"/>
    <row r="35050" ht="12.75"/>
    <row r="35051" ht="12.75"/>
    <row r="35052" ht="12.75"/>
    <row r="35053" ht="12.75"/>
    <row r="35054" ht="12.75"/>
    <row r="35055" ht="12.75"/>
    <row r="35056" ht="12.75"/>
    <row r="35057" ht="12.75"/>
    <row r="35058" ht="12.75"/>
    <row r="35059" ht="12.75"/>
    <row r="35060" ht="12.75"/>
    <row r="35061" ht="12.75"/>
    <row r="35062" ht="12.75"/>
    <row r="35063" ht="12.75"/>
    <row r="35064" ht="12.75"/>
    <row r="35065" ht="12.75"/>
    <row r="35066" ht="12.75"/>
    <row r="35067" ht="12.75"/>
    <row r="35068" ht="12.75"/>
    <row r="35069" ht="12.75"/>
    <row r="35070" ht="12.75"/>
    <row r="35071" ht="12.75"/>
    <row r="35072" ht="12.75"/>
    <row r="35073" ht="12.75"/>
    <row r="35074" ht="12.75"/>
    <row r="35075" ht="12.75"/>
    <row r="35076" ht="12.75"/>
    <row r="35077" ht="12.75"/>
    <row r="35078" ht="12.75"/>
    <row r="35079" ht="12.75"/>
    <row r="35080" ht="12.75"/>
    <row r="35081" ht="12.75"/>
    <row r="35082" ht="12.75"/>
    <row r="35083" ht="12.75"/>
    <row r="35084" ht="12.75"/>
    <row r="35085" ht="12.75"/>
    <row r="35086" ht="12.75"/>
    <row r="35087" ht="12.75"/>
    <row r="35088" ht="12.75"/>
    <row r="35089" ht="12.75"/>
    <row r="35090" ht="12.75"/>
    <row r="35091" ht="12.75"/>
    <row r="35092" ht="12.75"/>
    <row r="35093" ht="12.75"/>
    <row r="35094" ht="12.75"/>
    <row r="35095" ht="12.75"/>
    <row r="35096" ht="12.75"/>
    <row r="35097" ht="12.75"/>
    <row r="35098" ht="12.75"/>
    <row r="35099" ht="12.75"/>
    <row r="35100" ht="12.75"/>
    <row r="35101" ht="12.75"/>
    <row r="35102" ht="12.75"/>
    <row r="35103" ht="12.75"/>
    <row r="35104" ht="12.75"/>
    <row r="35105" ht="12.75"/>
    <row r="35106" ht="12.75"/>
    <row r="35107" ht="12.75"/>
    <row r="35108" ht="12.75"/>
    <row r="35109" ht="12.75"/>
    <row r="35110" ht="12.75"/>
    <row r="35111" ht="12.75"/>
    <row r="35112" ht="12.75"/>
    <row r="35113" ht="12.75"/>
    <row r="35114" ht="12.75"/>
    <row r="35115" ht="12.75"/>
    <row r="35116" ht="12.75"/>
    <row r="35117" ht="12.75"/>
    <row r="35118" ht="12.75"/>
    <row r="35119" ht="12.75"/>
    <row r="35120" ht="12.75"/>
    <row r="35121" ht="12.75"/>
    <row r="35122" ht="12.75"/>
    <row r="35123" ht="12.75"/>
    <row r="35124" ht="12.75"/>
    <row r="35125" ht="12.75"/>
    <row r="35126" ht="12.75"/>
    <row r="35127" ht="12.75"/>
    <row r="35128" ht="12.75"/>
    <row r="35129" ht="12.75"/>
    <row r="35130" ht="12.75"/>
    <row r="35131" ht="12.75"/>
    <row r="35132" ht="12.75"/>
    <row r="35133" ht="12.75"/>
    <row r="35134" ht="12.75"/>
    <row r="35135" ht="12.75"/>
    <row r="35136" ht="12.75"/>
    <row r="35137" ht="12.75"/>
    <row r="35138" ht="12.75"/>
    <row r="35139" ht="12.75"/>
    <row r="35140" ht="12.75"/>
    <row r="35141" ht="12.75"/>
    <row r="35142" ht="12.75"/>
    <row r="35143" ht="12.75"/>
    <row r="35144" ht="12.75"/>
    <row r="35145" ht="12.75"/>
    <row r="35146" ht="12.75"/>
    <row r="35147" ht="12.75"/>
    <row r="35148" ht="12.75"/>
    <row r="35149" ht="12.75"/>
    <row r="35150" ht="12.75"/>
    <row r="35151" ht="12.75"/>
    <row r="35152" ht="12.75"/>
    <row r="35153" ht="12.75"/>
    <row r="35154" ht="12.75"/>
    <row r="35155" ht="12.75"/>
    <row r="35156" ht="12.75"/>
    <row r="35157" ht="12.75"/>
    <row r="35158" ht="12.75"/>
    <row r="35159" ht="12.75"/>
    <row r="35160" ht="12.75"/>
    <row r="35161" ht="12.75"/>
    <row r="35162" ht="12.75"/>
    <row r="35163" ht="12.75"/>
    <row r="35164" ht="12.75"/>
    <row r="35165" ht="12.75"/>
    <row r="35166" ht="12.75"/>
    <row r="35167" ht="12.75"/>
    <row r="35168" ht="12.75"/>
    <row r="35169" ht="12.75"/>
    <row r="35170" ht="12.75"/>
    <row r="35171" ht="12.75"/>
    <row r="35172" ht="12.75"/>
    <row r="35173" ht="12.75"/>
    <row r="35174" ht="12.75"/>
    <row r="35175" ht="12.75"/>
    <row r="35176" ht="12.75"/>
    <row r="35177" ht="12.75"/>
    <row r="35178" ht="12.75"/>
    <row r="35179" ht="12.75"/>
    <row r="35180" ht="12.75"/>
    <row r="35181" ht="12.75"/>
    <row r="35182" ht="12.75"/>
    <row r="35183" ht="12.75"/>
    <row r="35184" ht="12.75"/>
    <row r="35185" ht="12.75"/>
    <row r="35186" ht="12.75"/>
    <row r="35187" ht="12.75"/>
    <row r="35188" ht="12.75"/>
    <row r="35189" ht="12.75"/>
    <row r="35190" ht="12.75"/>
    <row r="35191" ht="12.75"/>
    <row r="35192" ht="12.75"/>
    <row r="35193" ht="12.75"/>
    <row r="35194" ht="12.75"/>
    <row r="35195" ht="12.75"/>
    <row r="35196" ht="12.75"/>
    <row r="35197" ht="12.75"/>
    <row r="35198" ht="12.75"/>
    <row r="35199" ht="12.75"/>
    <row r="35200" ht="12.75"/>
    <row r="35201" ht="12.75"/>
    <row r="35202" ht="12.75"/>
    <row r="35203" ht="12.75"/>
    <row r="35204" ht="12.75"/>
    <row r="35205" ht="12.75"/>
    <row r="35206" ht="12.75"/>
    <row r="35207" ht="12.75"/>
    <row r="35208" ht="12.75"/>
    <row r="35209" ht="12.75"/>
    <row r="35210" ht="12.75"/>
    <row r="35211" ht="12.75"/>
    <row r="35212" ht="12.75"/>
    <row r="35213" ht="12.75"/>
    <row r="35214" ht="12.75"/>
    <row r="35215" ht="12.75"/>
    <row r="35216" ht="12.75"/>
    <row r="35217" ht="12.75"/>
    <row r="35218" ht="12.75"/>
    <row r="35219" ht="12.75"/>
    <row r="35220" ht="12.75"/>
    <row r="35221" ht="12.75"/>
    <row r="35222" ht="12.75"/>
    <row r="35223" ht="12.75"/>
    <row r="35224" ht="12.75"/>
    <row r="35225" ht="12.75"/>
    <row r="35226" ht="12.75"/>
    <row r="35227" ht="12.75"/>
    <row r="35228" ht="12.75"/>
    <row r="35229" ht="12.75"/>
    <row r="35230" ht="12.75"/>
    <row r="35231" ht="12.75"/>
    <row r="35232" ht="12.75"/>
    <row r="35233" ht="12.75"/>
    <row r="35234" ht="12.75"/>
    <row r="35235" ht="12.75"/>
    <row r="35236" ht="12.75"/>
    <row r="35237" ht="12.75"/>
    <row r="35238" ht="12.75"/>
    <row r="35239" ht="12.75"/>
    <row r="35240" ht="12.75"/>
    <row r="35241" ht="12.75"/>
    <row r="35242" ht="12.75"/>
    <row r="35243" ht="12.75"/>
    <row r="35244" ht="12.75"/>
    <row r="35245" ht="12.75"/>
    <row r="35246" ht="12.75"/>
    <row r="35247" ht="12.75"/>
    <row r="35248" ht="12.75"/>
    <row r="35249" ht="12.75"/>
    <row r="35250" ht="12.75"/>
    <row r="35251" ht="12.75"/>
    <row r="35252" ht="12.75"/>
    <row r="35253" ht="12.75"/>
    <row r="35254" ht="12.75"/>
    <row r="35255" ht="12.75"/>
    <row r="35256" ht="12.75"/>
    <row r="35257" ht="12.75"/>
    <row r="35258" ht="12.75"/>
    <row r="35259" ht="12.75"/>
    <row r="35260" ht="12.75"/>
    <row r="35261" ht="12.75"/>
    <row r="35262" ht="12.75"/>
    <row r="35263" ht="12.75"/>
    <row r="35264" ht="12.75"/>
    <row r="35265" ht="12.75"/>
    <row r="35266" ht="12.75"/>
    <row r="35267" ht="12.75"/>
    <row r="35268" ht="12.75"/>
    <row r="35269" ht="12.75"/>
    <row r="35270" ht="12.75"/>
    <row r="35271" ht="12.75"/>
    <row r="35272" ht="12.75"/>
    <row r="35273" ht="12.75"/>
    <row r="35274" ht="12.75"/>
    <row r="35275" ht="12.75"/>
    <row r="35276" ht="12.75"/>
    <row r="35277" ht="12.75"/>
    <row r="35278" ht="12.75"/>
    <row r="35279" ht="12.75"/>
    <row r="35280" ht="12.75"/>
    <row r="35281" ht="12.75"/>
    <row r="35282" ht="12.75"/>
    <row r="35283" ht="12.75"/>
    <row r="35284" ht="12.75"/>
    <row r="35285" ht="12.75"/>
    <row r="35286" ht="12.75"/>
    <row r="35287" ht="12.75"/>
    <row r="35288" ht="12.75"/>
    <row r="35289" ht="12.75"/>
    <row r="35290" ht="12.75"/>
    <row r="35291" ht="12.75"/>
    <row r="35292" ht="12.75"/>
    <row r="35293" ht="12.75"/>
    <row r="35294" ht="12.75"/>
    <row r="35295" ht="12.75"/>
    <row r="35296" ht="12.75"/>
    <row r="35297" ht="12.75"/>
    <row r="35298" ht="12.75"/>
    <row r="35299" ht="12.75"/>
    <row r="35300" ht="12.75"/>
    <row r="35301" ht="12.75"/>
    <row r="35302" ht="12.75"/>
    <row r="35303" ht="12.75"/>
    <row r="35304" ht="12.75"/>
    <row r="35305" ht="12.75"/>
    <row r="35306" ht="12.75"/>
    <row r="35307" ht="12.75"/>
    <row r="35308" ht="12.75"/>
    <row r="35309" ht="12.75"/>
    <row r="35310" ht="12.75"/>
    <row r="35311" ht="12.75"/>
    <row r="35312" ht="12.75"/>
    <row r="35313" ht="12.75"/>
    <row r="35314" ht="12.75"/>
    <row r="35315" ht="12.75"/>
    <row r="35316" ht="12.75"/>
    <row r="35317" ht="12.75"/>
    <row r="35318" ht="12.75"/>
    <row r="35319" ht="12.75"/>
    <row r="35320" ht="12.75"/>
    <row r="35321" ht="12.75"/>
    <row r="35322" ht="12.75"/>
    <row r="35323" ht="12.75"/>
    <row r="35324" ht="12.75"/>
    <row r="35325" ht="12.75"/>
    <row r="35326" ht="12.75"/>
    <row r="35327" ht="12.75"/>
    <row r="35328" ht="12.75"/>
    <row r="35329" ht="12.75"/>
    <row r="35330" ht="12.75"/>
    <row r="35331" ht="12.75"/>
    <row r="35332" ht="12.75"/>
    <row r="35333" ht="12.75"/>
    <row r="35334" ht="12.75"/>
    <row r="35335" ht="12.75"/>
    <row r="35336" ht="12.75"/>
    <row r="35337" ht="12.75"/>
    <row r="35338" ht="12.75"/>
    <row r="35339" ht="12.75"/>
    <row r="35340" ht="12.75"/>
    <row r="35341" ht="12.75"/>
    <row r="35342" ht="12.75"/>
    <row r="35343" ht="12.75"/>
    <row r="35344" ht="12.75"/>
    <row r="35345" ht="12.75"/>
    <row r="35346" ht="12.75"/>
    <row r="35347" ht="12.75"/>
    <row r="35348" ht="12.75"/>
    <row r="35349" ht="12.75"/>
    <row r="35350" ht="12.75"/>
    <row r="35351" ht="12.75"/>
    <row r="35352" ht="12.75"/>
    <row r="35353" ht="12.75"/>
    <row r="35354" ht="12.75"/>
    <row r="35355" ht="12.75"/>
    <row r="35356" ht="12.75"/>
    <row r="35357" ht="12.75"/>
    <row r="35358" ht="12.75"/>
    <row r="35359" ht="12.75"/>
    <row r="35360" ht="12.75"/>
    <row r="35361" ht="12.75"/>
    <row r="35362" ht="12.75"/>
    <row r="35363" ht="12.75"/>
    <row r="35364" ht="12.75"/>
    <row r="35365" ht="12.75"/>
    <row r="35366" ht="12.75"/>
    <row r="35367" ht="12.75"/>
    <row r="35368" ht="12.75"/>
    <row r="35369" ht="12.75"/>
    <row r="35370" ht="12.75"/>
    <row r="35371" ht="12.75"/>
    <row r="35372" ht="12.75"/>
    <row r="35373" ht="12.75"/>
    <row r="35374" ht="12.75"/>
    <row r="35375" ht="12.75"/>
    <row r="35376" ht="12.75"/>
    <row r="35377" ht="12.75"/>
    <row r="35378" ht="12.75"/>
    <row r="35379" ht="12.75"/>
    <row r="35380" ht="12.75"/>
    <row r="35381" ht="12.75"/>
    <row r="35382" ht="12.75"/>
    <row r="35383" ht="12.75"/>
    <row r="35384" ht="12.75"/>
    <row r="35385" ht="12.75"/>
    <row r="35386" ht="12.75"/>
    <row r="35387" ht="12.75"/>
    <row r="35388" ht="12.75"/>
    <row r="35389" ht="12.75"/>
    <row r="35390" ht="12.75"/>
    <row r="35391" ht="12.75"/>
    <row r="35392" ht="12.75"/>
    <row r="35393" ht="12.75"/>
    <row r="35394" ht="12.75"/>
    <row r="35395" ht="12.75"/>
    <row r="35396" ht="12.75"/>
    <row r="35397" ht="12.75"/>
    <row r="35398" ht="12.75"/>
    <row r="35399" ht="12.75"/>
    <row r="35400" ht="12.75"/>
    <row r="35401" ht="12.75"/>
    <row r="35402" ht="12.75"/>
    <row r="35403" ht="12.75"/>
    <row r="35404" ht="12.75"/>
    <row r="35405" ht="12.75"/>
    <row r="35406" ht="12.75"/>
    <row r="35407" ht="12.75"/>
    <row r="35408" ht="12.75"/>
    <row r="35409" ht="12.75"/>
    <row r="35410" ht="12.75"/>
    <row r="35411" ht="12.75"/>
    <row r="35412" ht="12.75"/>
    <row r="35413" ht="12.75"/>
    <row r="35414" ht="12.75"/>
    <row r="35415" ht="12.75"/>
    <row r="35416" ht="12.75"/>
    <row r="35417" ht="12.75"/>
    <row r="35418" ht="12.75"/>
    <row r="35419" ht="12.75"/>
    <row r="35420" ht="12.75"/>
    <row r="35421" ht="12.75"/>
    <row r="35422" ht="12.75"/>
    <row r="35423" ht="12.75"/>
    <row r="35424" ht="12.75"/>
    <row r="35425" ht="12.75"/>
    <row r="35426" ht="12.75"/>
    <row r="35427" ht="12.75"/>
    <row r="35428" ht="12.75"/>
    <row r="35429" ht="12.75"/>
    <row r="35430" ht="12.75"/>
    <row r="35431" ht="12.75"/>
    <row r="35432" ht="12.75"/>
    <row r="35433" ht="12.75"/>
    <row r="35434" ht="12.75"/>
    <row r="35435" ht="12.75"/>
    <row r="35436" ht="12.75"/>
    <row r="35437" ht="12.75"/>
    <row r="35438" ht="12.75"/>
    <row r="35439" ht="12.75"/>
    <row r="35440" ht="12.75"/>
    <row r="35441" ht="12.75"/>
    <row r="35442" ht="12.75"/>
    <row r="35443" ht="12.75"/>
    <row r="35444" ht="12.75"/>
    <row r="35445" ht="12.75"/>
    <row r="35446" ht="12.75"/>
    <row r="35447" ht="12.75"/>
    <row r="35448" ht="12.75"/>
    <row r="35449" ht="12.75"/>
    <row r="35450" ht="12.75"/>
    <row r="35451" ht="12.75"/>
    <row r="35452" ht="12.75"/>
    <row r="35453" ht="12.75"/>
    <row r="35454" ht="12.75"/>
    <row r="35455" ht="12.75"/>
    <row r="35456" ht="12.75"/>
    <row r="35457" ht="12.75"/>
    <row r="35458" ht="12.75"/>
    <row r="35459" ht="12.75"/>
    <row r="35460" ht="12.75"/>
    <row r="35461" ht="12.75"/>
    <row r="35462" ht="12.75"/>
    <row r="35463" ht="12.75"/>
    <row r="35464" ht="12.75"/>
    <row r="35465" ht="12.75"/>
    <row r="35466" ht="12.75"/>
    <row r="35467" ht="12.75"/>
    <row r="35468" ht="12.75"/>
    <row r="35469" ht="12.75"/>
    <row r="35470" ht="12.75"/>
    <row r="35471" ht="12.75"/>
    <row r="35472" ht="12.75"/>
    <row r="35473" ht="12.75"/>
    <row r="35474" ht="12.75"/>
    <row r="35475" ht="12.75"/>
    <row r="35476" ht="12.75"/>
    <row r="35477" ht="12.75"/>
    <row r="35478" ht="12.75"/>
    <row r="35479" ht="12.75"/>
    <row r="35480" ht="12.75"/>
    <row r="35481" ht="12.75"/>
    <row r="35482" ht="12.75"/>
    <row r="35483" ht="12.75"/>
    <row r="35484" ht="12.75"/>
    <row r="35485" ht="12.75"/>
    <row r="35486" ht="12.75"/>
    <row r="35487" ht="12.75"/>
    <row r="35488" ht="12.75"/>
    <row r="35489" ht="12.75"/>
    <row r="35490" ht="12.75"/>
    <row r="35491" ht="12.75"/>
    <row r="35492" ht="12.75"/>
    <row r="35493" ht="12.75"/>
    <row r="35494" ht="12.75"/>
    <row r="35495" ht="12.75"/>
    <row r="35496" ht="12.75"/>
    <row r="35497" ht="12.75"/>
    <row r="35498" ht="12.75"/>
    <row r="35499" ht="12.75"/>
    <row r="35500" ht="12.75"/>
    <row r="35501" ht="12.75"/>
    <row r="35502" ht="12.75"/>
    <row r="35503" ht="12.75"/>
    <row r="35504" ht="12.75"/>
    <row r="35505" ht="12.75"/>
    <row r="35506" ht="12.75"/>
    <row r="35507" ht="12.75"/>
    <row r="35508" ht="12.75"/>
    <row r="35509" ht="12.75"/>
    <row r="35510" ht="12.75"/>
    <row r="35511" ht="12.75"/>
    <row r="35512" ht="12.75"/>
    <row r="35513" ht="12.75"/>
    <row r="35514" ht="12.75"/>
    <row r="35515" ht="12.75"/>
    <row r="35516" ht="12.75"/>
    <row r="35517" ht="12.75"/>
    <row r="35518" ht="12.75"/>
    <row r="35519" ht="12.75"/>
    <row r="35520" ht="12.75"/>
    <row r="35521" ht="12.75"/>
    <row r="35522" ht="12.75"/>
    <row r="35523" ht="12.75"/>
    <row r="35524" ht="12.75"/>
    <row r="35525" ht="12.75"/>
    <row r="35526" ht="12.75"/>
    <row r="35527" ht="12.75"/>
    <row r="35528" ht="12.75"/>
    <row r="35529" ht="12.75"/>
    <row r="35530" ht="12.75"/>
    <row r="35531" ht="12.75"/>
    <row r="35532" ht="12.75"/>
    <row r="35533" ht="12.75"/>
    <row r="35534" ht="12.75"/>
    <row r="35535" ht="12.75"/>
    <row r="35536" ht="12.75"/>
    <row r="35537" ht="12.75"/>
    <row r="35538" ht="12.75"/>
    <row r="35539" ht="12.75"/>
    <row r="35540" ht="12.75"/>
    <row r="35541" ht="12.75"/>
    <row r="35542" ht="12.75"/>
    <row r="35543" ht="12.75"/>
    <row r="35544" ht="12.75"/>
    <row r="35545" ht="12.75"/>
    <row r="35546" ht="12.75"/>
    <row r="35547" ht="12.75"/>
    <row r="35548" ht="12.75"/>
    <row r="35549" ht="12.75"/>
    <row r="35550" ht="12.75"/>
    <row r="35551" ht="12.75"/>
    <row r="35552" ht="12.75"/>
    <row r="35553" ht="12.75"/>
    <row r="35554" ht="12.75"/>
    <row r="35555" ht="12.75"/>
    <row r="35556" ht="12.75"/>
    <row r="35557" ht="12.75"/>
    <row r="35558" ht="12.75"/>
    <row r="35559" ht="12.75"/>
    <row r="35560" ht="12.75"/>
    <row r="35561" ht="12.75"/>
    <row r="35562" ht="12.75"/>
    <row r="35563" ht="12.75"/>
    <row r="35564" ht="12.75"/>
    <row r="35565" ht="12.75"/>
    <row r="35566" ht="12.75"/>
    <row r="35567" ht="12.75"/>
    <row r="35568" ht="12.75"/>
    <row r="35569" ht="12.75"/>
    <row r="35570" ht="12.75"/>
    <row r="35571" ht="12.75"/>
    <row r="35572" ht="12.75"/>
    <row r="35573" ht="12.75"/>
    <row r="35574" ht="12.75"/>
    <row r="35575" ht="12.75"/>
    <row r="35576" ht="12.75"/>
    <row r="35577" ht="12.75"/>
    <row r="35578" ht="12.75"/>
    <row r="35579" ht="12.75"/>
    <row r="35580" ht="12.75"/>
    <row r="35581" ht="12.75"/>
    <row r="35582" ht="12.75"/>
    <row r="35583" ht="12.75"/>
    <row r="35584" ht="12.75"/>
    <row r="35585" ht="12.75"/>
    <row r="35586" ht="12.75"/>
    <row r="35587" ht="12.75"/>
    <row r="35588" ht="12.75"/>
    <row r="35589" ht="12.75"/>
    <row r="35590" ht="12.75"/>
    <row r="35591" ht="12.75"/>
    <row r="35592" ht="12.75"/>
    <row r="35593" ht="12.75"/>
    <row r="35594" ht="12.75"/>
    <row r="35595" ht="12.75"/>
    <row r="35596" ht="12.75"/>
    <row r="35597" ht="12.75"/>
    <row r="35598" ht="12.75"/>
    <row r="35599" ht="12.75"/>
    <row r="35600" ht="12.75"/>
    <row r="35601" ht="12.75"/>
    <row r="35602" ht="12.75"/>
    <row r="35603" ht="12.75"/>
    <row r="35604" ht="12.75"/>
    <row r="35605" ht="12.75"/>
    <row r="35606" ht="12.75"/>
    <row r="35607" ht="12.75"/>
    <row r="35608" ht="12.75"/>
    <row r="35609" ht="12.75"/>
    <row r="35610" ht="12.75"/>
    <row r="35611" ht="12.75"/>
    <row r="35612" ht="12.75"/>
    <row r="35613" ht="12.75"/>
    <row r="35614" ht="12.75"/>
    <row r="35615" ht="12.75"/>
    <row r="35616" ht="12.75"/>
    <row r="35617" ht="12.75"/>
    <row r="35618" ht="12.75"/>
    <row r="35619" ht="12.75"/>
    <row r="35620" ht="12.75"/>
    <row r="35621" ht="12.75"/>
    <row r="35622" ht="12.75"/>
    <row r="35623" ht="12.75"/>
    <row r="35624" ht="12.75"/>
    <row r="35625" ht="12.75"/>
    <row r="35626" ht="12.75"/>
    <row r="35627" ht="12.75"/>
    <row r="35628" ht="12.75"/>
    <row r="35629" ht="12.75"/>
    <row r="35630" ht="12.75"/>
    <row r="35631" ht="12.75"/>
    <row r="35632" ht="12.75"/>
    <row r="35633" ht="12.75"/>
    <row r="35634" ht="12.75"/>
    <row r="35635" ht="12.75"/>
    <row r="35636" ht="12.75"/>
    <row r="35637" ht="12.75"/>
    <row r="35638" ht="12.75"/>
    <row r="35639" ht="12.75"/>
    <row r="35640" ht="12.75"/>
    <row r="35641" ht="12.75"/>
    <row r="35642" ht="12.75"/>
    <row r="35643" ht="12.75"/>
    <row r="35644" ht="12.75"/>
    <row r="35645" ht="12.75"/>
    <row r="35646" ht="12.75"/>
    <row r="35647" ht="12.75"/>
    <row r="35648" ht="12.75"/>
    <row r="35649" ht="12.75"/>
    <row r="35650" ht="12.75"/>
    <row r="35651" ht="12.75"/>
    <row r="35652" ht="12.75"/>
    <row r="35653" ht="12.75"/>
    <row r="35654" ht="12.75"/>
    <row r="35655" ht="12.75"/>
    <row r="35656" ht="12.75"/>
    <row r="35657" ht="12.75"/>
    <row r="35658" ht="12.75"/>
    <row r="35659" ht="12.75"/>
    <row r="35660" ht="12.75"/>
    <row r="35661" ht="12.75"/>
    <row r="35662" ht="12.75"/>
    <row r="35663" ht="12.75"/>
    <row r="35664" ht="12.75"/>
    <row r="35665" ht="12.75"/>
    <row r="35666" ht="12.75"/>
    <row r="35667" ht="12.75"/>
    <row r="35668" ht="12.75"/>
    <row r="35669" ht="12.75"/>
    <row r="35670" ht="12.75"/>
    <row r="35671" ht="12.75"/>
    <row r="35672" ht="12.75"/>
    <row r="35673" ht="12.75"/>
    <row r="35674" ht="12.75"/>
    <row r="35675" ht="12.75"/>
    <row r="35676" ht="12.75"/>
    <row r="35677" ht="12.75"/>
    <row r="35678" ht="12.75"/>
    <row r="35679" ht="12.75"/>
    <row r="35680" ht="12.75"/>
    <row r="35681" ht="12.75"/>
    <row r="35682" ht="12.75"/>
    <row r="35683" ht="12.75"/>
    <row r="35684" ht="12.75"/>
    <row r="35685" ht="12.75"/>
    <row r="35686" ht="12.75"/>
    <row r="35687" ht="12.75"/>
    <row r="35688" ht="12.75"/>
    <row r="35689" ht="12.75"/>
    <row r="35690" ht="12.75"/>
    <row r="35691" ht="12.75"/>
    <row r="35692" ht="12.75"/>
    <row r="35693" ht="12.75"/>
    <row r="35694" ht="12.75"/>
    <row r="35695" ht="12.75"/>
    <row r="35696" ht="12.75"/>
    <row r="35697" ht="12.75"/>
    <row r="35698" ht="12.75"/>
    <row r="35699" ht="12.75"/>
    <row r="35700" ht="12.75"/>
    <row r="35701" ht="12.75"/>
    <row r="35702" ht="12.75"/>
    <row r="35703" ht="12.75"/>
    <row r="35704" ht="12.75"/>
    <row r="35705" ht="12.75"/>
    <row r="35706" ht="12.75"/>
    <row r="35707" ht="12.75"/>
    <row r="35708" ht="12.75"/>
    <row r="35709" ht="12.75"/>
    <row r="35710" ht="12.75"/>
    <row r="35711" ht="12.75"/>
    <row r="35712" ht="12.75"/>
    <row r="35713" ht="12.75"/>
    <row r="35714" ht="12.75"/>
    <row r="35715" ht="12.75"/>
    <row r="35716" ht="12.75"/>
    <row r="35717" ht="12.75"/>
    <row r="35718" ht="12.75"/>
    <row r="35719" ht="12.75"/>
    <row r="35720" ht="12.75"/>
    <row r="35721" ht="12.75"/>
    <row r="35722" ht="12.75"/>
    <row r="35723" ht="12.75"/>
    <row r="35724" ht="12.75"/>
    <row r="35725" ht="12.75"/>
    <row r="35726" ht="12.75"/>
    <row r="35727" ht="12.75"/>
    <row r="35728" ht="12.75"/>
    <row r="35729" ht="12.75"/>
    <row r="35730" ht="12.75"/>
    <row r="35731" ht="12.75"/>
    <row r="35732" ht="12.75"/>
    <row r="35733" ht="12.75"/>
    <row r="35734" ht="12.75"/>
    <row r="35735" ht="12.75"/>
    <row r="35736" ht="12.75"/>
    <row r="35737" ht="12.75"/>
    <row r="35738" ht="12.75"/>
    <row r="35739" ht="12.75"/>
    <row r="35740" ht="12.75"/>
    <row r="35741" ht="12.75"/>
    <row r="35742" ht="12.75"/>
    <row r="35743" ht="12.75"/>
    <row r="35744" ht="12.75"/>
    <row r="35745" ht="12.75"/>
    <row r="35746" ht="12.75"/>
    <row r="35747" ht="12.75"/>
    <row r="35748" ht="12.75"/>
    <row r="35749" ht="12.75"/>
    <row r="35750" ht="12.75"/>
    <row r="35751" ht="12.75"/>
    <row r="35752" ht="12.75"/>
    <row r="35753" ht="12.75"/>
    <row r="35754" ht="12.75"/>
    <row r="35755" ht="12.75"/>
    <row r="35756" ht="12.75"/>
    <row r="35757" ht="12.75"/>
    <row r="35758" ht="12.75"/>
    <row r="35759" ht="12.75"/>
    <row r="35760" ht="12.75"/>
    <row r="35761" ht="12.75"/>
    <row r="35762" ht="12.75"/>
    <row r="35763" ht="12.75"/>
    <row r="35764" ht="12.75"/>
    <row r="35765" ht="12.75"/>
    <row r="35766" ht="12.75"/>
    <row r="35767" ht="12.75"/>
    <row r="35768" ht="12.75"/>
    <row r="35769" ht="12.75"/>
    <row r="35770" ht="12.75"/>
    <row r="35771" ht="12.75"/>
    <row r="35772" ht="12.75"/>
    <row r="35773" ht="12.75"/>
    <row r="35774" ht="12.75"/>
    <row r="35775" ht="12.75"/>
    <row r="35776" ht="12.75"/>
    <row r="35777" ht="12.75"/>
    <row r="35778" ht="12.75"/>
    <row r="35779" ht="12.75"/>
    <row r="35780" ht="12.75"/>
    <row r="35781" ht="12.75"/>
    <row r="35782" ht="12.75"/>
    <row r="35783" ht="12.75"/>
    <row r="35784" ht="12.75"/>
    <row r="35785" ht="12.75"/>
    <row r="35786" ht="12.75"/>
    <row r="35787" ht="12.75"/>
    <row r="35788" ht="12.75"/>
    <row r="35789" ht="12.75"/>
    <row r="35790" ht="12.75"/>
    <row r="35791" ht="12.75"/>
    <row r="35792" ht="12.75"/>
    <row r="35793" ht="12.75"/>
    <row r="35794" ht="12.75"/>
    <row r="35795" ht="12.75"/>
    <row r="35796" ht="12.75"/>
    <row r="35797" ht="12.75"/>
    <row r="35798" ht="12.75"/>
    <row r="35799" ht="12.75"/>
    <row r="35800" ht="12.75"/>
    <row r="35801" ht="12.75"/>
    <row r="35802" ht="12.75"/>
    <row r="35803" ht="12.75"/>
    <row r="35804" ht="12.75"/>
    <row r="35805" ht="12.75"/>
    <row r="35806" ht="12.75"/>
    <row r="35807" ht="12.75"/>
    <row r="35808" ht="12.75"/>
    <row r="35809" ht="12.75"/>
    <row r="35810" ht="12.75"/>
    <row r="35811" ht="12.75"/>
    <row r="35812" ht="12.75"/>
    <row r="35813" ht="12.75"/>
    <row r="35814" ht="12.75"/>
    <row r="35815" ht="12.75"/>
    <row r="35816" ht="12.75"/>
    <row r="35817" ht="12.75"/>
    <row r="35818" ht="12.75"/>
    <row r="35819" ht="12.75"/>
    <row r="35820" ht="12.75"/>
    <row r="35821" ht="12.75"/>
    <row r="35822" ht="12.75"/>
    <row r="35823" ht="12.75"/>
    <row r="35824" ht="12.75"/>
    <row r="35825" ht="12.75"/>
    <row r="35826" ht="12.75"/>
    <row r="35827" ht="12.75"/>
    <row r="35828" ht="12.75"/>
    <row r="35829" ht="12.75"/>
    <row r="35830" ht="12.75"/>
    <row r="35831" ht="12.75"/>
    <row r="35832" ht="12.75"/>
    <row r="35833" ht="12.75"/>
    <row r="35834" ht="12.75"/>
    <row r="35835" ht="12.75"/>
    <row r="35836" ht="12.75"/>
    <row r="35837" ht="12.75"/>
    <row r="35838" ht="12.75"/>
    <row r="35839" ht="12.75"/>
    <row r="35840" ht="12.75"/>
    <row r="35841" ht="12.75"/>
    <row r="35842" ht="12.75"/>
    <row r="35843" ht="12.75"/>
    <row r="35844" ht="12.75"/>
    <row r="35845" ht="12.75"/>
    <row r="35846" ht="12.75"/>
    <row r="35847" ht="12.75"/>
    <row r="35848" ht="12.75"/>
    <row r="35849" ht="12.75"/>
    <row r="35850" ht="12.75"/>
    <row r="35851" ht="12.75"/>
    <row r="35852" ht="12.75"/>
    <row r="35853" ht="12.75"/>
    <row r="35854" ht="12.75"/>
    <row r="35855" ht="12.75"/>
    <row r="35856" ht="12.75"/>
    <row r="35857" ht="12.75"/>
    <row r="35858" ht="12.75"/>
    <row r="35859" ht="12.75"/>
    <row r="35860" ht="12.75"/>
    <row r="35861" ht="12.75"/>
    <row r="35862" ht="12.75"/>
    <row r="35863" ht="12.75"/>
    <row r="35864" ht="12.75"/>
    <row r="35865" ht="12.75"/>
    <row r="35866" ht="12.75"/>
    <row r="35867" ht="12.75"/>
    <row r="35868" ht="12.75"/>
    <row r="35869" ht="12.75"/>
    <row r="35870" ht="12.75"/>
    <row r="35871" ht="12.75"/>
    <row r="35872" ht="12.75"/>
    <row r="35873" ht="12.75"/>
    <row r="35874" ht="12.75"/>
    <row r="35875" ht="12.75"/>
    <row r="35876" ht="12.75"/>
    <row r="35877" ht="12.75"/>
    <row r="35878" ht="12.75"/>
    <row r="35879" ht="12.75"/>
    <row r="35880" ht="12.75"/>
    <row r="35881" ht="12.75"/>
    <row r="35882" ht="12.75"/>
    <row r="35883" ht="12.75"/>
    <row r="35884" ht="12.75"/>
    <row r="35885" ht="12.75"/>
    <row r="35886" ht="12.75"/>
    <row r="35887" ht="12.75"/>
    <row r="35888" ht="12.75"/>
    <row r="35889" ht="12.75"/>
    <row r="35890" ht="12.75"/>
    <row r="35891" ht="12.75"/>
    <row r="35892" ht="12.75"/>
    <row r="35893" ht="12.75"/>
    <row r="35894" ht="12.75"/>
    <row r="35895" ht="12.75"/>
    <row r="35896" ht="12.75"/>
    <row r="35897" ht="12.75"/>
    <row r="35898" ht="12.75"/>
    <row r="35899" ht="12.75"/>
    <row r="35900" ht="12.75"/>
    <row r="35901" ht="12.75"/>
    <row r="35902" ht="12.75"/>
    <row r="35903" ht="12.75"/>
    <row r="35904" ht="12.75"/>
    <row r="35905" ht="12.75"/>
    <row r="35906" ht="12.75"/>
    <row r="35907" ht="12.75"/>
    <row r="35908" ht="12.75"/>
    <row r="35909" ht="12.75"/>
    <row r="35910" ht="12.75"/>
    <row r="35911" ht="12.75"/>
    <row r="35912" ht="12.75"/>
    <row r="35913" ht="12.75"/>
    <row r="35914" ht="12.75"/>
    <row r="35915" ht="12.75"/>
    <row r="35916" ht="12.75"/>
    <row r="35917" ht="12.75"/>
    <row r="35918" ht="12.75"/>
    <row r="35919" ht="12.75"/>
    <row r="35920" ht="12.75"/>
    <row r="35921" ht="12.75"/>
    <row r="35922" ht="12.75"/>
    <row r="35923" ht="12.75"/>
    <row r="35924" ht="12.75"/>
    <row r="35925" ht="12.75"/>
    <row r="35926" ht="12.75"/>
    <row r="35927" ht="12.75"/>
    <row r="35928" ht="12.75"/>
    <row r="35929" ht="12.75"/>
    <row r="35930" ht="12.75"/>
    <row r="35931" ht="12.75"/>
    <row r="35932" ht="12.75"/>
    <row r="35933" ht="12.75"/>
    <row r="35934" ht="12.75"/>
    <row r="35935" ht="12.75"/>
    <row r="35936" ht="12.75"/>
    <row r="35937" ht="12.75"/>
    <row r="35938" ht="12.75"/>
    <row r="35939" ht="12.75"/>
    <row r="35940" ht="12.75"/>
    <row r="35941" ht="12.75"/>
    <row r="35942" ht="12.75"/>
    <row r="35943" ht="12.75"/>
    <row r="35944" ht="12.75"/>
    <row r="35945" ht="12.75"/>
    <row r="35946" ht="12.75"/>
    <row r="35947" ht="12.75"/>
    <row r="35948" ht="12.75"/>
    <row r="35949" ht="12.75"/>
    <row r="35950" ht="12.75"/>
    <row r="35951" ht="12.75"/>
    <row r="35952" ht="12.75"/>
    <row r="35953" ht="12.75"/>
    <row r="35954" ht="12.75"/>
    <row r="35955" ht="12.75"/>
    <row r="35956" ht="12.75"/>
    <row r="35957" ht="12.75"/>
    <row r="35958" ht="12.75"/>
    <row r="35959" ht="12.75"/>
    <row r="35960" ht="12.75"/>
    <row r="35961" ht="12.75"/>
    <row r="35962" ht="12.75"/>
    <row r="35963" ht="12.75"/>
    <row r="35964" ht="12.75"/>
    <row r="35965" ht="12.75"/>
    <row r="35966" ht="12.75"/>
    <row r="35967" ht="12.75"/>
    <row r="35968" ht="12.75"/>
    <row r="35969" ht="12.75"/>
    <row r="35970" ht="12.75"/>
    <row r="35971" ht="12.75"/>
    <row r="35972" ht="12.75"/>
    <row r="35973" ht="12.75"/>
    <row r="35974" ht="12.75"/>
    <row r="35975" ht="12.75"/>
    <row r="35976" ht="12.75"/>
    <row r="35977" ht="12.75"/>
    <row r="35978" ht="12.75"/>
    <row r="35979" ht="12.75"/>
    <row r="35980" ht="12.75"/>
    <row r="35981" ht="12.75"/>
    <row r="35982" ht="12.75"/>
    <row r="35983" ht="12.75"/>
    <row r="35984" ht="12.75"/>
    <row r="35985" ht="12.75"/>
    <row r="35986" ht="12.75"/>
    <row r="35987" ht="12.75"/>
    <row r="35988" ht="12.75"/>
    <row r="35989" ht="12.75"/>
    <row r="35990" ht="12.75"/>
    <row r="35991" ht="12.75"/>
    <row r="35992" ht="12.75"/>
    <row r="35993" ht="12.75"/>
    <row r="35994" ht="12.75"/>
    <row r="35995" ht="12.75"/>
    <row r="35996" ht="12.75"/>
    <row r="35997" ht="12.75"/>
    <row r="35998" ht="12.75"/>
    <row r="35999" ht="12.75"/>
    <row r="36000" ht="12.75"/>
    <row r="36001" ht="12.75"/>
    <row r="36002" ht="12.75"/>
    <row r="36003" ht="12.75"/>
    <row r="36004" ht="12.75"/>
    <row r="36005" ht="12.75"/>
    <row r="36006" ht="12.75"/>
    <row r="36007" ht="12.75"/>
    <row r="36008" ht="12.75"/>
    <row r="36009" ht="12.75"/>
    <row r="36010" ht="12.75"/>
    <row r="36011" ht="12.75"/>
    <row r="36012" ht="12.75"/>
    <row r="36013" ht="12.75"/>
    <row r="36014" ht="12.75"/>
    <row r="36015" ht="12.75"/>
    <row r="36016" ht="12.75"/>
    <row r="36017" ht="12.75"/>
    <row r="36018" ht="12.75"/>
    <row r="36019" ht="12.75"/>
    <row r="36020" ht="12.75"/>
    <row r="36021" ht="12.75"/>
    <row r="36022" ht="12.75"/>
    <row r="36023" ht="12.75"/>
    <row r="36024" ht="12.75"/>
    <row r="36025" ht="12.75"/>
    <row r="36026" ht="12.75"/>
    <row r="36027" ht="12.75"/>
    <row r="36028" ht="12.75"/>
    <row r="36029" ht="12.75"/>
    <row r="36030" ht="12.75"/>
    <row r="36031" ht="12.75"/>
    <row r="36032" ht="12.75"/>
    <row r="36033" ht="12.75"/>
    <row r="36034" ht="12.75"/>
    <row r="36035" ht="12.75"/>
    <row r="36036" ht="12.75"/>
    <row r="36037" ht="12.75"/>
    <row r="36038" ht="12.75"/>
    <row r="36039" ht="12.75"/>
    <row r="36040" ht="12.75"/>
    <row r="36041" ht="12.75"/>
    <row r="36042" ht="12.75"/>
    <row r="36043" ht="12.75"/>
    <row r="36044" ht="12.75"/>
    <row r="36045" ht="12.75"/>
    <row r="36046" ht="12.75"/>
    <row r="36047" ht="12.75"/>
    <row r="36048" ht="12.75"/>
    <row r="36049" ht="12.75"/>
    <row r="36050" ht="12.75"/>
    <row r="36051" ht="12.75"/>
    <row r="36052" ht="12.75"/>
    <row r="36053" ht="12.75"/>
    <row r="36054" ht="12.75"/>
    <row r="36055" ht="12.75"/>
    <row r="36056" ht="12.75"/>
    <row r="36057" ht="12.75"/>
    <row r="36058" ht="12.75"/>
    <row r="36059" ht="12.75"/>
    <row r="36060" ht="12.75"/>
    <row r="36061" ht="12.75"/>
    <row r="36062" ht="12.75"/>
    <row r="36063" ht="12.75"/>
    <row r="36064" ht="12.75"/>
    <row r="36065" ht="12.75"/>
    <row r="36066" ht="12.75"/>
    <row r="36067" ht="12.75"/>
    <row r="36068" ht="12.75"/>
    <row r="36069" ht="12.75"/>
    <row r="36070" ht="12.75"/>
    <row r="36071" ht="12.75"/>
    <row r="36072" ht="12.75"/>
    <row r="36073" ht="12.75"/>
    <row r="36074" ht="12.75"/>
    <row r="36075" ht="12.75"/>
    <row r="36076" ht="12.75"/>
    <row r="36077" ht="12.75"/>
    <row r="36078" ht="12.75"/>
    <row r="36079" ht="12.75"/>
    <row r="36080" ht="12.75"/>
    <row r="36081" ht="12.75"/>
    <row r="36082" ht="12.75"/>
    <row r="36083" ht="12.75"/>
    <row r="36084" ht="12.75"/>
    <row r="36085" ht="12.75"/>
    <row r="36086" ht="12.75"/>
    <row r="36087" ht="12.75"/>
    <row r="36088" ht="12.75"/>
    <row r="36089" ht="12.75"/>
    <row r="36090" ht="12.75"/>
    <row r="36091" ht="12.75"/>
    <row r="36092" ht="12.75"/>
    <row r="36093" ht="12.75"/>
    <row r="36094" ht="12.75"/>
    <row r="36095" ht="12.75"/>
    <row r="36096" ht="12.75"/>
    <row r="36097" ht="12.75"/>
    <row r="36098" ht="12.75"/>
    <row r="36099" ht="12.75"/>
    <row r="36100" ht="12.75"/>
    <row r="36101" ht="12.75"/>
    <row r="36102" ht="12.75"/>
    <row r="36103" ht="12.75"/>
    <row r="36104" ht="12.75"/>
    <row r="36105" ht="12.75"/>
    <row r="36106" ht="12.75"/>
    <row r="36107" ht="12.75"/>
    <row r="36108" ht="12.75"/>
    <row r="36109" ht="12.75"/>
    <row r="36110" ht="12.75"/>
    <row r="36111" ht="12.75"/>
    <row r="36112" ht="12.75"/>
    <row r="36113" ht="12.75"/>
    <row r="36114" ht="12.75"/>
    <row r="36115" ht="12.75"/>
    <row r="36116" ht="12.75"/>
    <row r="36117" ht="12.75"/>
    <row r="36118" ht="12.75"/>
    <row r="36119" ht="12.75"/>
    <row r="36120" ht="12.75"/>
    <row r="36121" ht="12.75"/>
    <row r="36122" ht="12.75"/>
    <row r="36123" ht="12.75"/>
    <row r="36124" ht="12.75"/>
    <row r="36125" ht="12.75"/>
    <row r="36126" ht="12.75"/>
    <row r="36127" ht="12.75"/>
    <row r="36128" ht="12.75"/>
    <row r="36129" ht="12.75"/>
    <row r="36130" ht="12.75"/>
    <row r="36131" ht="12.75"/>
    <row r="36132" ht="12.75"/>
    <row r="36133" ht="12.75"/>
    <row r="36134" ht="12.75"/>
    <row r="36135" ht="12.75"/>
    <row r="36136" ht="12.75"/>
    <row r="36137" ht="12.75"/>
    <row r="36138" ht="12.75"/>
    <row r="36139" ht="12.75"/>
    <row r="36140" ht="12.75"/>
    <row r="36141" ht="12.75"/>
    <row r="36142" ht="12.75"/>
    <row r="36143" ht="12.75"/>
    <row r="36144" ht="12.75"/>
    <row r="36145" ht="12.75"/>
    <row r="36146" ht="12.75"/>
    <row r="36147" ht="12.75"/>
    <row r="36148" ht="12.75"/>
    <row r="36149" ht="12.75"/>
    <row r="36150" ht="12.75"/>
    <row r="36151" ht="12.75"/>
    <row r="36152" ht="12.75"/>
    <row r="36153" ht="12.75"/>
    <row r="36154" ht="12.75"/>
    <row r="36155" ht="12.75"/>
    <row r="36156" ht="12.75"/>
    <row r="36157" ht="12.75"/>
    <row r="36158" ht="12.75"/>
    <row r="36159" ht="12.75"/>
    <row r="36160" ht="12.75"/>
    <row r="36161" ht="12.75"/>
    <row r="36162" ht="12.75"/>
    <row r="36163" ht="12.75"/>
    <row r="36164" ht="12.75"/>
    <row r="36165" ht="12.75"/>
    <row r="36166" ht="12.75"/>
    <row r="36167" ht="12.75"/>
    <row r="36168" ht="12.75"/>
    <row r="36169" ht="12.75"/>
    <row r="36170" ht="12.75"/>
    <row r="36171" ht="12.75"/>
    <row r="36172" ht="12.75"/>
    <row r="36173" ht="12.75"/>
    <row r="36174" ht="12.75"/>
    <row r="36175" ht="12.75"/>
    <row r="36176" ht="12.75"/>
    <row r="36177" ht="12.75"/>
    <row r="36178" ht="12.75"/>
    <row r="36179" ht="12.75"/>
    <row r="36180" ht="12.75"/>
    <row r="36181" ht="12.75"/>
    <row r="36182" ht="12.75"/>
    <row r="36183" ht="12.75"/>
    <row r="36184" ht="12.75"/>
    <row r="36185" ht="12.75"/>
    <row r="36186" ht="12.75"/>
    <row r="36187" ht="12.75"/>
    <row r="36188" ht="12.75"/>
    <row r="36189" ht="12.75"/>
    <row r="36190" ht="12.75"/>
    <row r="36191" ht="12.75"/>
    <row r="36192" ht="12.75"/>
    <row r="36193" ht="12.75"/>
    <row r="36194" ht="12.75"/>
    <row r="36195" ht="12.75"/>
    <row r="36196" ht="12.75"/>
    <row r="36197" ht="12.75"/>
    <row r="36198" ht="12.75"/>
    <row r="36199" ht="12.75"/>
    <row r="36200" ht="12.75"/>
    <row r="36201" ht="12.75"/>
    <row r="36202" ht="12.75"/>
    <row r="36203" ht="12.75"/>
    <row r="36204" ht="12.75"/>
    <row r="36205" ht="12.75"/>
    <row r="36206" ht="12.75"/>
    <row r="36207" ht="12.75"/>
    <row r="36208" ht="12.75"/>
    <row r="36209" ht="12.75"/>
    <row r="36210" ht="12.75"/>
    <row r="36211" ht="12.75"/>
    <row r="36212" ht="12.75"/>
    <row r="36213" ht="12.75"/>
    <row r="36214" ht="12.75"/>
    <row r="36215" ht="12.75"/>
    <row r="36216" ht="12.75"/>
    <row r="36217" ht="12.75"/>
    <row r="36218" ht="12.75"/>
    <row r="36219" ht="12.75"/>
    <row r="36220" ht="12.75"/>
    <row r="36221" ht="12.75"/>
    <row r="36222" ht="12.75"/>
    <row r="36223" ht="12.75"/>
    <row r="36224" ht="12.75"/>
    <row r="36225" ht="12.75"/>
    <row r="36226" ht="12.75"/>
    <row r="36227" ht="12.75"/>
    <row r="36228" ht="12.75"/>
    <row r="36229" ht="12.75"/>
    <row r="36230" ht="12.75"/>
    <row r="36231" ht="12.75"/>
    <row r="36232" ht="12.75"/>
    <row r="36233" ht="12.75"/>
    <row r="36234" ht="12.75"/>
    <row r="36235" ht="12.75"/>
    <row r="36236" ht="12.75"/>
    <row r="36237" ht="12.75"/>
    <row r="36238" ht="12.75"/>
    <row r="36239" ht="12.75"/>
    <row r="36240" ht="12.75"/>
    <row r="36241" ht="12.75"/>
    <row r="36242" ht="12.75"/>
    <row r="36243" ht="12.75"/>
    <row r="36244" ht="12.75"/>
    <row r="36245" ht="12.75"/>
    <row r="36246" ht="12.75"/>
    <row r="36247" ht="12.75"/>
    <row r="36248" ht="12.75"/>
    <row r="36249" ht="12.75"/>
    <row r="36250" ht="12.75"/>
    <row r="36251" ht="12.75"/>
    <row r="36252" ht="12.75"/>
    <row r="36253" ht="12.75"/>
    <row r="36254" ht="12.75"/>
    <row r="36255" ht="12.75"/>
    <row r="36256" ht="12.75"/>
    <row r="36257" ht="12.75"/>
    <row r="36258" ht="12.75"/>
    <row r="36259" ht="12.75"/>
    <row r="36260" ht="12.75"/>
    <row r="36261" ht="12.75"/>
    <row r="36262" ht="12.75"/>
    <row r="36263" ht="12.75"/>
    <row r="36264" ht="12.75"/>
    <row r="36265" ht="12.75"/>
    <row r="36266" ht="12.75"/>
    <row r="36267" ht="12.75"/>
    <row r="36268" ht="12.75"/>
    <row r="36269" ht="12.75"/>
    <row r="36270" ht="12.75"/>
    <row r="36271" ht="12.75"/>
    <row r="36272" ht="12.75"/>
    <row r="36273" ht="12.75"/>
    <row r="36274" ht="12.75"/>
    <row r="36275" ht="12.75"/>
    <row r="36276" ht="12.75"/>
    <row r="36277" ht="12.75"/>
    <row r="36278" ht="12.75"/>
    <row r="36279" ht="12.75"/>
    <row r="36280" ht="12.75"/>
    <row r="36281" ht="12.75"/>
    <row r="36282" ht="12.75"/>
    <row r="36283" ht="12.75"/>
    <row r="36284" ht="12.75"/>
    <row r="36285" ht="12.75"/>
    <row r="36286" ht="12.75"/>
    <row r="36287" ht="12.75"/>
    <row r="36288" ht="12.75"/>
    <row r="36289" ht="12.75"/>
    <row r="36290" ht="12.75"/>
    <row r="36291" ht="12.75"/>
    <row r="36292" ht="12.75"/>
    <row r="36293" ht="12.75"/>
    <row r="36294" ht="12.75"/>
    <row r="36295" ht="12.75"/>
    <row r="36296" ht="12.75"/>
    <row r="36297" ht="12.75"/>
    <row r="36298" ht="12.75"/>
    <row r="36299" ht="12.75"/>
    <row r="36300" ht="12.75"/>
    <row r="36301" ht="12.75"/>
    <row r="36302" ht="12.75"/>
    <row r="36303" ht="12.75"/>
    <row r="36304" ht="12.75"/>
    <row r="36305" ht="12.75"/>
    <row r="36306" ht="12.75"/>
    <row r="36307" ht="12.75"/>
    <row r="36308" ht="12.75"/>
    <row r="36309" ht="12.75"/>
    <row r="36310" ht="12.75"/>
    <row r="36311" ht="12.75"/>
    <row r="36312" ht="12.75"/>
    <row r="36313" ht="12.75"/>
    <row r="36314" ht="12.75"/>
    <row r="36315" ht="12.75"/>
    <row r="36316" ht="12.75"/>
    <row r="36317" ht="12.75"/>
    <row r="36318" ht="12.75"/>
    <row r="36319" ht="12.75"/>
    <row r="36320" ht="12.75"/>
    <row r="36321" ht="12.75"/>
    <row r="36322" ht="12.75"/>
    <row r="36323" ht="12.75"/>
    <row r="36324" ht="12.75"/>
    <row r="36325" ht="12.75"/>
    <row r="36326" ht="12.75"/>
    <row r="36327" ht="12.75"/>
    <row r="36328" ht="12.75"/>
    <row r="36329" ht="12.75"/>
    <row r="36330" ht="12.75"/>
    <row r="36331" ht="12.75"/>
    <row r="36332" ht="12.75"/>
    <row r="36333" ht="12.75"/>
    <row r="36334" ht="12.75"/>
    <row r="36335" ht="12.75"/>
    <row r="36336" ht="12.75"/>
    <row r="36337" ht="12.75"/>
    <row r="36338" ht="12.75"/>
    <row r="36339" ht="12.75"/>
    <row r="36340" ht="12.75"/>
    <row r="36341" ht="12.75"/>
    <row r="36342" ht="12.75"/>
    <row r="36343" ht="12.75"/>
    <row r="36344" ht="12.75"/>
    <row r="36345" ht="12.75"/>
    <row r="36346" ht="12.75"/>
    <row r="36347" ht="12.75"/>
    <row r="36348" ht="12.75"/>
    <row r="36349" ht="12.75"/>
    <row r="36350" ht="12.75"/>
    <row r="36351" ht="12.75"/>
    <row r="36352" ht="12.75"/>
    <row r="36353" ht="12.75"/>
    <row r="36354" ht="12.75"/>
    <row r="36355" ht="12.75"/>
    <row r="36356" ht="12.75"/>
    <row r="36357" ht="12.75"/>
    <row r="36358" ht="12.75"/>
    <row r="36359" ht="12.75"/>
    <row r="36360" ht="12.75"/>
    <row r="36361" ht="12.75"/>
    <row r="36362" ht="12.75"/>
    <row r="36363" ht="12.75"/>
    <row r="36364" ht="12.75"/>
    <row r="36365" ht="12.75"/>
    <row r="36366" ht="12.75"/>
    <row r="36367" ht="12.75"/>
    <row r="36368" ht="12.75"/>
    <row r="36369" ht="12.75"/>
    <row r="36370" ht="12.75"/>
    <row r="36371" ht="12.75"/>
    <row r="36372" ht="12.75"/>
    <row r="36373" ht="12.75"/>
    <row r="36374" ht="12.75"/>
    <row r="36375" ht="12.75"/>
    <row r="36376" ht="12.75"/>
    <row r="36377" ht="12.75"/>
    <row r="36378" ht="12.75"/>
    <row r="36379" ht="12.75"/>
    <row r="36380" ht="12.75"/>
    <row r="36381" ht="12.75"/>
    <row r="36382" ht="12.75"/>
    <row r="36383" ht="12.75"/>
    <row r="36384" ht="12.75"/>
    <row r="36385" ht="12.75"/>
    <row r="36386" ht="12.75"/>
    <row r="36387" ht="12.75"/>
    <row r="36388" ht="12.75"/>
    <row r="36389" ht="12.75"/>
    <row r="36390" ht="12.75"/>
    <row r="36391" ht="12.75"/>
    <row r="36392" ht="12.75"/>
    <row r="36393" ht="12.75"/>
    <row r="36394" ht="12.75"/>
    <row r="36395" ht="12.75"/>
    <row r="36396" ht="12.75"/>
    <row r="36397" ht="12.75"/>
    <row r="36398" ht="12.75"/>
    <row r="36399" ht="12.75"/>
    <row r="36400" ht="12.75"/>
    <row r="36401" ht="12.75"/>
    <row r="36402" ht="12.75"/>
    <row r="36403" ht="12.75"/>
    <row r="36404" ht="12.75"/>
    <row r="36405" ht="12.75"/>
    <row r="36406" ht="12.75"/>
    <row r="36407" ht="12.75"/>
    <row r="36408" ht="12.75"/>
    <row r="36409" ht="12.75"/>
    <row r="36410" ht="12.75"/>
    <row r="36411" ht="12.75"/>
    <row r="36412" ht="12.75"/>
    <row r="36413" ht="12.75"/>
    <row r="36414" ht="12.75"/>
    <row r="36415" ht="12.75"/>
    <row r="36416" ht="12.75"/>
    <row r="36417" ht="12.75"/>
    <row r="36418" ht="12.75"/>
    <row r="36419" ht="12.75"/>
    <row r="36420" ht="12.75"/>
    <row r="36421" ht="12.75"/>
    <row r="36422" ht="12.75"/>
    <row r="36423" ht="12.75"/>
    <row r="36424" ht="12.75"/>
    <row r="36425" ht="12.75"/>
    <row r="36426" ht="12.75"/>
    <row r="36427" ht="12.75"/>
    <row r="36428" ht="12.75"/>
    <row r="36429" ht="12.75"/>
    <row r="36430" ht="12.75"/>
    <row r="36431" ht="12.75"/>
    <row r="36432" ht="12.75"/>
    <row r="36433" ht="12.75"/>
    <row r="36434" ht="12.75"/>
    <row r="36435" ht="12.75"/>
    <row r="36436" ht="12.75"/>
    <row r="36437" ht="12.75"/>
    <row r="36438" ht="12.75"/>
    <row r="36439" ht="12.75"/>
    <row r="36440" ht="12.75"/>
    <row r="36441" ht="12.75"/>
    <row r="36442" ht="12.75"/>
    <row r="36443" ht="12.75"/>
    <row r="36444" ht="12.75"/>
    <row r="36445" ht="12.75"/>
    <row r="36446" ht="12.75"/>
    <row r="36447" ht="12.75"/>
    <row r="36448" ht="12.75"/>
    <row r="36449" ht="12.75"/>
    <row r="36450" ht="12.75"/>
    <row r="36451" ht="12.75"/>
    <row r="36452" ht="12.75"/>
    <row r="36453" ht="12.75"/>
    <row r="36454" ht="12.75"/>
    <row r="36455" ht="12.75"/>
    <row r="36456" ht="12.75"/>
    <row r="36457" ht="12.75"/>
    <row r="36458" ht="12.75"/>
    <row r="36459" ht="12.75"/>
    <row r="36460" ht="12.75"/>
    <row r="36461" ht="12.75"/>
    <row r="36462" ht="12.75"/>
    <row r="36463" ht="12.75"/>
    <row r="36464" ht="12.75"/>
    <row r="36465" ht="12.75"/>
    <row r="36466" ht="12.75"/>
    <row r="36467" ht="12.75"/>
    <row r="36468" ht="12.75"/>
    <row r="36469" ht="12.75"/>
    <row r="36470" ht="12.75"/>
    <row r="36471" ht="12.75"/>
    <row r="36472" ht="12.75"/>
    <row r="36473" ht="12.75"/>
    <row r="36474" ht="12.75"/>
    <row r="36475" ht="12.75"/>
    <row r="36476" ht="12.75"/>
    <row r="36477" ht="12.75"/>
    <row r="36478" ht="12.75"/>
    <row r="36479" ht="12.75"/>
    <row r="36480" ht="12.75"/>
    <row r="36481" ht="12.75"/>
    <row r="36482" ht="12.75"/>
    <row r="36483" ht="12.75"/>
    <row r="36484" ht="12.75"/>
    <row r="36485" ht="12.75"/>
    <row r="36486" ht="12.75"/>
    <row r="36487" ht="12.75"/>
    <row r="36488" ht="12.75"/>
    <row r="36489" ht="12.75"/>
    <row r="36490" ht="12.75"/>
    <row r="36491" ht="12.75"/>
    <row r="36492" ht="12.75"/>
    <row r="36493" ht="12.75"/>
    <row r="36494" ht="12.75"/>
    <row r="36495" ht="12.75"/>
    <row r="36496" ht="12.75"/>
    <row r="36497" ht="12.75"/>
    <row r="36498" ht="12.75"/>
    <row r="36499" ht="12.75"/>
    <row r="36500" ht="12.75"/>
    <row r="36501" ht="12.75"/>
    <row r="36502" ht="12.75"/>
    <row r="36503" ht="12.75"/>
    <row r="36504" ht="12.75"/>
    <row r="36505" ht="12.75"/>
    <row r="36506" ht="12.75"/>
    <row r="36507" ht="12.75"/>
    <row r="36508" ht="12.75"/>
    <row r="36509" ht="12.75"/>
    <row r="36510" ht="12.75"/>
    <row r="36511" ht="12.75"/>
    <row r="36512" ht="12.75"/>
    <row r="36513" ht="12.75"/>
    <row r="36514" ht="12.75"/>
    <row r="36515" ht="12.75"/>
    <row r="36516" ht="12.75"/>
    <row r="36517" ht="12.75"/>
    <row r="36518" ht="12.75"/>
    <row r="36519" ht="12.75"/>
    <row r="36520" ht="12.75"/>
    <row r="36521" ht="12.75"/>
    <row r="36522" ht="12.75"/>
    <row r="36523" ht="12.75"/>
    <row r="36524" ht="12.75"/>
    <row r="36525" ht="12.75"/>
    <row r="36526" ht="12.75"/>
    <row r="36527" ht="12.75"/>
    <row r="36528" ht="12.75"/>
    <row r="36529" ht="12.75"/>
    <row r="36530" ht="12.75"/>
    <row r="36531" ht="12.75"/>
    <row r="36532" ht="12.75"/>
    <row r="36533" ht="12.75"/>
    <row r="36534" ht="12.75"/>
    <row r="36535" ht="12.75"/>
    <row r="36536" ht="12.75"/>
    <row r="36537" ht="12.75"/>
    <row r="36538" ht="12.75"/>
    <row r="36539" ht="12.75"/>
    <row r="36540" ht="12.75"/>
    <row r="36541" ht="12.75"/>
    <row r="36542" ht="12.75"/>
    <row r="36543" ht="12.75"/>
    <row r="36544" ht="12.75"/>
    <row r="36545" ht="12.75"/>
    <row r="36546" ht="12.75"/>
    <row r="36547" ht="12.75"/>
    <row r="36548" ht="12.75"/>
    <row r="36549" ht="12.75"/>
    <row r="36550" ht="12.75"/>
    <row r="36551" ht="12.75"/>
    <row r="36552" ht="12.75"/>
    <row r="36553" ht="12.75"/>
    <row r="36554" ht="12.75"/>
    <row r="36555" ht="12.75"/>
    <row r="36556" ht="12.75"/>
    <row r="36557" ht="12.75"/>
    <row r="36558" ht="12.75"/>
    <row r="36559" ht="12.75"/>
    <row r="36560" ht="12.75"/>
    <row r="36561" ht="12.75"/>
    <row r="36562" ht="12.75"/>
    <row r="36563" ht="12.75"/>
    <row r="36564" ht="12.75"/>
    <row r="36565" ht="12.75"/>
    <row r="36566" ht="12.75"/>
    <row r="36567" ht="12.75"/>
    <row r="36568" ht="12.75"/>
    <row r="36569" ht="12.75"/>
    <row r="36570" ht="12.75"/>
    <row r="36571" ht="12.75"/>
    <row r="36572" ht="12.75"/>
    <row r="36573" ht="12.75"/>
    <row r="36574" ht="12.75"/>
    <row r="36575" ht="12.75"/>
    <row r="36576" ht="12.75"/>
    <row r="36577" ht="12.75"/>
    <row r="36578" ht="12.75"/>
    <row r="36579" ht="12.75"/>
    <row r="36580" ht="12.75"/>
    <row r="36581" ht="12.75"/>
    <row r="36582" ht="12.75"/>
    <row r="36583" ht="12.75"/>
    <row r="36584" ht="12.75"/>
    <row r="36585" ht="12.75"/>
    <row r="36586" ht="12.75"/>
    <row r="36587" ht="12.75"/>
    <row r="36588" ht="12.75"/>
    <row r="36589" ht="12.75"/>
    <row r="36590" ht="12.75"/>
    <row r="36591" ht="12.75"/>
    <row r="36592" ht="12.75"/>
    <row r="36593" ht="12.75"/>
    <row r="36594" ht="12.75"/>
    <row r="36595" ht="12.75"/>
    <row r="36596" ht="12.75"/>
    <row r="36597" ht="12.75"/>
    <row r="36598" ht="12.75"/>
    <row r="36599" ht="12.75"/>
    <row r="36600" ht="12.75"/>
    <row r="36601" ht="12.75"/>
    <row r="36602" ht="12.75"/>
    <row r="36603" ht="12.75"/>
    <row r="36604" ht="12.75"/>
    <row r="36605" ht="12.75"/>
    <row r="36606" ht="12.75"/>
    <row r="36607" ht="12.75"/>
    <row r="36608" ht="12.75"/>
    <row r="36609" ht="12.75"/>
    <row r="36610" ht="12.75"/>
    <row r="36611" ht="12.75"/>
    <row r="36612" ht="12.75"/>
    <row r="36613" ht="12.75"/>
    <row r="36614" ht="12.75"/>
    <row r="36615" ht="12.75"/>
    <row r="36616" ht="12.75"/>
    <row r="36617" ht="12.75"/>
    <row r="36618" ht="12.75"/>
    <row r="36619" ht="12.75"/>
    <row r="36620" ht="12.75"/>
    <row r="36621" ht="12.75"/>
    <row r="36622" ht="12.75"/>
    <row r="36623" ht="12.75"/>
    <row r="36624" ht="12.75"/>
    <row r="36625" ht="12.75"/>
    <row r="36626" ht="12.75"/>
    <row r="36627" ht="12.75"/>
    <row r="36628" ht="12.75"/>
    <row r="36629" ht="12.75"/>
    <row r="36630" ht="12.75"/>
    <row r="36631" ht="12.75"/>
    <row r="36632" ht="12.75"/>
    <row r="36633" ht="12.75"/>
    <row r="36634" ht="12.75"/>
    <row r="36635" ht="12.75"/>
    <row r="36636" ht="12.75"/>
    <row r="36637" ht="12.75"/>
    <row r="36638" ht="12.75"/>
    <row r="36639" ht="12.75"/>
    <row r="36640" ht="12.75"/>
    <row r="36641" ht="12.75"/>
    <row r="36642" ht="12.75"/>
    <row r="36643" ht="12.75"/>
    <row r="36644" ht="12.75"/>
    <row r="36645" ht="12.75"/>
    <row r="36646" ht="12.75"/>
    <row r="36647" ht="12.75"/>
    <row r="36648" ht="12.75"/>
    <row r="36649" ht="12.75"/>
    <row r="36650" ht="12.75"/>
    <row r="36651" ht="12.75"/>
    <row r="36652" ht="12.75"/>
    <row r="36653" ht="12.75"/>
    <row r="36654" ht="12.75"/>
    <row r="36655" ht="12.75"/>
    <row r="36656" ht="12.75"/>
    <row r="36657" ht="12.75"/>
    <row r="36658" ht="12.75"/>
    <row r="36659" ht="12.75"/>
    <row r="36660" ht="12.75"/>
    <row r="36661" ht="12.75"/>
    <row r="36662" ht="12.75"/>
    <row r="36663" ht="12.75"/>
    <row r="36664" ht="12.75"/>
    <row r="36665" ht="12.75"/>
    <row r="36666" ht="12.75"/>
    <row r="36667" ht="12.75"/>
    <row r="36668" ht="12.75"/>
    <row r="36669" ht="12.75"/>
    <row r="36670" ht="12.75"/>
    <row r="36671" ht="12.75"/>
    <row r="36672" ht="12.75"/>
    <row r="36673" ht="12.75"/>
    <row r="36674" ht="12.75"/>
    <row r="36675" ht="12.75"/>
    <row r="36676" ht="12.75"/>
    <row r="36677" ht="12.75"/>
    <row r="36678" ht="12.75"/>
    <row r="36679" ht="12.75"/>
    <row r="36680" ht="12.75"/>
    <row r="36681" ht="12.75"/>
    <row r="36682" ht="12.75"/>
    <row r="36683" ht="12.75"/>
    <row r="36684" ht="12.75"/>
    <row r="36685" ht="12.75"/>
    <row r="36686" ht="12.75"/>
    <row r="36687" ht="12.75"/>
    <row r="36688" ht="12.75"/>
    <row r="36689" ht="12.75"/>
    <row r="36690" ht="12.75"/>
    <row r="36691" ht="12.75"/>
    <row r="36692" ht="12.75"/>
    <row r="36693" ht="12.75"/>
    <row r="36694" ht="12.75"/>
    <row r="36695" ht="12.75"/>
    <row r="36696" ht="12.75"/>
    <row r="36697" ht="12.75"/>
    <row r="36698" ht="12.75"/>
    <row r="36699" ht="12.75"/>
    <row r="36700" ht="12.75"/>
    <row r="36701" ht="12.75"/>
    <row r="36702" ht="12.75"/>
    <row r="36703" ht="12.75"/>
    <row r="36704" ht="12.75"/>
    <row r="36705" ht="12.75"/>
    <row r="36706" ht="12.75"/>
    <row r="36707" ht="12.75"/>
    <row r="36708" ht="12.75"/>
    <row r="36709" ht="12.75"/>
    <row r="36710" ht="12.75"/>
    <row r="36711" ht="12.75"/>
    <row r="36712" ht="12.75"/>
    <row r="36713" ht="12.75"/>
    <row r="36714" ht="12.75"/>
    <row r="36715" ht="12.75"/>
    <row r="36716" ht="12.75"/>
    <row r="36717" ht="12.75"/>
    <row r="36718" ht="12.75"/>
    <row r="36719" ht="12.75"/>
    <row r="36720" ht="12.75"/>
    <row r="36721" ht="12.75"/>
    <row r="36722" ht="12.75"/>
    <row r="36723" ht="12.75"/>
    <row r="36724" ht="12.75"/>
    <row r="36725" ht="12.75"/>
    <row r="36726" ht="12.75"/>
    <row r="36727" ht="12.75"/>
    <row r="36728" ht="12.75"/>
    <row r="36729" ht="12.75"/>
    <row r="36730" ht="12.75"/>
    <row r="36731" ht="12.75"/>
    <row r="36732" ht="12.75"/>
    <row r="36733" ht="12.75"/>
    <row r="36734" ht="12.75"/>
    <row r="36735" ht="12.75"/>
    <row r="36736" ht="12.75"/>
    <row r="36737" ht="12.75"/>
    <row r="36738" ht="12.75"/>
    <row r="36739" ht="12.75"/>
    <row r="36740" ht="12.75"/>
    <row r="36741" ht="12.75"/>
    <row r="36742" ht="12.75"/>
    <row r="36743" ht="12.75"/>
    <row r="36744" ht="12.75"/>
    <row r="36745" ht="12.75"/>
    <row r="36746" ht="12.75"/>
    <row r="36747" ht="12.75"/>
    <row r="36748" ht="12.75"/>
    <row r="36749" ht="12.75"/>
    <row r="36750" ht="12.75"/>
    <row r="36751" ht="12.75"/>
    <row r="36752" ht="12.75"/>
    <row r="36753" ht="12.75"/>
    <row r="36754" ht="12.75"/>
    <row r="36755" ht="12.75"/>
    <row r="36756" ht="12.75"/>
    <row r="36757" ht="12.75"/>
    <row r="36758" ht="12.75"/>
    <row r="36759" ht="12.75"/>
    <row r="36760" ht="12.75"/>
    <row r="36761" ht="12.75"/>
    <row r="36762" ht="12.75"/>
    <row r="36763" ht="12.75"/>
    <row r="36764" ht="12.75"/>
    <row r="36765" ht="12.75"/>
    <row r="36766" ht="12.75"/>
    <row r="36767" ht="12.75"/>
    <row r="36768" ht="12.75"/>
    <row r="36769" ht="12.75"/>
    <row r="36770" ht="12.75"/>
    <row r="36771" ht="12.75"/>
    <row r="36772" ht="12.75"/>
    <row r="36773" ht="12.75"/>
    <row r="36774" ht="12.75"/>
    <row r="36775" ht="12.75"/>
    <row r="36776" ht="12.75"/>
    <row r="36777" ht="12.75"/>
    <row r="36778" ht="12.75"/>
    <row r="36779" ht="12.75"/>
    <row r="36780" ht="12.75"/>
    <row r="36781" ht="12.75"/>
    <row r="36782" ht="12.75"/>
    <row r="36783" ht="12.75"/>
    <row r="36784" ht="12.75"/>
    <row r="36785" ht="12.75"/>
    <row r="36786" ht="12.75"/>
    <row r="36787" ht="12.75"/>
    <row r="36788" ht="12.75"/>
    <row r="36789" ht="12.75"/>
    <row r="36790" ht="12.75"/>
    <row r="36791" ht="12.75"/>
    <row r="36792" ht="12.75"/>
    <row r="36793" ht="12.75"/>
    <row r="36794" ht="12.75"/>
    <row r="36795" ht="12.75"/>
    <row r="36796" ht="12.75"/>
    <row r="36797" ht="12.75"/>
    <row r="36798" ht="12.75"/>
    <row r="36799" ht="12.75"/>
    <row r="36800" ht="12.75"/>
    <row r="36801" ht="12.75"/>
    <row r="36802" ht="12.75"/>
    <row r="36803" ht="12.75"/>
    <row r="36804" ht="12.75"/>
    <row r="36805" ht="12.75"/>
    <row r="36806" ht="12.75"/>
    <row r="36807" ht="12.75"/>
    <row r="36808" ht="12.75"/>
    <row r="36809" ht="12.75"/>
    <row r="36810" ht="12.75"/>
    <row r="36811" ht="12.75"/>
    <row r="36812" ht="12.75"/>
    <row r="36813" ht="12.75"/>
    <row r="36814" ht="12.75"/>
    <row r="36815" ht="12.75"/>
    <row r="36816" ht="12.75"/>
    <row r="36817" ht="12.75"/>
    <row r="36818" ht="12.75"/>
    <row r="36819" ht="12.75"/>
    <row r="36820" ht="12.75"/>
    <row r="36821" ht="12.75"/>
    <row r="36822" ht="12.75"/>
    <row r="36823" ht="12.75"/>
    <row r="36824" ht="12.75"/>
    <row r="36825" ht="12.75"/>
    <row r="36826" ht="12.75"/>
    <row r="36827" ht="12.75"/>
    <row r="36828" ht="12.75"/>
    <row r="36829" ht="12.75"/>
    <row r="36830" ht="12.75"/>
    <row r="36831" ht="12.75"/>
    <row r="36832" ht="12.75"/>
    <row r="36833" ht="12.75"/>
    <row r="36834" ht="12.75"/>
    <row r="36835" ht="12.75"/>
    <row r="36836" ht="12.75"/>
    <row r="36837" ht="12.75"/>
    <row r="36838" ht="12.75"/>
    <row r="36839" ht="12.75"/>
    <row r="36840" ht="12.75"/>
    <row r="36841" ht="12.75"/>
    <row r="36842" ht="12.75"/>
    <row r="36843" ht="12.75"/>
    <row r="36844" ht="12.75"/>
    <row r="36845" ht="12.75"/>
    <row r="36846" ht="12.75"/>
    <row r="36847" ht="12.75"/>
    <row r="36848" ht="12.75"/>
    <row r="36849" ht="12.75"/>
    <row r="36850" ht="12.75"/>
    <row r="36851" ht="12.75"/>
    <row r="36852" ht="12.75"/>
    <row r="36853" ht="12.75"/>
    <row r="36854" ht="12.75"/>
    <row r="36855" ht="12.75"/>
    <row r="36856" ht="12.75"/>
    <row r="36857" ht="12.75"/>
    <row r="36858" ht="12.75"/>
    <row r="36859" ht="12.75"/>
    <row r="36860" ht="12.75"/>
    <row r="36861" ht="12.75"/>
    <row r="36862" ht="12.75"/>
    <row r="36863" ht="12.75"/>
    <row r="36864" ht="12.75"/>
    <row r="36865" ht="12.75"/>
    <row r="36866" ht="12.75"/>
    <row r="36867" ht="12.75"/>
    <row r="36868" ht="12.75"/>
    <row r="36869" ht="12.75"/>
    <row r="36870" ht="12.75"/>
    <row r="36871" ht="12.75"/>
    <row r="36872" ht="12.75"/>
    <row r="36873" ht="12.75"/>
    <row r="36874" ht="12.75"/>
    <row r="36875" ht="12.75"/>
    <row r="36876" ht="12.75"/>
    <row r="36877" ht="12.75"/>
    <row r="36878" ht="12.75"/>
    <row r="36879" ht="12.75"/>
    <row r="36880" ht="12.75"/>
    <row r="36881" ht="12.75"/>
    <row r="36882" ht="12.75"/>
    <row r="36883" ht="12.75"/>
    <row r="36884" ht="12.75"/>
    <row r="36885" ht="12.75"/>
    <row r="36886" ht="12.75"/>
    <row r="36887" ht="12.75"/>
    <row r="36888" ht="12.75"/>
    <row r="36889" ht="12.75"/>
    <row r="36890" ht="12.75"/>
    <row r="36891" ht="12.75"/>
    <row r="36892" ht="12.75"/>
    <row r="36893" ht="12.75"/>
    <row r="36894" ht="12.75"/>
    <row r="36895" ht="12.75"/>
    <row r="36896" ht="12.75"/>
    <row r="36897" ht="12.75"/>
    <row r="36898" ht="12.75"/>
    <row r="36899" ht="12.75"/>
    <row r="36900" ht="12.75"/>
    <row r="36901" ht="12.75"/>
    <row r="36902" ht="12.75"/>
    <row r="36903" ht="12.75"/>
    <row r="36904" ht="12.75"/>
    <row r="36905" ht="12.75"/>
    <row r="36906" ht="12.75"/>
    <row r="36907" ht="12.75"/>
    <row r="36908" ht="12.75"/>
    <row r="36909" ht="12.75"/>
    <row r="36910" ht="12.75"/>
    <row r="36911" ht="12.75"/>
    <row r="36912" ht="12.75"/>
    <row r="36913" ht="12.75"/>
    <row r="36914" ht="12.75"/>
    <row r="36915" ht="12.75"/>
    <row r="36916" ht="12.75"/>
    <row r="36917" ht="12.75"/>
    <row r="36918" ht="12.75"/>
    <row r="36919" ht="12.75"/>
    <row r="36920" ht="12.75"/>
    <row r="36921" ht="12.75"/>
    <row r="36922" ht="12.75"/>
    <row r="36923" ht="12.75"/>
    <row r="36924" ht="12.75"/>
    <row r="36925" ht="12.75"/>
    <row r="36926" ht="12.75"/>
    <row r="36927" ht="12.75"/>
    <row r="36928" ht="12.75"/>
    <row r="36929" ht="12.75"/>
    <row r="36930" ht="12.75"/>
    <row r="36931" ht="12.75"/>
    <row r="36932" ht="12.75"/>
    <row r="36933" ht="12.75"/>
    <row r="36934" ht="12.75"/>
    <row r="36935" ht="12.75"/>
    <row r="36936" ht="12.75"/>
    <row r="36937" ht="12.75"/>
    <row r="36938" ht="12.75"/>
    <row r="36939" ht="12.75"/>
    <row r="36940" ht="12.75"/>
    <row r="36941" ht="12.75"/>
    <row r="36942" ht="12.75"/>
    <row r="36943" ht="12.75"/>
    <row r="36944" ht="12.75"/>
    <row r="36945" ht="12.75"/>
    <row r="36946" ht="12.75"/>
    <row r="36947" ht="12.75"/>
    <row r="36948" ht="12.75"/>
    <row r="36949" ht="12.75"/>
    <row r="36950" ht="12.75"/>
    <row r="36951" ht="12.75"/>
    <row r="36952" ht="12.75"/>
    <row r="36953" ht="12.75"/>
    <row r="36954" ht="12.75"/>
    <row r="36955" ht="12.75"/>
    <row r="36956" ht="12.75"/>
    <row r="36957" ht="12.75"/>
    <row r="36958" ht="12.75"/>
    <row r="36959" ht="12.75"/>
    <row r="36960" ht="12.75"/>
    <row r="36961" ht="12.75"/>
    <row r="36962" ht="12.75"/>
    <row r="36963" ht="12.75"/>
    <row r="36964" ht="12.75"/>
    <row r="36965" ht="12.75"/>
    <row r="36966" ht="12.75"/>
    <row r="36967" ht="12.75"/>
    <row r="36968" ht="12.75"/>
    <row r="36969" ht="12.75"/>
    <row r="36970" ht="12.75"/>
    <row r="36971" ht="12.75"/>
    <row r="36972" ht="12.75"/>
    <row r="36973" ht="12.75"/>
    <row r="36974" ht="12.75"/>
    <row r="36975" ht="12.75"/>
    <row r="36976" ht="12.75"/>
    <row r="36977" ht="12.75"/>
    <row r="36978" ht="12.75"/>
    <row r="36979" ht="12.75"/>
    <row r="36980" ht="12.75"/>
    <row r="36981" ht="12.75"/>
    <row r="36982" ht="12.75"/>
    <row r="36983" ht="12.75"/>
    <row r="36984" ht="12.75"/>
    <row r="36985" ht="12.75"/>
    <row r="36986" ht="12.75"/>
    <row r="36987" ht="12.75"/>
    <row r="36988" ht="12.75"/>
    <row r="36989" ht="12.75"/>
    <row r="36990" ht="12.75"/>
    <row r="36991" ht="12.75"/>
    <row r="36992" ht="12.75"/>
    <row r="36993" ht="12.75"/>
    <row r="36994" ht="12.75"/>
    <row r="36995" ht="12.75"/>
    <row r="36996" ht="12.75"/>
    <row r="36997" ht="12.75"/>
    <row r="36998" ht="12.75"/>
    <row r="36999" ht="12.75"/>
    <row r="37000" ht="12.75"/>
    <row r="37001" ht="12.75"/>
    <row r="37002" ht="12.75"/>
    <row r="37003" ht="12.75"/>
    <row r="37004" ht="12.75"/>
    <row r="37005" ht="12.75"/>
    <row r="37006" ht="12.75"/>
    <row r="37007" ht="12.75"/>
    <row r="37008" ht="12.75"/>
    <row r="37009" ht="12.75"/>
    <row r="37010" ht="12.75"/>
    <row r="37011" ht="12.75"/>
    <row r="37012" ht="12.75"/>
    <row r="37013" ht="12.75"/>
    <row r="37014" ht="12.75"/>
    <row r="37015" ht="12.75"/>
    <row r="37016" ht="12.75"/>
    <row r="37017" ht="12.75"/>
    <row r="37018" ht="12.75"/>
    <row r="37019" ht="12.75"/>
    <row r="37020" ht="12.75"/>
    <row r="37021" ht="12.75"/>
    <row r="37022" ht="12.75"/>
    <row r="37023" ht="12.75"/>
    <row r="37024" ht="12.75"/>
    <row r="37025" ht="12.75"/>
    <row r="37026" ht="12.75"/>
    <row r="37027" ht="12.75"/>
    <row r="37028" ht="12.75"/>
    <row r="37029" ht="12.75"/>
    <row r="37030" ht="12.75"/>
    <row r="37031" ht="12.75"/>
    <row r="37032" ht="12.75"/>
    <row r="37033" ht="12.75"/>
    <row r="37034" ht="12.75"/>
    <row r="37035" ht="12.75"/>
    <row r="37036" ht="12.75"/>
    <row r="37037" ht="12.75"/>
    <row r="37038" ht="12.75"/>
    <row r="37039" ht="12.75"/>
    <row r="37040" ht="12.75"/>
    <row r="37041" ht="12.75"/>
    <row r="37042" ht="12.75"/>
    <row r="37043" ht="12.75"/>
    <row r="37044" ht="12.75"/>
    <row r="37045" ht="12.75"/>
    <row r="37046" ht="12.75"/>
    <row r="37047" ht="12.75"/>
    <row r="37048" ht="12.75"/>
    <row r="37049" ht="12.75"/>
    <row r="37050" ht="12.75"/>
    <row r="37051" ht="12.75"/>
    <row r="37052" ht="12.75"/>
    <row r="37053" ht="12.75"/>
    <row r="37054" ht="12.75"/>
    <row r="37055" ht="12.75"/>
    <row r="37056" ht="12.75"/>
    <row r="37057" ht="12.75"/>
    <row r="37058" ht="12.75"/>
    <row r="37059" ht="12.75"/>
    <row r="37060" ht="12.75"/>
    <row r="37061" ht="12.75"/>
    <row r="37062" ht="12.75"/>
    <row r="37063" ht="12.75"/>
    <row r="37064" ht="12.75"/>
    <row r="37065" ht="12.75"/>
    <row r="37066" ht="12.75"/>
    <row r="37067" ht="12.75"/>
    <row r="37068" ht="12.75"/>
    <row r="37069" ht="12.75"/>
    <row r="37070" ht="12.75"/>
    <row r="37071" ht="12.75"/>
    <row r="37072" ht="12.75"/>
    <row r="37073" ht="12.75"/>
    <row r="37074" ht="12.75"/>
    <row r="37075" ht="12.75"/>
    <row r="37076" ht="12.75"/>
    <row r="37077" ht="12.75"/>
    <row r="37078" ht="12.75"/>
    <row r="37079" ht="12.75"/>
    <row r="37080" ht="12.75"/>
    <row r="37081" ht="12.75"/>
    <row r="37082" ht="12.75"/>
    <row r="37083" ht="12.75"/>
    <row r="37084" ht="12.75"/>
    <row r="37085" ht="12.75"/>
    <row r="37086" ht="12.75"/>
    <row r="37087" ht="12.75"/>
    <row r="37088" ht="12.75"/>
    <row r="37089" ht="12.75"/>
    <row r="37090" ht="12.75"/>
    <row r="37091" ht="12.75"/>
    <row r="37092" ht="12.75"/>
    <row r="37093" ht="12.75"/>
    <row r="37094" ht="12.75"/>
    <row r="37095" ht="12.75"/>
    <row r="37096" ht="12.75"/>
    <row r="37097" ht="12.75"/>
    <row r="37098" ht="12.75"/>
    <row r="37099" ht="12.75"/>
    <row r="37100" ht="12.75"/>
    <row r="37101" ht="12.75"/>
    <row r="37102" ht="12.75"/>
    <row r="37103" ht="12.75"/>
    <row r="37104" ht="12.75"/>
    <row r="37105" ht="12.75"/>
    <row r="37106" ht="12.75"/>
    <row r="37107" ht="12.75"/>
    <row r="37108" ht="12.75"/>
    <row r="37109" ht="12.75"/>
    <row r="37110" ht="12.75"/>
    <row r="37111" ht="12.75"/>
    <row r="37112" ht="12.75"/>
    <row r="37113" ht="12.75"/>
    <row r="37114" ht="12.75"/>
    <row r="37115" ht="12.75"/>
    <row r="37116" ht="12.75"/>
    <row r="37117" ht="12.75"/>
    <row r="37118" ht="12.75"/>
    <row r="37119" ht="12.75"/>
    <row r="37120" ht="12.75"/>
    <row r="37121" ht="12.75"/>
    <row r="37122" ht="12.75"/>
    <row r="37123" ht="12.75"/>
    <row r="37124" ht="12.75"/>
    <row r="37125" ht="12.75"/>
    <row r="37126" ht="12.75"/>
    <row r="37127" ht="12.75"/>
    <row r="37128" ht="12.75"/>
    <row r="37129" ht="12.75"/>
    <row r="37130" ht="12.75"/>
    <row r="37131" ht="12.75"/>
    <row r="37132" ht="12.75"/>
    <row r="37133" ht="12.75"/>
    <row r="37134" ht="12.75"/>
    <row r="37135" ht="12.75"/>
    <row r="37136" ht="12.75"/>
    <row r="37137" ht="12.75"/>
    <row r="37138" ht="12.75"/>
    <row r="37139" ht="12.75"/>
    <row r="37140" ht="12.75"/>
    <row r="37141" ht="12.75"/>
    <row r="37142" ht="12.75"/>
    <row r="37143" ht="12.75"/>
    <row r="37144" ht="12.75"/>
    <row r="37145" ht="12.75"/>
    <row r="37146" ht="12.75"/>
    <row r="37147" ht="12.75"/>
    <row r="37148" ht="12.75"/>
    <row r="37149" ht="12.75"/>
    <row r="37150" ht="12.75"/>
    <row r="37151" ht="12.75"/>
    <row r="37152" ht="12.75"/>
    <row r="37153" ht="12.75"/>
    <row r="37154" ht="12.75"/>
    <row r="37155" ht="12.75"/>
    <row r="37156" ht="12.75"/>
    <row r="37157" ht="12.75"/>
    <row r="37158" ht="12.75"/>
    <row r="37159" ht="12.75"/>
    <row r="37160" ht="12.75"/>
    <row r="37161" ht="12.75"/>
    <row r="37162" ht="12.75"/>
    <row r="37163" ht="12.75"/>
    <row r="37164" ht="12.75"/>
    <row r="37165" ht="12.75"/>
    <row r="37166" ht="12.75"/>
    <row r="37167" ht="12.75"/>
    <row r="37168" ht="12.75"/>
    <row r="37169" ht="12.75"/>
    <row r="37170" ht="12.75"/>
    <row r="37171" ht="12.75"/>
    <row r="37172" ht="12.75"/>
    <row r="37173" ht="12.75"/>
    <row r="37174" ht="12.75"/>
    <row r="37175" ht="12.75"/>
    <row r="37176" ht="12.75"/>
    <row r="37177" ht="12.75"/>
    <row r="37178" ht="12.75"/>
    <row r="37179" ht="12.75"/>
    <row r="37180" ht="12.75"/>
    <row r="37181" ht="12.75"/>
    <row r="37182" ht="12.75"/>
    <row r="37183" ht="12.75"/>
    <row r="37184" ht="12.75"/>
    <row r="37185" ht="12.75"/>
    <row r="37186" ht="12.75"/>
    <row r="37187" ht="12.75"/>
    <row r="37188" ht="12.75"/>
    <row r="37189" ht="12.75"/>
    <row r="37190" ht="12.75"/>
    <row r="37191" ht="12.75"/>
    <row r="37192" ht="12.75"/>
    <row r="37193" ht="12.75"/>
    <row r="37194" ht="12.75"/>
    <row r="37195" ht="12.75"/>
    <row r="37196" ht="12.75"/>
    <row r="37197" ht="12.75"/>
    <row r="37198" ht="12.75"/>
    <row r="37199" ht="12.75"/>
    <row r="37200" ht="12.75"/>
    <row r="37201" ht="12.75"/>
    <row r="37202" ht="12.75"/>
    <row r="37203" ht="12.75"/>
    <row r="37204" ht="12.75"/>
    <row r="37205" ht="12.75"/>
    <row r="37206" ht="12.75"/>
    <row r="37207" ht="12.75"/>
    <row r="37208" ht="12.75"/>
    <row r="37209" ht="12.75"/>
    <row r="37210" ht="12.75"/>
    <row r="37211" ht="12.75"/>
    <row r="37212" ht="12.75"/>
    <row r="37213" ht="12.75"/>
    <row r="37214" ht="12.75"/>
    <row r="37215" ht="12.75"/>
    <row r="37216" ht="12.75"/>
    <row r="37217" ht="12.75"/>
    <row r="37218" ht="12.75"/>
    <row r="37219" ht="12.75"/>
    <row r="37220" ht="12.75"/>
    <row r="37221" ht="12.75"/>
    <row r="37222" ht="12.75"/>
    <row r="37223" ht="12.75"/>
    <row r="37224" ht="12.75"/>
    <row r="37225" ht="12.75"/>
    <row r="37226" ht="12.75"/>
    <row r="37227" ht="12.75"/>
    <row r="37228" ht="12.75"/>
    <row r="37229" ht="12.75"/>
    <row r="37230" ht="12.75"/>
    <row r="37231" ht="12.75"/>
    <row r="37232" ht="12.75"/>
    <row r="37233" ht="12.75"/>
    <row r="37234" ht="12.75"/>
    <row r="37235" ht="12.75"/>
    <row r="37236" ht="12.75"/>
    <row r="37237" ht="12.75"/>
    <row r="37238" ht="12.75"/>
    <row r="37239" ht="12.75"/>
    <row r="37240" ht="12.75"/>
    <row r="37241" ht="12.75"/>
    <row r="37242" ht="12.75"/>
    <row r="37243" ht="12.75"/>
    <row r="37244" ht="12.75"/>
    <row r="37245" ht="12.75"/>
    <row r="37246" ht="12.75"/>
    <row r="37247" ht="12.75"/>
    <row r="37248" ht="12.75"/>
    <row r="37249" ht="12.75"/>
    <row r="37250" ht="12.75"/>
    <row r="37251" ht="12.75"/>
    <row r="37252" ht="12.75"/>
    <row r="37253" ht="12.75"/>
    <row r="37254" ht="12.75"/>
    <row r="37255" ht="12.75"/>
    <row r="37256" ht="12.75"/>
    <row r="37257" ht="12.75"/>
    <row r="37258" ht="12.75"/>
    <row r="37259" ht="12.75"/>
    <row r="37260" ht="12.75"/>
    <row r="37261" ht="12.75"/>
    <row r="37262" ht="12.75"/>
    <row r="37263" ht="12.75"/>
    <row r="37264" ht="12.75"/>
    <row r="37265" ht="12.75"/>
    <row r="37266" ht="12.75"/>
    <row r="37267" ht="12.75"/>
    <row r="37268" ht="12.75"/>
    <row r="37269" ht="12.75"/>
    <row r="37270" ht="12.75"/>
    <row r="37271" ht="12.75"/>
    <row r="37272" ht="12.75"/>
    <row r="37273" ht="12.75"/>
    <row r="37274" ht="12.75"/>
    <row r="37275" ht="12.75"/>
    <row r="37276" ht="12.75"/>
    <row r="37277" ht="12.75"/>
    <row r="37278" ht="12.75"/>
    <row r="37279" ht="12.75"/>
    <row r="37280" ht="12.75"/>
    <row r="37281" ht="12.75"/>
    <row r="37282" ht="12.75"/>
    <row r="37283" ht="12.75"/>
    <row r="37284" ht="12.75"/>
    <row r="37285" ht="12.75"/>
    <row r="37286" ht="12.75"/>
    <row r="37287" ht="12.75"/>
    <row r="37288" ht="12.75"/>
    <row r="37289" ht="12.75"/>
    <row r="37290" ht="12.75"/>
    <row r="37291" ht="12.75"/>
    <row r="37292" ht="12.75"/>
    <row r="37293" ht="12.75"/>
    <row r="37294" ht="12.75"/>
    <row r="37295" ht="12.75"/>
    <row r="37296" ht="12.75"/>
    <row r="37297" ht="12.75"/>
    <row r="37298" ht="12.75"/>
    <row r="37299" ht="12.75"/>
    <row r="37300" ht="12.75"/>
    <row r="37301" ht="12.75"/>
    <row r="37302" ht="12.75"/>
    <row r="37303" ht="12.75"/>
    <row r="37304" ht="12.75"/>
    <row r="37305" ht="12.75"/>
    <row r="37306" ht="12.75"/>
    <row r="37307" ht="12.75"/>
    <row r="37308" ht="12.75"/>
    <row r="37309" ht="12.75"/>
    <row r="37310" ht="12.75"/>
    <row r="37311" ht="12.75"/>
    <row r="37312" ht="12.75"/>
    <row r="37313" ht="12.75"/>
    <row r="37314" ht="12.75"/>
    <row r="37315" ht="12.75"/>
    <row r="37316" ht="12.75"/>
    <row r="37317" ht="12.75"/>
    <row r="37318" ht="12.75"/>
    <row r="37319" ht="12.75"/>
    <row r="37320" ht="12.75"/>
    <row r="37321" ht="12.75"/>
    <row r="37322" ht="12.75"/>
    <row r="37323" ht="12.75"/>
    <row r="37324" ht="12.75"/>
    <row r="37325" ht="12.75"/>
    <row r="37326" ht="12.75"/>
    <row r="37327" ht="12.75"/>
    <row r="37328" ht="12.75"/>
    <row r="37329" ht="12.75"/>
    <row r="37330" ht="12.75"/>
    <row r="37331" ht="12.75"/>
    <row r="37332" ht="12.75"/>
    <row r="37333" ht="12.75"/>
    <row r="37334" ht="12.75"/>
    <row r="37335" ht="12.75"/>
    <row r="37336" ht="12.75"/>
    <row r="37337" ht="12.75"/>
    <row r="37338" ht="12.75"/>
    <row r="37339" ht="12.75"/>
    <row r="37340" ht="12.75"/>
    <row r="37341" ht="12.75"/>
    <row r="37342" ht="12.75"/>
    <row r="37343" ht="12.75"/>
    <row r="37344" ht="12.75"/>
    <row r="37345" ht="12.75"/>
    <row r="37346" ht="12.75"/>
    <row r="37347" ht="12.75"/>
    <row r="37348" ht="12.75"/>
    <row r="37349" ht="12.75"/>
    <row r="37350" ht="12.75"/>
    <row r="37351" ht="12.75"/>
    <row r="37352" ht="12.75"/>
    <row r="37353" ht="12.75"/>
    <row r="37354" ht="12.75"/>
    <row r="37355" ht="12.75"/>
    <row r="37356" ht="12.75"/>
    <row r="37357" ht="12.75"/>
    <row r="37358" ht="12.75"/>
    <row r="37359" ht="12.75"/>
    <row r="37360" ht="12.75"/>
    <row r="37361" ht="12.75"/>
    <row r="37362" ht="12.75"/>
    <row r="37363" ht="12.75"/>
    <row r="37364" ht="12.75"/>
    <row r="37365" ht="12.75"/>
    <row r="37366" ht="12.75"/>
    <row r="37367" ht="12.75"/>
    <row r="37368" ht="12.75"/>
    <row r="37369" ht="12.75"/>
    <row r="37370" ht="12.75"/>
    <row r="37371" ht="12.75"/>
    <row r="37372" ht="12.75"/>
    <row r="37373" ht="12.75"/>
    <row r="37374" ht="12.75"/>
    <row r="37375" ht="12.75"/>
    <row r="37376" ht="12.75"/>
    <row r="37377" ht="12.75"/>
    <row r="37378" ht="12.75"/>
    <row r="37379" ht="12.75"/>
    <row r="37380" ht="12.75"/>
    <row r="37381" ht="12.75"/>
    <row r="37382" ht="12.75"/>
    <row r="37383" ht="12.75"/>
    <row r="37384" ht="12.75"/>
    <row r="37385" ht="12.75"/>
    <row r="37386" ht="12.75"/>
    <row r="37387" ht="12.75"/>
    <row r="37388" ht="12.75"/>
    <row r="37389" ht="12.75"/>
    <row r="37390" ht="12.75"/>
    <row r="37391" ht="12.75"/>
    <row r="37392" ht="12.75"/>
    <row r="37393" ht="12.75"/>
    <row r="37394" ht="12.75"/>
    <row r="37395" ht="12.75"/>
    <row r="37396" ht="12.75"/>
    <row r="37397" ht="12.75"/>
    <row r="37398" ht="12.75"/>
    <row r="37399" ht="12.75"/>
    <row r="37400" ht="12.75"/>
    <row r="37401" ht="12.75"/>
    <row r="37402" ht="12.75"/>
    <row r="37403" ht="12.75"/>
    <row r="37404" ht="12.75"/>
    <row r="37405" ht="12.75"/>
    <row r="37406" ht="12.75"/>
    <row r="37407" ht="12.75"/>
    <row r="37408" ht="12.75"/>
    <row r="37409" ht="12.75"/>
    <row r="37410" ht="12.75"/>
    <row r="37411" ht="12.75"/>
    <row r="37412" ht="12.75"/>
    <row r="37413" ht="12.75"/>
    <row r="37414" ht="12.75"/>
    <row r="37415" ht="12.75"/>
    <row r="37416" ht="12.75"/>
    <row r="37417" ht="12.75"/>
    <row r="37418" ht="12.75"/>
    <row r="37419" ht="12.75"/>
    <row r="37420" ht="12.75"/>
    <row r="37421" ht="12.75"/>
    <row r="37422" ht="12.75"/>
    <row r="37423" ht="12.75"/>
    <row r="37424" ht="12.75"/>
    <row r="37425" ht="12.75"/>
    <row r="37426" ht="12.75"/>
    <row r="37427" ht="12.75"/>
    <row r="37428" ht="12.75"/>
    <row r="37429" ht="12.75"/>
    <row r="37430" ht="12.75"/>
    <row r="37431" ht="12.75"/>
    <row r="37432" ht="12.75"/>
    <row r="37433" ht="12.75"/>
    <row r="37434" ht="12.75"/>
    <row r="37435" ht="12.75"/>
    <row r="37436" ht="12.75"/>
    <row r="37437" ht="12.75"/>
    <row r="37438" ht="12.75"/>
    <row r="37439" ht="12.75"/>
    <row r="37440" ht="12.75"/>
    <row r="37441" ht="12.75"/>
    <row r="37442" ht="12.75"/>
    <row r="37443" ht="12.75"/>
    <row r="37444" ht="12.75"/>
    <row r="37445" ht="12.75"/>
    <row r="37446" ht="12.75"/>
    <row r="37447" ht="12.75"/>
    <row r="37448" ht="12.75"/>
    <row r="37449" ht="12.75"/>
    <row r="37450" ht="12.75"/>
    <row r="37451" ht="12.75"/>
    <row r="37452" ht="12.75"/>
    <row r="37453" ht="12.75"/>
    <row r="37454" ht="12.75"/>
    <row r="37455" ht="12.75"/>
    <row r="37456" ht="12.75"/>
    <row r="37457" ht="12.75"/>
    <row r="37458" ht="12.75"/>
    <row r="37459" ht="12.75"/>
    <row r="37460" ht="12.75"/>
    <row r="37461" ht="12.75"/>
    <row r="37462" ht="12.75"/>
    <row r="37463" ht="12.75"/>
    <row r="37464" ht="12.75"/>
    <row r="37465" ht="12.75"/>
    <row r="37466" ht="12.75"/>
    <row r="37467" ht="12.75"/>
    <row r="37468" ht="12.75"/>
    <row r="37469" ht="12.75"/>
    <row r="37470" ht="12.75"/>
    <row r="37471" ht="12.75"/>
    <row r="37472" ht="12.75"/>
    <row r="37473" ht="12.75"/>
    <row r="37474" ht="12.75"/>
    <row r="37475" ht="12.75"/>
    <row r="37476" ht="12.75"/>
    <row r="37477" ht="12.75"/>
    <row r="37478" ht="12.75"/>
    <row r="37479" ht="12.75"/>
    <row r="37480" ht="12.75"/>
    <row r="37481" ht="12.75"/>
    <row r="37482" ht="12.75"/>
    <row r="37483" ht="12.75"/>
    <row r="37484" ht="12.75"/>
    <row r="37485" ht="12.75"/>
    <row r="37486" ht="12.75"/>
    <row r="37487" ht="12.75"/>
    <row r="37488" ht="12.75"/>
    <row r="37489" ht="12.75"/>
    <row r="37490" ht="12.75"/>
    <row r="37491" ht="12.75"/>
    <row r="37492" ht="12.75"/>
    <row r="37493" ht="12.75"/>
    <row r="37494" ht="12.75"/>
    <row r="37495" ht="12.75"/>
    <row r="37496" ht="12.75"/>
    <row r="37497" ht="12.75"/>
    <row r="37498" ht="12.75"/>
    <row r="37499" ht="12.75"/>
    <row r="37500" ht="12.75"/>
    <row r="37501" ht="12.75"/>
    <row r="37502" ht="12.75"/>
    <row r="37503" ht="12.75"/>
    <row r="37504" ht="12.75"/>
    <row r="37505" ht="12.75"/>
    <row r="37506" ht="12.75"/>
    <row r="37507" ht="12.75"/>
    <row r="37508" ht="12.75"/>
    <row r="37509" ht="12.75"/>
    <row r="37510" ht="12.75"/>
    <row r="37511" ht="12.75"/>
    <row r="37512" ht="12.75"/>
    <row r="37513" ht="12.75"/>
    <row r="37514" ht="12.75"/>
    <row r="37515" ht="12.75"/>
    <row r="37516" ht="12.75"/>
    <row r="37517" ht="12.75"/>
    <row r="37518" ht="12.75"/>
    <row r="37519" ht="12.75"/>
    <row r="37520" ht="12.75"/>
    <row r="37521" ht="12.75"/>
    <row r="37522" ht="12.75"/>
    <row r="37523" ht="12.75"/>
    <row r="37524" ht="12.75"/>
    <row r="37525" ht="12.75"/>
    <row r="37526" ht="12.75"/>
    <row r="37527" ht="12.75"/>
    <row r="37528" ht="12.75"/>
    <row r="37529" ht="12.75"/>
    <row r="37530" ht="12.75"/>
    <row r="37531" ht="12.75"/>
    <row r="37532" ht="12.75"/>
    <row r="37533" ht="12.75"/>
    <row r="37534" ht="12.75"/>
    <row r="37535" ht="12.75"/>
    <row r="37536" ht="12.75"/>
    <row r="37537" ht="12.75"/>
    <row r="37538" ht="12.75"/>
    <row r="37539" ht="12.75"/>
    <row r="37540" ht="12.75"/>
    <row r="37541" ht="12.75"/>
    <row r="37542" ht="12.75"/>
    <row r="37543" ht="12.75"/>
    <row r="37544" ht="12.75"/>
    <row r="37545" ht="12.75"/>
    <row r="37546" ht="12.75"/>
    <row r="37547" ht="12.75"/>
    <row r="37548" ht="12.75"/>
    <row r="37549" ht="12.75"/>
    <row r="37550" ht="12.75"/>
    <row r="37551" ht="12.75"/>
    <row r="37552" ht="12.75"/>
    <row r="37553" ht="12.75"/>
    <row r="37554" ht="12.75"/>
    <row r="37555" ht="12.75"/>
    <row r="37556" ht="12.75"/>
    <row r="37557" ht="12.75"/>
    <row r="37558" ht="12.75"/>
    <row r="37559" ht="12.75"/>
    <row r="37560" ht="12.75"/>
    <row r="37561" ht="12.75"/>
    <row r="37562" ht="12.75"/>
    <row r="37563" ht="12.75"/>
    <row r="37564" ht="12.75"/>
    <row r="37565" ht="12.75"/>
    <row r="37566" ht="12.75"/>
    <row r="37567" ht="12.75"/>
    <row r="37568" ht="12.75"/>
    <row r="37569" ht="12.75"/>
    <row r="37570" ht="12.75"/>
    <row r="37571" ht="12.75"/>
    <row r="37572" ht="12.75"/>
    <row r="37573" ht="12.75"/>
    <row r="37574" ht="12.75"/>
    <row r="37575" ht="12.75"/>
    <row r="37576" ht="12.75"/>
    <row r="37577" ht="12.75"/>
    <row r="37578" ht="12.75"/>
    <row r="37579" ht="12.75"/>
    <row r="37580" ht="12.75"/>
    <row r="37581" ht="12.75"/>
    <row r="37582" ht="12.75"/>
    <row r="37583" ht="12.75"/>
    <row r="37584" ht="12.75"/>
    <row r="37585" ht="12.75"/>
    <row r="37586" ht="12.75"/>
    <row r="37587" ht="12.75"/>
    <row r="37588" ht="12.75"/>
    <row r="37589" ht="12.75"/>
    <row r="37590" ht="12.75"/>
    <row r="37591" ht="12.75"/>
    <row r="37592" ht="12.75"/>
    <row r="37593" ht="12.75"/>
    <row r="37594" ht="12.75"/>
    <row r="37595" ht="12.75"/>
    <row r="37596" ht="12.75"/>
    <row r="37597" ht="12.75"/>
    <row r="37598" ht="12.75"/>
    <row r="37599" ht="12.75"/>
    <row r="37600" ht="12.75"/>
    <row r="37601" ht="12.75"/>
    <row r="37602" ht="12.75"/>
    <row r="37603" ht="12.75"/>
    <row r="37604" ht="12.75"/>
    <row r="37605" ht="12.75"/>
    <row r="37606" ht="12.75"/>
    <row r="37607" ht="12.75"/>
    <row r="37608" ht="12.75"/>
    <row r="37609" ht="12.75"/>
    <row r="37610" ht="12.75"/>
    <row r="37611" ht="12.75"/>
    <row r="37612" ht="12.75"/>
    <row r="37613" ht="12.75"/>
    <row r="37614" ht="12.75"/>
    <row r="37615" ht="12.75"/>
    <row r="37616" ht="12.75"/>
    <row r="37617" ht="12.75"/>
    <row r="37618" ht="12.75"/>
    <row r="37619" ht="12.75"/>
    <row r="37620" ht="12.75"/>
    <row r="37621" ht="12.75"/>
    <row r="37622" ht="12.75"/>
    <row r="37623" ht="12.75"/>
    <row r="37624" ht="12.75"/>
    <row r="37625" ht="12.75"/>
    <row r="37626" ht="12.75"/>
    <row r="37627" ht="12.75"/>
    <row r="37628" ht="12.75"/>
    <row r="37629" ht="12.75"/>
    <row r="37630" ht="12.75"/>
    <row r="37631" ht="12.75"/>
    <row r="37632" ht="12.75"/>
    <row r="37633" ht="12.75"/>
    <row r="37634" ht="12.75"/>
    <row r="37635" ht="12.75"/>
    <row r="37636" ht="12.75"/>
    <row r="37637" ht="12.75"/>
    <row r="37638" ht="12.75"/>
    <row r="37639" ht="12.75"/>
    <row r="37640" ht="12.75"/>
    <row r="37641" ht="12.75"/>
    <row r="37642" ht="12.75"/>
    <row r="37643" ht="12.75"/>
    <row r="37644" ht="12.75"/>
    <row r="37645" ht="12.75"/>
    <row r="37646" ht="12.75"/>
    <row r="37647" ht="12.75"/>
    <row r="37648" ht="12.75"/>
    <row r="37649" ht="12.75"/>
    <row r="37650" ht="12.75"/>
    <row r="37651" ht="12.75"/>
    <row r="37652" ht="12.75"/>
    <row r="37653" ht="12.75"/>
    <row r="37654" ht="12.75"/>
    <row r="37655" ht="12.75"/>
    <row r="37656" ht="12.75"/>
    <row r="37657" ht="12.75"/>
    <row r="37658" ht="12.75"/>
    <row r="37659" ht="12.75"/>
    <row r="37660" ht="12.75"/>
    <row r="37661" ht="12.75"/>
    <row r="37662" ht="12.75"/>
    <row r="37663" ht="12.75"/>
    <row r="37664" ht="12.75"/>
    <row r="37665" ht="12.75"/>
    <row r="37666" ht="12.75"/>
    <row r="37667" ht="12.75"/>
    <row r="37668" ht="12.75"/>
    <row r="37669" ht="12.75"/>
    <row r="37670" ht="12.75"/>
    <row r="37671" ht="12.75"/>
    <row r="37672" ht="12.75"/>
    <row r="37673" ht="12.75"/>
    <row r="37674" ht="12.75"/>
    <row r="37675" ht="12.75"/>
    <row r="37676" ht="12.75"/>
    <row r="37677" ht="12.75"/>
    <row r="37678" ht="12.75"/>
    <row r="37679" ht="12.75"/>
    <row r="37680" ht="12.75"/>
    <row r="37681" ht="12.75"/>
    <row r="37682" ht="12.75"/>
    <row r="37683" ht="12.75"/>
    <row r="37684" ht="12.75"/>
    <row r="37685" ht="12.75"/>
    <row r="37686" ht="12.75"/>
    <row r="37687" ht="12.75"/>
    <row r="37688" ht="12.75"/>
    <row r="37689" ht="12.75"/>
    <row r="37690" ht="12.75"/>
    <row r="37691" ht="12.75"/>
    <row r="37692" ht="12.75"/>
    <row r="37693" ht="12.75"/>
    <row r="37694" ht="12.75"/>
    <row r="37695" ht="12.75"/>
    <row r="37696" ht="12.75"/>
    <row r="37697" ht="12.75"/>
    <row r="37698" ht="12.75"/>
    <row r="37699" ht="12.75"/>
    <row r="37700" ht="12.75"/>
    <row r="37701" ht="12.75"/>
    <row r="37702" ht="12.75"/>
    <row r="37703" ht="12.75"/>
    <row r="37704" ht="12.75"/>
    <row r="37705" ht="12.75"/>
    <row r="37706" ht="12.75"/>
    <row r="37707" ht="12.75"/>
    <row r="37708" ht="12.75"/>
    <row r="37709" ht="12.75"/>
    <row r="37710" ht="12.75"/>
    <row r="37711" ht="12.75"/>
    <row r="37712" ht="12.75"/>
    <row r="37713" ht="12.75"/>
    <row r="37714" ht="12.75"/>
    <row r="37715" ht="12.75"/>
    <row r="37716" ht="12.75"/>
    <row r="37717" ht="12.75"/>
    <row r="37718" ht="12.75"/>
    <row r="37719" ht="12.75"/>
    <row r="37720" ht="12.75"/>
    <row r="37721" ht="12.75"/>
    <row r="37722" ht="12.75"/>
    <row r="37723" ht="12.75"/>
    <row r="37724" ht="12.75"/>
    <row r="37725" ht="12.75"/>
    <row r="37726" ht="12.75"/>
    <row r="37727" ht="12.75"/>
    <row r="37728" ht="12.75"/>
    <row r="37729" ht="12.75"/>
    <row r="37730" ht="12.75"/>
    <row r="37731" ht="12.75"/>
    <row r="37732" ht="12.75"/>
    <row r="37733" ht="12.75"/>
    <row r="37734" ht="12.75"/>
    <row r="37735" ht="12.75"/>
    <row r="37736" ht="12.75"/>
    <row r="37737" ht="12.75"/>
    <row r="37738" ht="12.75"/>
    <row r="37739" ht="12.75"/>
    <row r="37740" ht="12.75"/>
    <row r="37741" ht="12.75"/>
    <row r="37742" ht="12.75"/>
    <row r="37743" ht="12.75"/>
    <row r="37744" ht="12.75"/>
    <row r="37745" ht="12.75"/>
    <row r="37746" ht="12.75"/>
    <row r="37747" ht="12.75"/>
    <row r="37748" ht="12.75"/>
    <row r="37749" ht="12.75"/>
    <row r="37750" ht="12.75"/>
    <row r="37751" ht="12.75"/>
    <row r="37752" ht="12.75"/>
    <row r="37753" ht="12.75"/>
    <row r="37754" ht="12.75"/>
    <row r="37755" ht="12.75"/>
    <row r="37756" ht="12.75"/>
    <row r="37757" ht="12.75"/>
    <row r="37758" ht="12.75"/>
    <row r="37759" ht="12.75"/>
    <row r="37760" ht="12.75"/>
    <row r="37761" ht="12.75"/>
    <row r="37762" ht="12.75"/>
    <row r="37763" ht="12.75"/>
    <row r="37764" ht="12.75"/>
    <row r="37765" ht="12.75"/>
    <row r="37766" ht="12.75"/>
    <row r="37767" ht="12.75"/>
    <row r="37768" ht="12.75"/>
    <row r="37769" ht="12.75"/>
    <row r="37770" ht="12.75"/>
    <row r="37771" ht="12.75"/>
    <row r="37772" ht="12.75"/>
    <row r="37773" ht="12.75"/>
    <row r="37774" ht="12.75"/>
    <row r="37775" ht="12.75"/>
    <row r="37776" ht="12.75"/>
    <row r="37777" ht="12.75"/>
    <row r="37778" ht="12.75"/>
    <row r="37779" ht="12.75"/>
    <row r="37780" ht="12.75"/>
    <row r="37781" ht="12.75"/>
    <row r="37782" ht="12.75"/>
    <row r="37783" ht="12.75"/>
    <row r="37784" ht="12.75"/>
    <row r="37785" ht="12.75"/>
    <row r="37786" ht="12.75"/>
    <row r="37787" ht="12.75"/>
    <row r="37788" ht="12.75"/>
    <row r="37789" ht="12.75"/>
    <row r="37790" ht="12.75"/>
    <row r="37791" ht="12.75"/>
    <row r="37792" ht="12.75"/>
    <row r="37793" ht="12.75"/>
    <row r="37794" ht="12.75"/>
    <row r="37795" ht="12.75"/>
    <row r="37796" ht="12.75"/>
    <row r="37797" ht="12.75"/>
    <row r="37798" ht="12.75"/>
    <row r="37799" ht="12.75"/>
    <row r="37800" ht="12.75"/>
    <row r="37801" ht="12.75"/>
    <row r="37802" ht="12.75"/>
    <row r="37803" ht="12.75"/>
    <row r="37804" ht="12.75"/>
    <row r="37805" ht="12.75"/>
    <row r="37806" ht="12.75"/>
    <row r="37807" ht="12.75"/>
    <row r="37808" ht="12.75"/>
    <row r="37809" ht="12.75"/>
    <row r="37810" ht="12.75"/>
    <row r="37811" ht="12.75"/>
    <row r="37812" ht="12.75"/>
    <row r="37813" ht="12.75"/>
    <row r="37814" ht="12.75"/>
    <row r="37815" ht="12.75"/>
    <row r="37816" ht="12.75"/>
    <row r="37817" ht="12.75"/>
    <row r="37818" ht="12.75"/>
    <row r="37819" ht="12.75"/>
    <row r="37820" ht="12.75"/>
    <row r="37821" ht="12.75"/>
    <row r="37822" ht="12.75"/>
    <row r="37823" ht="12.75"/>
    <row r="37824" ht="12.75"/>
    <row r="37825" ht="12.75"/>
    <row r="37826" ht="12.75"/>
    <row r="37827" ht="12.75"/>
    <row r="37828" ht="12.75"/>
    <row r="37829" ht="12.75"/>
    <row r="37830" ht="12.75"/>
    <row r="37831" ht="12.75"/>
    <row r="37832" ht="12.75"/>
    <row r="37833" ht="12.75"/>
    <row r="37834" ht="12.75"/>
    <row r="37835" ht="12.75"/>
    <row r="37836" ht="12.75"/>
    <row r="37837" ht="12.75"/>
    <row r="37838" ht="12.75"/>
    <row r="37839" ht="12.75"/>
    <row r="37840" ht="12.75"/>
    <row r="37841" ht="12.75"/>
    <row r="37842" ht="12.75"/>
    <row r="37843" ht="12.75"/>
    <row r="37844" ht="12.75"/>
    <row r="37845" ht="12.75"/>
    <row r="37846" ht="12.75"/>
    <row r="37847" ht="12.75"/>
    <row r="37848" ht="12.75"/>
    <row r="37849" ht="12.75"/>
    <row r="37850" ht="12.75"/>
    <row r="37851" ht="12.75"/>
    <row r="37852" ht="12.75"/>
    <row r="37853" ht="12.75"/>
    <row r="37854" ht="12.75"/>
    <row r="37855" ht="12.75"/>
    <row r="37856" ht="12.75"/>
    <row r="37857" ht="12.75"/>
    <row r="37858" ht="12.75"/>
    <row r="37859" ht="12.75"/>
    <row r="37860" ht="12.75"/>
    <row r="37861" ht="12.75"/>
    <row r="37862" ht="12.75"/>
    <row r="37863" ht="12.75"/>
    <row r="37864" ht="12.75"/>
    <row r="37865" ht="12.75"/>
    <row r="37866" ht="12.75"/>
    <row r="37867" ht="12.75"/>
    <row r="37868" ht="12.75"/>
    <row r="37869" ht="12.75"/>
    <row r="37870" ht="12.75"/>
    <row r="37871" ht="12.75"/>
    <row r="37872" ht="12.75"/>
    <row r="37873" ht="12.75"/>
    <row r="37874" ht="12.75"/>
    <row r="37875" ht="12.75"/>
    <row r="37876" ht="12.75"/>
    <row r="37877" ht="12.75"/>
    <row r="37878" ht="12.75"/>
    <row r="37879" ht="12.75"/>
    <row r="37880" ht="12.75"/>
    <row r="37881" ht="12.75"/>
    <row r="37882" ht="12.75"/>
    <row r="37883" ht="12.75"/>
    <row r="37884" ht="12.75"/>
    <row r="37885" ht="12.75"/>
    <row r="37886" ht="12.75"/>
    <row r="37887" ht="12.75"/>
    <row r="37888" ht="12.75"/>
    <row r="37889" ht="12.75"/>
    <row r="37890" ht="12.75"/>
    <row r="37891" ht="12.75"/>
    <row r="37892" ht="12.75"/>
    <row r="37893" ht="12.75"/>
    <row r="37894" ht="12.75"/>
    <row r="37895" ht="12.75"/>
    <row r="37896" ht="12.75"/>
    <row r="37897" ht="12.75"/>
    <row r="37898" ht="12.75"/>
    <row r="37899" ht="12.75"/>
    <row r="37900" ht="12.75"/>
    <row r="37901" ht="12.75"/>
    <row r="37902" ht="12.75"/>
    <row r="37903" ht="12.75"/>
    <row r="37904" ht="12.75"/>
    <row r="37905" ht="12.75"/>
    <row r="37906" ht="12.75"/>
    <row r="37907" ht="12.75"/>
    <row r="37908" ht="12.75"/>
    <row r="37909" ht="12.75"/>
    <row r="37910" ht="12.75"/>
    <row r="37911" ht="12.75"/>
    <row r="37912" ht="12.75"/>
    <row r="37913" ht="12.75"/>
    <row r="37914" ht="12.75"/>
    <row r="37915" ht="12.75"/>
    <row r="37916" ht="12.75"/>
    <row r="37917" ht="12.75"/>
    <row r="37918" ht="12.75"/>
    <row r="37919" ht="12.75"/>
    <row r="37920" ht="12.75"/>
    <row r="37921" ht="12.75"/>
    <row r="37922" ht="12.75"/>
    <row r="37923" ht="12.75"/>
    <row r="37924" ht="12.75"/>
    <row r="37925" ht="12.75"/>
    <row r="37926" ht="12.75"/>
    <row r="37927" ht="12.75"/>
    <row r="37928" ht="12.75"/>
    <row r="37929" ht="12.75"/>
    <row r="37930" ht="12.75"/>
    <row r="37931" ht="12.75"/>
    <row r="37932" ht="12.75"/>
    <row r="37933" ht="12.75"/>
    <row r="37934" ht="12.75"/>
    <row r="37935" ht="12.75"/>
    <row r="37936" ht="12.75"/>
    <row r="37937" ht="12.75"/>
    <row r="37938" ht="12.75"/>
    <row r="37939" ht="12.75"/>
    <row r="37940" ht="12.75"/>
    <row r="37941" ht="12.75"/>
    <row r="37942" ht="12.75"/>
    <row r="37943" ht="12.75"/>
    <row r="37944" ht="12.75"/>
    <row r="37945" ht="12.75"/>
    <row r="37946" ht="12.75"/>
    <row r="37947" ht="12.75"/>
    <row r="37948" ht="12.75"/>
    <row r="37949" ht="12.75"/>
    <row r="37950" ht="12.75"/>
    <row r="37951" ht="12.75"/>
    <row r="37952" ht="12.75"/>
    <row r="37953" ht="12.75"/>
    <row r="37954" ht="12.75"/>
    <row r="37955" ht="12.75"/>
    <row r="37956" ht="12.75"/>
    <row r="37957" ht="12.75"/>
    <row r="37958" ht="12.75"/>
    <row r="37959" ht="12.75"/>
    <row r="37960" ht="12.75"/>
    <row r="37961" ht="12.75"/>
    <row r="37962" ht="12.75"/>
    <row r="37963" ht="12.75"/>
    <row r="37964" ht="12.75"/>
    <row r="37965" ht="12.75"/>
    <row r="37966" ht="12.75"/>
    <row r="37967" ht="12.75"/>
    <row r="37968" ht="12.75"/>
    <row r="37969" ht="12.75"/>
    <row r="37970" ht="12.75"/>
    <row r="37971" ht="12.75"/>
    <row r="37972" ht="12.75"/>
    <row r="37973" ht="12.75"/>
    <row r="37974" ht="12.75"/>
    <row r="37975" ht="12.75"/>
    <row r="37976" ht="12.75"/>
    <row r="37977" ht="12.75"/>
    <row r="37978" ht="12.75"/>
    <row r="37979" ht="12.75"/>
    <row r="37980" ht="12.75"/>
    <row r="37981" ht="12.75"/>
    <row r="37982" ht="12.75"/>
    <row r="37983" ht="12.75"/>
    <row r="37984" ht="12.75"/>
    <row r="37985" ht="12.75"/>
    <row r="37986" ht="12.75"/>
    <row r="37987" ht="12.75"/>
    <row r="37988" ht="12.75"/>
    <row r="37989" ht="12.75"/>
    <row r="37990" ht="12.75"/>
    <row r="37991" ht="12.75"/>
    <row r="37992" ht="12.75"/>
    <row r="37993" ht="12.75"/>
    <row r="37994" ht="12.75"/>
    <row r="37995" ht="12.75"/>
    <row r="37996" ht="12.75"/>
    <row r="37997" ht="12.75"/>
    <row r="37998" ht="12.75"/>
    <row r="37999" ht="12.75"/>
    <row r="38000" ht="12.75"/>
    <row r="38001" ht="12.75"/>
    <row r="38002" ht="12.75"/>
    <row r="38003" ht="12.75"/>
    <row r="38004" ht="12.75"/>
    <row r="38005" ht="12.75"/>
    <row r="38006" ht="12.75"/>
    <row r="38007" ht="12.75"/>
    <row r="38008" ht="12.75"/>
    <row r="38009" ht="12.75"/>
    <row r="38010" ht="12.75"/>
    <row r="38011" ht="12.75"/>
    <row r="38012" ht="12.75"/>
    <row r="38013" ht="12.75"/>
    <row r="38014" ht="12.75"/>
    <row r="38015" ht="12.75"/>
    <row r="38016" ht="12.75"/>
    <row r="38017" ht="12.75"/>
    <row r="38018" ht="12.75"/>
    <row r="38019" ht="12.75"/>
    <row r="38020" ht="12.75"/>
    <row r="38021" ht="12.75"/>
    <row r="38022" ht="12.75"/>
    <row r="38023" ht="12.75"/>
    <row r="38024" ht="12.75"/>
    <row r="38025" ht="12.75"/>
    <row r="38026" ht="12.75"/>
    <row r="38027" ht="12.75"/>
    <row r="38028" ht="12.75"/>
    <row r="38029" ht="12.75"/>
    <row r="38030" ht="12.75"/>
    <row r="38031" ht="12.75"/>
    <row r="38032" ht="12.75"/>
    <row r="38033" ht="12.75"/>
    <row r="38034" ht="12.75"/>
    <row r="38035" ht="12.75"/>
    <row r="38036" ht="12.75"/>
    <row r="38037" ht="12.75"/>
    <row r="38038" ht="12.75"/>
    <row r="38039" ht="12.75"/>
    <row r="38040" ht="12.75"/>
    <row r="38041" ht="12.75"/>
    <row r="38042" ht="12.75"/>
    <row r="38043" ht="12.75"/>
    <row r="38044" ht="12.75"/>
    <row r="38045" ht="12.75"/>
    <row r="38046" ht="12.75"/>
    <row r="38047" ht="12.75"/>
    <row r="38048" ht="12.75"/>
    <row r="38049" ht="12.75"/>
    <row r="38050" ht="12.75"/>
    <row r="38051" ht="12.75"/>
    <row r="38052" ht="12.75"/>
    <row r="38053" ht="12.75"/>
    <row r="38054" ht="12.75"/>
    <row r="38055" ht="12.75"/>
    <row r="38056" ht="12.75"/>
    <row r="38057" ht="12.75"/>
    <row r="38058" ht="12.75"/>
    <row r="38059" ht="12.75"/>
    <row r="38060" ht="12.75"/>
    <row r="38061" ht="12.75"/>
    <row r="38062" ht="12.75"/>
    <row r="38063" ht="12.75"/>
    <row r="38064" ht="12.75"/>
    <row r="38065" ht="12.75"/>
    <row r="38066" ht="12.75"/>
    <row r="38067" ht="12.75"/>
    <row r="38068" ht="12.75"/>
    <row r="38069" ht="12.75"/>
    <row r="38070" ht="12.75"/>
    <row r="38071" ht="12.75"/>
    <row r="38072" ht="12.75"/>
    <row r="38073" ht="12.75"/>
    <row r="38074" ht="12.75"/>
    <row r="38075" ht="12.75"/>
    <row r="38076" ht="12.75"/>
    <row r="38077" ht="12.75"/>
    <row r="38078" ht="12.75"/>
    <row r="38079" ht="12.75"/>
    <row r="38080" ht="12.75"/>
    <row r="38081" ht="12.75"/>
    <row r="38082" ht="12.75"/>
    <row r="38083" ht="12.75"/>
    <row r="38084" ht="12.75"/>
    <row r="38085" ht="12.75"/>
    <row r="38086" ht="12.75"/>
    <row r="38087" ht="12.75"/>
    <row r="38088" ht="12.75"/>
    <row r="38089" ht="12.75"/>
    <row r="38090" ht="12.75"/>
    <row r="38091" ht="12.75"/>
    <row r="38092" ht="12.75"/>
    <row r="38093" ht="12.75"/>
    <row r="38094" ht="12.75"/>
    <row r="38095" ht="12.75"/>
    <row r="38096" ht="12.75"/>
    <row r="38097" ht="12.75"/>
    <row r="38098" ht="12.75"/>
    <row r="38099" ht="12.75"/>
    <row r="38100" ht="12.75"/>
    <row r="38101" ht="12.75"/>
    <row r="38102" ht="12.75"/>
    <row r="38103" ht="12.75"/>
    <row r="38104" ht="12.75"/>
    <row r="38105" ht="12.75"/>
    <row r="38106" ht="12.75"/>
    <row r="38107" ht="12.75"/>
    <row r="38108" ht="12.75"/>
    <row r="38109" ht="12.75"/>
    <row r="38110" ht="12.75"/>
    <row r="38111" ht="12.75"/>
    <row r="38112" ht="12.75"/>
    <row r="38113" ht="12.75"/>
    <row r="38114" ht="12.75"/>
    <row r="38115" ht="12.75"/>
    <row r="38116" ht="12.75"/>
    <row r="38117" ht="12.75"/>
    <row r="38118" ht="12.75"/>
    <row r="38119" ht="12.75"/>
    <row r="38120" ht="12.75"/>
    <row r="38121" ht="12.75"/>
    <row r="38122" ht="12.75"/>
    <row r="38123" ht="12.75"/>
    <row r="38124" ht="12.75"/>
    <row r="38125" ht="12.75"/>
    <row r="38126" ht="12.75"/>
    <row r="38127" ht="12.75"/>
    <row r="38128" ht="12.75"/>
    <row r="38129" ht="12.75"/>
    <row r="38130" ht="12.75"/>
    <row r="38131" ht="12.75"/>
    <row r="38132" ht="12.75"/>
    <row r="38133" ht="12.75"/>
    <row r="38134" ht="12.75"/>
    <row r="38135" ht="12.75"/>
    <row r="38136" ht="12.75"/>
    <row r="38137" ht="12.75"/>
    <row r="38138" ht="12.75"/>
    <row r="38139" ht="12.75"/>
    <row r="38140" ht="12.75"/>
    <row r="38141" ht="12.75"/>
    <row r="38142" ht="12.75"/>
    <row r="38143" ht="12.75"/>
    <row r="38144" ht="12.75"/>
    <row r="38145" ht="12.75"/>
    <row r="38146" ht="12.75"/>
    <row r="38147" ht="12.75"/>
    <row r="38148" ht="12.75"/>
    <row r="38149" ht="12.75"/>
    <row r="38150" ht="12.75"/>
    <row r="38151" ht="12.75"/>
    <row r="38152" ht="12.75"/>
    <row r="38153" ht="12.75"/>
    <row r="38154" ht="12.75"/>
    <row r="38155" ht="12.75"/>
    <row r="38156" ht="12.75"/>
    <row r="38157" ht="12.75"/>
    <row r="38158" ht="12.75"/>
    <row r="38159" ht="12.75"/>
    <row r="38160" ht="12.75"/>
    <row r="38161" ht="12.75"/>
    <row r="38162" ht="12.75"/>
    <row r="38163" ht="12.75"/>
    <row r="38164" ht="12.75"/>
    <row r="38165" ht="12.75"/>
    <row r="38166" ht="12.75"/>
    <row r="38167" ht="12.75"/>
    <row r="38168" ht="12.75"/>
    <row r="38169" ht="12.75"/>
    <row r="38170" ht="12.75"/>
    <row r="38171" ht="12.75"/>
    <row r="38172" ht="12.75"/>
    <row r="38173" ht="12.75"/>
    <row r="38174" ht="12.75"/>
    <row r="38175" ht="12.75"/>
    <row r="38176" ht="12.75"/>
    <row r="38177" ht="12.75"/>
    <row r="38178" ht="12.75"/>
    <row r="38179" ht="12.75"/>
    <row r="38180" ht="12.75"/>
    <row r="38181" ht="12.75"/>
    <row r="38182" ht="12.75"/>
    <row r="38183" ht="12.75"/>
    <row r="38184" ht="12.75"/>
    <row r="38185" ht="12.75"/>
    <row r="38186" ht="12.75"/>
    <row r="38187" ht="12.75"/>
    <row r="38188" ht="12.75"/>
    <row r="38189" ht="12.75"/>
    <row r="38190" ht="12.75"/>
    <row r="38191" ht="12.75"/>
    <row r="38192" ht="12.75"/>
    <row r="38193" ht="12.75"/>
    <row r="38194" ht="12.75"/>
    <row r="38195" ht="12.75"/>
    <row r="38196" ht="12.75"/>
    <row r="38197" ht="12.75"/>
    <row r="38198" ht="12.75"/>
    <row r="38199" ht="12.75"/>
    <row r="38200" ht="12.75"/>
    <row r="38201" ht="12.75"/>
    <row r="38202" ht="12.75"/>
    <row r="38203" ht="12.75"/>
    <row r="38204" ht="12.75"/>
    <row r="38205" ht="12.75"/>
    <row r="38206" ht="12.75"/>
    <row r="38207" ht="12.75"/>
    <row r="38208" ht="12.75"/>
    <row r="38209" ht="12.75"/>
    <row r="38210" ht="12.75"/>
    <row r="38211" ht="12.75"/>
    <row r="38212" ht="12.75"/>
    <row r="38213" ht="12.75"/>
    <row r="38214" ht="12.75"/>
    <row r="38215" ht="12.75"/>
    <row r="38216" ht="12.75"/>
    <row r="38217" ht="12.75"/>
    <row r="38218" ht="12.75"/>
    <row r="38219" ht="12.75"/>
    <row r="38220" ht="12.75"/>
    <row r="38221" ht="12.75"/>
    <row r="38222" ht="12.75"/>
    <row r="38223" ht="12.75"/>
    <row r="38224" ht="12.75"/>
    <row r="38225" ht="12.75"/>
    <row r="38226" ht="12.75"/>
    <row r="38227" ht="12.75"/>
    <row r="38228" ht="12.75"/>
    <row r="38229" ht="12.75"/>
    <row r="38230" ht="12.75"/>
    <row r="38231" ht="12.75"/>
    <row r="38232" ht="12.75"/>
    <row r="38233" ht="12.75"/>
    <row r="38234" ht="12.75"/>
    <row r="38235" ht="12.75"/>
    <row r="38236" ht="12.75"/>
    <row r="38237" ht="12.75"/>
    <row r="38238" ht="12.75"/>
    <row r="38239" ht="12.75"/>
    <row r="38240" ht="12.75"/>
    <row r="38241" ht="12.75"/>
    <row r="38242" ht="12.75"/>
    <row r="38243" ht="12.75"/>
    <row r="38244" ht="12.75"/>
    <row r="38245" ht="12.75"/>
    <row r="38246" ht="12.75"/>
    <row r="38247" ht="12.75"/>
    <row r="38248" ht="12.75"/>
    <row r="38249" ht="12.75"/>
    <row r="38250" ht="12.75"/>
    <row r="38251" ht="12.75"/>
    <row r="38252" ht="12.75"/>
    <row r="38253" ht="12.75"/>
    <row r="38254" ht="12.75"/>
    <row r="38255" ht="12.75"/>
    <row r="38256" ht="12.75"/>
    <row r="38257" ht="12.75"/>
    <row r="38258" ht="12.75"/>
    <row r="38259" ht="12.75"/>
    <row r="38260" ht="12.75"/>
    <row r="38261" ht="12.75"/>
    <row r="38262" ht="12.75"/>
    <row r="38263" ht="12.75"/>
    <row r="38264" ht="12.75"/>
    <row r="38265" ht="12.75"/>
    <row r="38266" ht="12.75"/>
    <row r="38267" ht="12.75"/>
    <row r="38268" ht="12.75"/>
    <row r="38269" ht="12.75"/>
    <row r="38270" ht="12.75"/>
    <row r="38271" ht="12.75"/>
    <row r="38272" ht="12.75"/>
    <row r="38273" ht="12.75"/>
    <row r="38274" ht="12.75"/>
    <row r="38275" ht="12.75"/>
    <row r="38276" ht="12.75"/>
    <row r="38277" ht="12.75"/>
    <row r="38278" ht="12.75"/>
    <row r="38279" ht="12.75"/>
    <row r="38280" ht="12.75"/>
    <row r="38281" ht="12.75"/>
    <row r="38282" ht="12.75"/>
    <row r="38283" ht="12.75"/>
    <row r="38284" ht="12.75"/>
    <row r="38285" ht="12.75"/>
    <row r="38286" ht="12.75"/>
    <row r="38287" ht="12.75"/>
    <row r="38288" ht="12.75"/>
    <row r="38289" ht="12.75"/>
    <row r="38290" ht="12.75"/>
    <row r="38291" ht="12.75"/>
    <row r="38292" ht="12.75"/>
    <row r="38293" ht="12.75"/>
    <row r="38294" ht="12.75"/>
    <row r="38295" ht="12.75"/>
    <row r="38296" ht="12.75"/>
    <row r="38297" ht="12.75"/>
    <row r="38298" ht="12.75"/>
    <row r="38299" ht="12.75"/>
    <row r="38300" ht="12.75"/>
    <row r="38301" ht="12.75"/>
    <row r="38302" ht="12.75"/>
    <row r="38303" ht="12.75"/>
    <row r="38304" ht="12.75"/>
    <row r="38305" ht="12.75"/>
    <row r="38306" ht="12.75"/>
    <row r="38307" ht="12.75"/>
    <row r="38308" ht="12.75"/>
    <row r="38309" ht="12.75"/>
    <row r="38310" ht="12.75"/>
    <row r="38311" ht="12.75"/>
    <row r="38312" ht="12.75"/>
    <row r="38313" ht="12.75"/>
    <row r="38314" ht="12.75"/>
    <row r="38315" ht="12.75"/>
    <row r="38316" ht="12.75"/>
    <row r="38317" ht="12.75"/>
    <row r="38318" ht="12.75"/>
    <row r="38319" ht="12.75"/>
    <row r="38320" ht="12.75"/>
    <row r="38321" ht="12.75"/>
    <row r="38322" ht="12.75"/>
    <row r="38323" ht="12.75"/>
    <row r="38324" ht="12.75"/>
    <row r="38325" ht="12.75"/>
    <row r="38326" ht="12.75"/>
    <row r="38327" ht="12.75"/>
    <row r="38328" ht="12.75"/>
    <row r="38329" ht="12.75"/>
    <row r="38330" ht="12.75"/>
    <row r="38331" ht="12.75"/>
    <row r="38332" ht="12.75"/>
    <row r="38333" ht="12.75"/>
    <row r="38334" ht="12.75"/>
    <row r="38335" ht="12.75"/>
    <row r="38336" ht="12.75"/>
    <row r="38337" ht="12.75"/>
    <row r="38338" ht="12.75"/>
    <row r="38339" ht="12.75"/>
    <row r="38340" ht="12.75"/>
    <row r="38341" ht="12.75"/>
    <row r="38342" ht="12.75"/>
    <row r="38343" ht="12.75"/>
    <row r="38344" ht="12.75"/>
    <row r="38345" ht="12.75"/>
    <row r="38346" ht="12.75"/>
    <row r="38347" ht="12.75"/>
    <row r="38348" ht="12.75"/>
    <row r="38349" ht="12.75"/>
    <row r="38350" ht="12.75"/>
    <row r="38351" ht="12.75"/>
    <row r="38352" ht="12.75"/>
    <row r="38353" ht="12.75"/>
    <row r="38354" ht="12.75"/>
    <row r="38355" ht="12.75"/>
    <row r="38356" ht="12.75"/>
    <row r="38357" ht="12.75"/>
    <row r="38358" ht="12.75"/>
    <row r="38359" ht="12.75"/>
    <row r="38360" ht="12.75"/>
    <row r="38361" ht="12.75"/>
    <row r="38362" ht="12.75"/>
    <row r="38363" ht="12.75"/>
    <row r="38364" ht="12.75"/>
    <row r="38365" ht="12.75"/>
    <row r="38366" ht="12.75"/>
    <row r="38367" ht="12.75"/>
    <row r="38368" ht="12.75"/>
    <row r="38369" ht="12.75"/>
    <row r="38370" ht="12.75"/>
    <row r="38371" ht="12.75"/>
    <row r="38372" ht="12.75"/>
    <row r="38373" ht="12.75"/>
    <row r="38374" ht="12.75"/>
    <row r="38375" ht="12.75"/>
    <row r="38376" ht="12.75"/>
    <row r="38377" ht="12.75"/>
    <row r="38378" ht="12.75"/>
    <row r="38379" ht="12.75"/>
    <row r="38380" ht="12.75"/>
    <row r="38381" ht="12.75"/>
    <row r="38382" ht="12.75"/>
    <row r="38383" ht="12.75"/>
    <row r="38384" ht="12.75"/>
    <row r="38385" ht="12.75"/>
    <row r="38386" ht="12.75"/>
    <row r="38387" ht="12.75"/>
    <row r="38388" ht="12.75"/>
    <row r="38389" ht="12.75"/>
    <row r="38390" ht="12.75"/>
    <row r="38391" ht="12.75"/>
    <row r="38392" ht="12.75"/>
    <row r="38393" ht="12.75"/>
    <row r="38394" ht="12.75"/>
    <row r="38395" ht="12.75"/>
    <row r="38396" ht="12.75"/>
    <row r="38397" ht="12.75"/>
    <row r="38398" ht="12.75"/>
    <row r="38399" ht="12.75"/>
    <row r="38400" ht="12.75"/>
    <row r="38401" ht="12.75"/>
    <row r="38402" ht="12.75"/>
    <row r="38403" ht="12.75"/>
    <row r="38404" ht="12.75"/>
    <row r="38405" ht="12.75"/>
    <row r="38406" ht="12.75"/>
    <row r="38407" ht="12.75"/>
    <row r="38408" ht="12.75"/>
    <row r="38409" ht="12.75"/>
    <row r="38410" ht="12.75"/>
    <row r="38411" ht="12.75"/>
    <row r="38412" ht="12.75"/>
    <row r="38413" ht="12.75"/>
    <row r="38414" ht="12.75"/>
    <row r="38415" ht="12.75"/>
    <row r="38416" ht="12.75"/>
    <row r="38417" ht="12.75"/>
    <row r="38418" ht="12.75"/>
    <row r="38419" ht="12.75"/>
    <row r="38420" ht="12.75"/>
    <row r="38421" ht="12.75"/>
    <row r="38422" ht="12.75"/>
    <row r="38423" ht="12.75"/>
    <row r="38424" ht="12.75"/>
    <row r="38425" ht="12.75"/>
    <row r="38426" ht="12.75"/>
    <row r="38427" ht="12.75"/>
    <row r="38428" ht="12.75"/>
    <row r="38429" ht="12.75"/>
    <row r="38430" ht="12.75"/>
    <row r="38431" ht="12.75"/>
    <row r="38432" ht="12.75"/>
    <row r="38433" ht="12.75"/>
    <row r="38434" ht="12.75"/>
    <row r="38435" ht="12.75"/>
    <row r="38436" ht="12.75"/>
    <row r="38437" ht="12.75"/>
    <row r="38438" ht="12.75"/>
    <row r="38439" ht="12.75"/>
    <row r="38440" ht="12.75"/>
    <row r="38441" ht="12.75"/>
    <row r="38442" ht="12.75"/>
    <row r="38443" ht="12.75"/>
    <row r="38444" ht="12.75"/>
    <row r="38445" ht="12.75"/>
    <row r="38446" ht="12.75"/>
    <row r="38447" ht="12.75"/>
    <row r="38448" ht="12.75"/>
    <row r="38449" ht="12.75"/>
    <row r="38450" ht="12.75"/>
    <row r="38451" ht="12.75"/>
    <row r="38452" ht="12.75"/>
    <row r="38453" ht="12.75"/>
    <row r="38454" ht="12.75"/>
    <row r="38455" ht="12.75"/>
    <row r="38456" ht="12.75"/>
    <row r="38457" ht="12.75"/>
    <row r="38458" ht="12.75"/>
    <row r="38459" ht="12.75"/>
    <row r="38460" ht="12.75"/>
    <row r="38461" ht="12.75"/>
    <row r="38462" ht="12.75"/>
    <row r="38463" ht="12.75"/>
    <row r="38464" ht="12.75"/>
    <row r="38465" ht="12.75"/>
    <row r="38466" ht="12.75"/>
    <row r="38467" ht="12.75"/>
    <row r="38468" ht="12.75"/>
    <row r="38469" ht="12.75"/>
    <row r="38470" ht="12.75"/>
    <row r="38471" ht="12.75"/>
    <row r="38472" ht="12.75"/>
    <row r="38473" ht="12.75"/>
    <row r="38474" ht="12.75"/>
    <row r="38475" ht="12.75"/>
    <row r="38476" ht="12.75"/>
    <row r="38477" ht="12.75"/>
    <row r="38478" ht="12.75"/>
    <row r="38479" ht="12.75"/>
    <row r="38480" ht="12.75"/>
    <row r="38481" ht="12.75"/>
    <row r="38482" ht="12.75"/>
    <row r="38483" ht="12.75"/>
    <row r="38484" ht="12.75"/>
    <row r="38485" ht="12.75"/>
    <row r="38486" ht="12.75"/>
    <row r="38487" ht="12.75"/>
    <row r="38488" ht="12.75"/>
    <row r="38489" ht="12.75"/>
    <row r="38490" ht="12.75"/>
    <row r="38491" ht="12.75"/>
    <row r="38492" ht="12.75"/>
    <row r="38493" ht="12.75"/>
    <row r="38494" ht="12.75"/>
    <row r="38495" ht="12.75"/>
    <row r="38496" ht="12.75"/>
    <row r="38497" ht="12.75"/>
    <row r="38498" ht="12.75"/>
    <row r="38499" ht="12.75"/>
    <row r="38500" ht="12.75"/>
    <row r="38501" ht="12.75"/>
    <row r="38502" ht="12.75"/>
    <row r="38503" ht="12.75"/>
    <row r="38504" ht="12.75"/>
    <row r="38505" ht="12.75"/>
    <row r="38506" ht="12.75"/>
    <row r="38507" ht="12.75"/>
    <row r="38508" ht="12.75"/>
    <row r="38509" ht="12.75"/>
    <row r="38510" ht="12.75"/>
    <row r="38511" ht="12.75"/>
    <row r="38512" ht="12.75"/>
    <row r="38513" ht="12.75"/>
    <row r="38514" ht="12.75"/>
    <row r="38515" ht="12.75"/>
    <row r="38516" ht="12.75"/>
    <row r="38517" ht="12.75"/>
    <row r="38518" ht="12.75"/>
    <row r="38519" ht="12.75"/>
    <row r="38520" ht="12.75"/>
    <row r="38521" ht="12.75"/>
    <row r="38522" ht="12.75"/>
    <row r="38523" ht="12.75"/>
    <row r="38524" ht="12.75"/>
    <row r="38525" ht="12.75"/>
    <row r="38526" ht="12.75"/>
    <row r="38527" ht="12.75"/>
    <row r="38528" ht="12.75"/>
    <row r="38529" ht="12.75"/>
    <row r="38530" ht="12.75"/>
    <row r="38531" ht="12.75"/>
    <row r="38532" ht="12.75"/>
    <row r="38533" ht="12.75"/>
    <row r="38534" ht="12.75"/>
    <row r="38535" ht="12.75"/>
    <row r="38536" ht="12.75"/>
    <row r="38537" ht="12.75"/>
    <row r="38538" ht="12.75"/>
    <row r="38539" ht="12.75"/>
    <row r="38540" ht="12.75"/>
    <row r="38541" ht="12.75"/>
    <row r="38542" ht="12.75"/>
    <row r="38543" ht="12.75"/>
    <row r="38544" ht="12.75"/>
    <row r="38545" ht="12.75"/>
    <row r="38546" ht="12.75"/>
    <row r="38547" ht="12.75"/>
    <row r="38548" ht="12.75"/>
    <row r="38549" ht="12.75"/>
    <row r="38550" ht="12.75"/>
    <row r="38551" ht="12.75"/>
    <row r="38552" ht="12.75"/>
    <row r="38553" ht="12.75"/>
    <row r="38554" ht="12.75"/>
    <row r="38555" ht="12.75"/>
    <row r="38556" ht="12.75"/>
    <row r="38557" ht="12.75"/>
    <row r="38558" ht="12.75"/>
    <row r="38559" ht="12.75"/>
    <row r="38560" ht="12.75"/>
    <row r="38561" ht="12.75"/>
    <row r="38562" ht="12.75"/>
    <row r="38563" ht="12.75"/>
    <row r="38564" ht="12.75"/>
    <row r="38565" ht="12.75"/>
    <row r="38566" ht="12.75"/>
    <row r="38567" ht="12.75"/>
    <row r="38568" ht="12.75"/>
    <row r="38569" ht="12.75"/>
    <row r="38570" ht="12.75"/>
    <row r="38571" ht="12.75"/>
    <row r="38572" ht="12.75"/>
    <row r="38573" ht="12.75"/>
    <row r="38574" ht="12.75"/>
    <row r="38575" ht="12.75"/>
    <row r="38576" ht="12.75"/>
    <row r="38577" ht="12.75"/>
    <row r="38578" ht="12.75"/>
    <row r="38579" ht="12.75"/>
    <row r="38580" ht="12.75"/>
    <row r="38581" ht="12.75"/>
    <row r="38582" ht="12.75"/>
    <row r="38583" ht="12.75"/>
    <row r="38584" ht="12.75"/>
    <row r="38585" ht="12.75"/>
    <row r="38586" ht="12.75"/>
    <row r="38587" ht="12.75"/>
    <row r="38588" ht="12.75"/>
    <row r="38589" ht="12.75"/>
    <row r="38590" ht="12.75"/>
    <row r="38591" ht="12.75"/>
    <row r="38592" ht="12.75"/>
    <row r="38593" ht="12.75"/>
    <row r="38594" ht="12.75"/>
    <row r="38595" ht="12.75"/>
    <row r="38596" ht="12.75"/>
    <row r="38597" ht="12.75"/>
    <row r="38598" ht="12.75"/>
    <row r="38599" ht="12.75"/>
    <row r="38600" ht="12.75"/>
    <row r="38601" ht="12.75"/>
    <row r="38602" ht="12.75"/>
    <row r="38603" ht="12.75"/>
    <row r="38604" ht="12.75"/>
    <row r="38605" ht="12.75"/>
    <row r="38606" ht="12.75"/>
    <row r="38607" ht="12.75"/>
    <row r="38608" ht="12.75"/>
    <row r="38609" ht="12.75"/>
    <row r="38610" ht="12.75"/>
    <row r="38611" ht="12.75"/>
    <row r="38612" ht="12.75"/>
    <row r="38613" ht="12.75"/>
    <row r="38614" ht="12.75"/>
    <row r="38615" ht="12.75"/>
    <row r="38616" ht="12.75"/>
    <row r="38617" ht="12.75"/>
    <row r="38618" ht="12.75"/>
    <row r="38619" ht="12.75"/>
    <row r="38620" ht="12.75"/>
    <row r="38621" ht="12.75"/>
    <row r="38622" ht="12.75"/>
    <row r="38623" ht="12.75"/>
    <row r="38624" ht="12.75"/>
    <row r="38625" ht="12.75"/>
    <row r="38626" ht="12.75"/>
    <row r="38627" ht="12.75"/>
    <row r="38628" ht="12.75"/>
    <row r="38629" ht="12.75"/>
    <row r="38630" ht="12.75"/>
    <row r="38631" ht="12.75"/>
    <row r="38632" ht="12.75"/>
    <row r="38633" ht="12.75"/>
    <row r="38634" ht="12.75"/>
    <row r="38635" ht="12.75"/>
    <row r="38636" ht="12.75"/>
    <row r="38637" ht="12.75"/>
    <row r="38638" ht="12.75"/>
    <row r="38639" ht="12.75"/>
    <row r="38640" ht="12.75"/>
    <row r="38641" ht="12.75"/>
    <row r="38642" ht="12.75"/>
    <row r="38643" ht="12.75"/>
    <row r="38644" ht="12.75"/>
    <row r="38645" ht="12.75"/>
    <row r="38646" ht="12.75"/>
    <row r="38647" ht="12.75"/>
    <row r="38648" ht="12.75"/>
    <row r="38649" ht="12.75"/>
    <row r="38650" ht="12.75"/>
    <row r="38651" ht="12.75"/>
    <row r="38652" ht="12.75"/>
    <row r="38653" ht="12.75"/>
    <row r="38654" ht="12.75"/>
    <row r="38655" ht="12.75"/>
    <row r="38656" ht="12.75"/>
    <row r="38657" ht="12.75"/>
    <row r="38658" ht="12.75"/>
    <row r="38659" ht="12.75"/>
    <row r="38660" ht="12.75"/>
    <row r="38661" ht="12.75"/>
    <row r="38662" ht="12.75"/>
    <row r="38663" ht="12.75"/>
    <row r="38664" ht="12.75"/>
    <row r="38665" ht="12.75"/>
    <row r="38666" ht="12.75"/>
    <row r="38667" ht="12.75"/>
    <row r="38668" ht="12.75"/>
    <row r="38669" ht="12.75"/>
    <row r="38670" ht="12.75"/>
    <row r="38671" ht="12.75"/>
    <row r="38672" ht="12.75"/>
    <row r="38673" ht="12.75"/>
    <row r="38674" ht="12.75"/>
    <row r="38675" ht="12.75"/>
    <row r="38676" ht="12.75"/>
    <row r="38677" ht="12.75"/>
    <row r="38678" ht="12.75"/>
    <row r="38679" ht="12.75"/>
    <row r="38680" ht="12.75"/>
    <row r="38681" ht="12.75"/>
    <row r="38682" ht="12.75"/>
    <row r="38683" ht="12.75"/>
    <row r="38684" ht="12.75"/>
    <row r="38685" ht="12.75"/>
    <row r="38686" ht="12.75"/>
    <row r="38687" ht="12.75"/>
    <row r="38688" ht="12.75"/>
    <row r="38689" ht="12.75"/>
    <row r="38690" ht="12.75"/>
    <row r="38691" ht="12.75"/>
    <row r="38692" ht="12.75"/>
    <row r="38693" ht="12.75"/>
    <row r="38694" ht="12.75"/>
    <row r="38695" ht="12.75"/>
    <row r="38696" ht="12.75"/>
    <row r="38697" ht="12.75"/>
    <row r="38698" ht="12.75"/>
    <row r="38699" ht="12.75"/>
    <row r="38700" ht="12.75"/>
    <row r="38701" ht="12.75"/>
    <row r="38702" ht="12.75"/>
    <row r="38703" ht="12.75"/>
    <row r="38704" ht="12.75"/>
    <row r="38705" ht="12.75"/>
    <row r="38706" ht="12.75"/>
    <row r="38707" ht="12.75"/>
    <row r="38708" ht="12.75"/>
    <row r="38709" ht="12.75"/>
    <row r="38710" ht="12.75"/>
    <row r="38711" ht="12.75"/>
    <row r="38712" ht="12.75"/>
    <row r="38713" ht="12.75"/>
    <row r="38714" ht="12.75"/>
    <row r="38715" ht="12.75"/>
    <row r="38716" ht="12.75"/>
    <row r="38717" ht="12.75"/>
    <row r="38718" ht="12.75"/>
    <row r="38719" ht="12.75"/>
    <row r="38720" ht="12.75"/>
    <row r="38721" ht="12.75"/>
    <row r="38722" ht="12.75"/>
    <row r="38723" ht="12.75"/>
    <row r="38724" ht="12.75"/>
    <row r="38725" ht="12.75"/>
    <row r="38726" ht="12.75"/>
    <row r="38727" ht="12.75"/>
    <row r="38728" ht="12.75"/>
    <row r="38729" ht="12.75"/>
    <row r="38730" ht="12.75"/>
    <row r="38731" ht="12.75"/>
    <row r="38732" ht="12.75"/>
    <row r="38733" ht="12.75"/>
    <row r="38734" ht="12.75"/>
    <row r="38735" ht="12.75"/>
    <row r="38736" ht="12.75"/>
    <row r="38737" ht="12.75"/>
    <row r="38738" ht="12.75"/>
    <row r="38739" ht="12.75"/>
    <row r="38740" ht="12.75"/>
    <row r="38741" ht="12.75"/>
    <row r="38742" ht="12.75"/>
    <row r="38743" ht="12.75"/>
    <row r="38744" ht="12.75"/>
    <row r="38745" ht="12.75"/>
    <row r="38746" ht="12.75"/>
    <row r="38747" ht="12.75"/>
    <row r="38748" ht="12.75"/>
    <row r="38749" ht="12.75"/>
    <row r="38750" ht="12.75"/>
    <row r="38751" ht="12.75"/>
    <row r="38752" ht="12.75"/>
    <row r="38753" ht="12.75"/>
    <row r="38754" ht="12.75"/>
    <row r="38755" ht="12.75"/>
    <row r="38756" ht="12.75"/>
    <row r="38757" ht="12.75"/>
    <row r="38758" ht="12.75"/>
    <row r="38759" ht="12.75"/>
    <row r="38760" ht="12.75"/>
    <row r="38761" ht="12.75"/>
    <row r="38762" ht="12.75"/>
    <row r="38763" ht="12.75"/>
    <row r="38764" ht="12.75"/>
    <row r="38765" ht="12.75"/>
    <row r="38766" ht="12.75"/>
    <row r="38767" ht="12.75"/>
    <row r="38768" ht="12.75"/>
    <row r="38769" ht="12.75"/>
    <row r="38770" ht="12.75"/>
    <row r="38771" ht="12.75"/>
    <row r="38772" ht="12.75"/>
    <row r="38773" ht="12.75"/>
    <row r="38774" ht="12.75"/>
    <row r="38775" ht="12.75"/>
    <row r="38776" ht="12.75"/>
    <row r="38777" ht="12.75"/>
    <row r="38778" ht="12.75"/>
    <row r="38779" ht="12.75"/>
    <row r="38780" ht="12.75"/>
    <row r="38781" ht="12.75"/>
    <row r="38782" ht="12.75"/>
    <row r="38783" ht="12.75"/>
    <row r="38784" ht="12.75"/>
    <row r="38785" ht="12.75"/>
    <row r="38786" ht="12.75"/>
    <row r="38787" ht="12.75"/>
    <row r="38788" ht="12.75"/>
    <row r="38789" ht="12.75"/>
    <row r="38790" ht="12.75"/>
    <row r="38791" ht="12.75"/>
    <row r="38792" ht="12.75"/>
    <row r="38793" ht="12.75"/>
    <row r="38794" ht="12.75"/>
    <row r="38795" ht="12.75"/>
    <row r="38796" ht="12.75"/>
    <row r="38797" ht="12.75"/>
    <row r="38798" ht="12.75"/>
    <row r="38799" ht="12.75"/>
    <row r="38800" ht="12.75"/>
    <row r="38801" ht="12.75"/>
    <row r="38802" ht="12.75"/>
    <row r="38803" ht="12.75"/>
    <row r="38804" ht="12.75"/>
    <row r="38805" ht="12.75"/>
    <row r="38806" ht="12.75"/>
    <row r="38807" ht="12.75"/>
    <row r="38808" ht="12.75"/>
    <row r="38809" ht="12.75"/>
    <row r="38810" ht="12.75"/>
    <row r="38811" ht="12.75"/>
    <row r="38812" ht="12.75"/>
    <row r="38813" ht="12.75"/>
    <row r="38814" ht="12.75"/>
    <row r="38815" ht="12.75"/>
    <row r="38816" ht="12.75"/>
    <row r="38817" ht="12.75"/>
    <row r="38818" ht="12.75"/>
    <row r="38819" ht="12.75"/>
    <row r="38820" ht="12.75"/>
    <row r="38821" ht="12.75"/>
    <row r="38822" ht="12.75"/>
    <row r="38823" ht="12.75"/>
    <row r="38824" ht="12.75"/>
    <row r="38825" ht="12.75"/>
    <row r="38826" ht="12.75"/>
    <row r="38827" ht="12.75"/>
    <row r="38828" ht="12.75"/>
    <row r="38829" ht="12.75"/>
    <row r="38830" ht="12.75"/>
    <row r="38831" ht="12.75"/>
    <row r="38832" ht="12.75"/>
    <row r="38833" ht="12.75"/>
    <row r="38834" ht="12.75"/>
    <row r="38835" ht="12.75"/>
    <row r="38836" ht="12.75"/>
    <row r="38837" ht="12.75"/>
    <row r="38838" ht="12.75"/>
    <row r="38839" ht="12.75"/>
    <row r="38840" ht="12.75"/>
    <row r="38841" ht="12.75"/>
    <row r="38842" ht="12.75"/>
    <row r="38843" ht="12.75"/>
    <row r="38844" ht="12.75"/>
    <row r="38845" ht="12.75"/>
    <row r="38846" ht="12.75"/>
    <row r="38847" ht="12.75"/>
    <row r="38848" ht="12.75"/>
    <row r="38849" ht="12.75"/>
    <row r="38850" ht="12.75"/>
    <row r="38851" ht="12.75"/>
    <row r="38852" ht="12.75"/>
    <row r="38853" ht="12.75"/>
    <row r="38854" ht="12.75"/>
    <row r="38855" ht="12.75"/>
    <row r="38856" ht="12.75"/>
    <row r="38857" ht="12.75"/>
    <row r="38858" ht="12.75"/>
    <row r="38859" ht="12.75"/>
    <row r="38860" ht="12.75"/>
    <row r="38861" ht="12.75"/>
    <row r="38862" ht="12.75"/>
    <row r="38863" ht="12.75"/>
    <row r="38864" ht="12.75"/>
    <row r="38865" ht="12.75"/>
    <row r="38866" ht="12.75"/>
    <row r="38867" ht="12.75"/>
    <row r="38868" ht="12.75"/>
    <row r="38869" ht="12.75"/>
    <row r="38870" ht="12.75"/>
    <row r="38871" ht="12.75"/>
    <row r="38872" ht="12.75"/>
    <row r="38873" ht="12.75"/>
    <row r="38874" ht="12.75"/>
    <row r="38875" ht="12.75"/>
    <row r="38876" ht="12.75"/>
    <row r="38877" ht="12.75"/>
    <row r="38878" ht="12.75"/>
    <row r="38879" ht="12.75"/>
    <row r="38880" ht="12.75"/>
    <row r="38881" ht="12.75"/>
    <row r="38882" ht="12.75"/>
    <row r="38883" ht="12.75"/>
    <row r="38884" ht="12.75"/>
    <row r="38885" ht="12.75"/>
    <row r="38886" ht="12.75"/>
    <row r="38887" ht="12.75"/>
    <row r="38888" ht="12.75"/>
    <row r="38889" ht="12.75"/>
    <row r="38890" ht="12.75"/>
    <row r="38891" ht="12.75"/>
    <row r="38892" ht="12.75"/>
    <row r="38893" ht="12.75"/>
    <row r="38894" ht="12.75"/>
    <row r="38895" ht="12.75"/>
    <row r="38896" ht="12.75"/>
    <row r="38897" ht="12.75"/>
    <row r="38898" ht="12.75"/>
    <row r="38899" ht="12.75"/>
    <row r="38900" ht="12.75"/>
    <row r="38901" ht="12.75"/>
    <row r="38902" ht="12.75"/>
    <row r="38903" ht="12.75"/>
    <row r="38904" ht="12.75"/>
    <row r="38905" ht="12.75"/>
    <row r="38906" ht="12.75"/>
    <row r="38907" ht="12.75"/>
    <row r="38908" ht="12.75"/>
    <row r="38909" ht="12.75"/>
    <row r="38910" ht="12.75"/>
    <row r="38911" ht="12.75"/>
    <row r="38912" ht="12.75"/>
    <row r="38913" ht="12.75"/>
    <row r="38914" ht="12.75"/>
    <row r="38915" ht="12.75"/>
    <row r="38916" ht="12.75"/>
    <row r="38917" ht="12.75"/>
    <row r="38918" ht="12.75"/>
    <row r="38919" ht="12.75"/>
    <row r="38920" ht="12.75"/>
    <row r="38921" ht="12.75"/>
    <row r="38922" ht="12.75"/>
    <row r="38923" ht="12.75"/>
    <row r="38924" ht="12.75"/>
    <row r="38925" ht="12.75"/>
    <row r="38926" ht="12.75"/>
    <row r="38927" ht="12.75"/>
    <row r="38928" ht="12.75"/>
    <row r="38929" ht="12.75"/>
    <row r="38930" ht="12.75"/>
    <row r="38931" ht="12.75"/>
    <row r="38932" ht="12.75"/>
    <row r="38933" ht="12.75"/>
    <row r="38934" ht="12.75"/>
    <row r="38935" ht="12.75"/>
    <row r="38936" ht="12.75"/>
    <row r="38937" ht="12.75"/>
    <row r="38938" ht="12.75"/>
    <row r="38939" ht="12.75"/>
    <row r="38940" ht="12.75"/>
    <row r="38941" ht="12.75"/>
    <row r="38942" ht="12.75"/>
    <row r="38943" ht="12.75"/>
    <row r="38944" ht="12.75"/>
    <row r="38945" ht="12.75"/>
    <row r="38946" ht="12.75"/>
    <row r="38947" ht="12.75"/>
    <row r="38948" ht="12.75"/>
    <row r="38949" ht="12.75"/>
    <row r="38950" ht="12.75"/>
    <row r="38951" ht="12.75"/>
    <row r="38952" ht="12.75"/>
    <row r="38953" ht="12.75"/>
    <row r="38954" ht="12.75"/>
    <row r="38955" ht="12.75"/>
    <row r="38956" ht="12.75"/>
    <row r="38957" ht="12.75"/>
    <row r="38958" ht="12.75"/>
    <row r="38959" ht="12.75"/>
    <row r="38960" ht="12.75"/>
    <row r="38961" ht="12.75"/>
    <row r="38962" ht="12.75"/>
    <row r="38963" ht="12.75"/>
    <row r="38964" ht="12.75"/>
    <row r="38965" ht="12.75"/>
    <row r="38966" ht="12.75"/>
    <row r="38967" ht="12.75"/>
    <row r="38968" ht="12.75"/>
    <row r="38969" ht="12.75"/>
    <row r="38970" ht="12.75"/>
    <row r="38971" ht="12.75"/>
    <row r="38972" ht="12.75"/>
    <row r="38973" ht="12.75"/>
    <row r="38974" ht="12.75"/>
    <row r="38975" ht="12.75"/>
    <row r="38976" ht="12.75"/>
    <row r="38977" ht="12.75"/>
    <row r="38978" ht="12.75"/>
    <row r="38979" ht="12.75"/>
    <row r="38980" ht="12.75"/>
    <row r="38981" ht="12.75"/>
    <row r="38982" ht="12.75"/>
    <row r="38983" ht="12.75"/>
    <row r="38984" ht="12.75"/>
    <row r="38985" ht="12.75"/>
    <row r="38986" ht="12.75"/>
    <row r="38987" ht="12.75"/>
    <row r="38988" ht="12.75"/>
    <row r="38989" ht="12.75"/>
    <row r="38990" ht="12.75"/>
    <row r="38991" ht="12.75"/>
    <row r="38992" ht="12.75"/>
    <row r="38993" ht="12.75"/>
    <row r="38994" ht="12.75"/>
    <row r="38995" ht="12.75"/>
    <row r="38996" ht="12.75"/>
    <row r="38997" ht="12.75"/>
    <row r="38998" ht="12.75"/>
    <row r="38999" ht="12.75"/>
    <row r="39000" ht="12.75"/>
    <row r="39001" ht="12.75"/>
    <row r="39002" ht="12.75"/>
    <row r="39003" ht="12.75"/>
    <row r="39004" ht="12.75"/>
    <row r="39005" ht="12.75"/>
    <row r="39006" ht="12.75"/>
    <row r="39007" ht="12.75"/>
    <row r="39008" ht="12.75"/>
    <row r="39009" ht="12.75"/>
    <row r="39010" ht="12.75"/>
    <row r="39011" ht="12.75"/>
    <row r="39012" ht="12.75"/>
    <row r="39013" ht="12.75"/>
    <row r="39014" ht="12.75"/>
    <row r="39015" ht="12.75"/>
    <row r="39016" ht="12.75"/>
    <row r="39017" ht="12.75"/>
    <row r="39018" ht="12.75"/>
    <row r="39019" ht="12.75"/>
    <row r="39020" ht="12.75"/>
    <row r="39021" ht="12.75"/>
    <row r="39022" ht="12.75"/>
    <row r="39023" ht="12.75"/>
    <row r="39024" ht="12.75"/>
    <row r="39025" ht="12.75"/>
    <row r="39026" ht="12.75"/>
    <row r="39027" ht="12.75"/>
    <row r="39028" ht="12.75"/>
    <row r="39029" ht="12.75"/>
    <row r="39030" ht="12.75"/>
    <row r="39031" ht="12.75"/>
    <row r="39032" ht="12.75"/>
    <row r="39033" ht="12.75"/>
    <row r="39034" ht="12.75"/>
    <row r="39035" ht="12.75"/>
    <row r="39036" ht="12.75"/>
    <row r="39037" ht="12.75"/>
    <row r="39038" ht="12.75"/>
    <row r="39039" ht="12.75"/>
    <row r="39040" ht="12.75"/>
    <row r="39041" ht="12.75"/>
    <row r="39042" ht="12.75"/>
    <row r="39043" ht="12.75"/>
    <row r="39044" ht="12.75"/>
    <row r="39045" ht="12.75"/>
    <row r="39046" ht="12.75"/>
    <row r="39047" ht="12.75"/>
    <row r="39048" ht="12.75"/>
    <row r="39049" ht="12.75"/>
    <row r="39050" ht="12.75"/>
    <row r="39051" ht="12.75"/>
    <row r="39052" ht="12.75"/>
    <row r="39053" ht="12.75"/>
    <row r="39054" ht="12.75"/>
    <row r="39055" ht="12.75"/>
    <row r="39056" ht="12.75"/>
    <row r="39057" ht="12.75"/>
    <row r="39058" ht="12.75"/>
    <row r="39059" ht="12.75"/>
    <row r="39060" ht="12.75"/>
    <row r="39061" ht="12.75"/>
    <row r="39062" ht="12.75"/>
    <row r="39063" ht="12.75"/>
    <row r="39064" ht="12.75"/>
    <row r="39065" ht="12.75"/>
    <row r="39066" ht="12.75"/>
    <row r="39067" ht="12.75"/>
    <row r="39068" ht="12.75"/>
    <row r="39069" ht="12.75"/>
    <row r="39070" ht="12.75"/>
    <row r="39071" ht="12.75"/>
    <row r="39072" ht="12.75"/>
    <row r="39073" ht="12.75"/>
    <row r="39074" ht="12.75"/>
    <row r="39075" ht="12.75"/>
    <row r="39076" ht="12.75"/>
    <row r="39077" ht="12.75"/>
    <row r="39078" ht="12.75"/>
    <row r="39079" ht="12.75"/>
    <row r="39080" ht="12.75"/>
    <row r="39081" ht="12.75"/>
    <row r="39082" ht="12.75"/>
    <row r="39083" ht="12.75"/>
    <row r="39084" ht="12.75"/>
    <row r="39085" ht="12.75"/>
    <row r="39086" ht="12.75"/>
    <row r="39087" ht="12.75"/>
    <row r="39088" ht="12.75"/>
    <row r="39089" ht="12.75"/>
    <row r="39090" ht="12.75"/>
    <row r="39091" ht="12.75"/>
    <row r="39092" ht="12.75"/>
    <row r="39093" ht="12.75"/>
    <row r="39094" ht="12.75"/>
    <row r="39095" ht="12.75"/>
    <row r="39096" ht="12.75"/>
    <row r="39097" ht="12.75"/>
    <row r="39098" ht="12.75"/>
    <row r="39099" ht="12.75"/>
    <row r="39100" ht="12.75"/>
    <row r="39101" ht="12.75"/>
    <row r="39102" ht="12.75"/>
    <row r="39103" ht="12.75"/>
    <row r="39104" ht="12.75"/>
    <row r="39105" ht="12.75"/>
    <row r="39106" ht="12.75"/>
    <row r="39107" ht="12.75"/>
    <row r="39108" ht="12.75"/>
    <row r="39109" ht="12.75"/>
    <row r="39110" ht="12.75"/>
    <row r="39111" ht="12.75"/>
    <row r="39112" ht="12.75"/>
    <row r="39113" ht="12.75"/>
    <row r="39114" ht="12.75"/>
    <row r="39115" ht="12.75"/>
    <row r="39116" ht="12.75"/>
    <row r="39117" ht="12.75"/>
    <row r="39118" ht="12.75"/>
    <row r="39119" ht="12.75"/>
    <row r="39120" ht="12.75"/>
    <row r="39121" ht="12.75"/>
    <row r="39122" ht="12.75"/>
    <row r="39123" ht="12.75"/>
    <row r="39124" ht="12.75"/>
    <row r="39125" ht="12.75"/>
    <row r="39126" ht="12.75"/>
    <row r="39127" ht="12.75"/>
    <row r="39128" ht="12.75"/>
    <row r="39129" ht="12.75"/>
    <row r="39130" ht="12.75"/>
    <row r="39131" ht="12.75"/>
    <row r="39132" ht="12.75"/>
    <row r="39133" ht="12.75"/>
    <row r="39134" ht="12.75"/>
    <row r="39135" ht="12.75"/>
    <row r="39136" ht="12.75"/>
    <row r="39137" ht="12.75"/>
    <row r="39138" ht="12.75"/>
    <row r="39139" ht="12.75"/>
    <row r="39140" ht="12.75"/>
    <row r="39141" ht="12.75"/>
    <row r="39142" ht="12.75"/>
    <row r="39143" ht="12.75"/>
    <row r="39144" ht="12.75"/>
    <row r="39145" ht="12.75"/>
    <row r="39146" ht="12.75"/>
    <row r="39147" ht="12.75"/>
    <row r="39148" ht="12.75"/>
    <row r="39149" ht="12.75"/>
    <row r="39150" ht="12.75"/>
    <row r="39151" ht="12.75"/>
    <row r="39152" ht="12.75"/>
    <row r="39153" ht="12.75"/>
    <row r="39154" ht="12.75"/>
    <row r="39155" ht="12.75"/>
    <row r="39156" ht="12.75"/>
    <row r="39157" ht="12.75"/>
    <row r="39158" ht="12.75"/>
    <row r="39159" ht="12.75"/>
    <row r="39160" ht="12.75"/>
    <row r="39161" ht="12.75"/>
    <row r="39162" ht="12.75"/>
    <row r="39163" ht="12.75"/>
    <row r="39164" ht="12.75"/>
    <row r="39165" ht="12.75"/>
    <row r="39166" ht="12.75"/>
    <row r="39167" ht="12.75"/>
    <row r="39168" ht="12.75"/>
    <row r="39169" ht="12.75"/>
    <row r="39170" ht="12.75"/>
    <row r="39171" ht="12.75"/>
    <row r="39172" ht="12.75"/>
    <row r="39173" ht="12.75"/>
    <row r="39174" ht="12.75"/>
    <row r="39175" ht="12.75"/>
    <row r="39176" ht="12.75"/>
    <row r="39177" ht="12.75"/>
    <row r="39178" ht="12.75"/>
    <row r="39179" ht="12.75"/>
    <row r="39180" ht="12.75"/>
    <row r="39181" ht="12.75"/>
    <row r="39182" ht="12.75"/>
    <row r="39183" ht="12.75"/>
    <row r="39184" ht="12.75"/>
    <row r="39185" ht="12.75"/>
    <row r="39186" ht="12.75"/>
    <row r="39187" ht="12.75"/>
    <row r="39188" ht="12.75"/>
    <row r="39189" ht="12.75"/>
    <row r="39190" ht="12.75"/>
    <row r="39191" ht="12.75"/>
    <row r="39192" ht="12.75"/>
    <row r="39193" ht="12.75"/>
    <row r="39194" ht="12.75"/>
    <row r="39195" ht="12.75"/>
    <row r="39196" ht="12.75"/>
    <row r="39197" ht="12.75"/>
    <row r="39198" ht="12.75"/>
    <row r="39199" ht="12.75"/>
    <row r="39200" ht="12.75"/>
    <row r="39201" ht="12.75"/>
    <row r="39202" ht="12.75"/>
    <row r="39203" ht="12.75"/>
    <row r="39204" ht="12.75"/>
    <row r="39205" ht="12.75"/>
    <row r="39206" ht="12.75"/>
    <row r="39207" ht="12.75"/>
    <row r="39208" ht="12.75"/>
    <row r="39209" ht="12.75"/>
    <row r="39210" ht="12.75"/>
    <row r="39211" ht="12.75"/>
    <row r="39212" ht="12.75"/>
    <row r="39213" ht="12.75"/>
    <row r="39214" ht="12.75"/>
    <row r="39215" ht="12.75"/>
    <row r="39216" ht="12.75"/>
    <row r="39217" ht="12.75"/>
    <row r="39218" ht="12.75"/>
    <row r="39219" ht="12.75"/>
    <row r="39220" ht="12.75"/>
    <row r="39221" ht="12.75"/>
    <row r="39222" ht="12.75"/>
    <row r="39223" ht="12.75"/>
    <row r="39224" ht="12.75"/>
    <row r="39225" ht="12.75"/>
    <row r="39226" ht="12.75"/>
    <row r="39227" ht="12.75"/>
    <row r="39228" ht="12.75"/>
    <row r="39229" ht="12.75"/>
    <row r="39230" ht="12.75"/>
    <row r="39231" ht="12.75"/>
    <row r="39232" ht="12.75"/>
    <row r="39233" ht="12.75"/>
    <row r="39234" ht="12.75"/>
    <row r="39235" ht="12.75"/>
    <row r="39236" ht="12.75"/>
    <row r="39237" ht="12.75"/>
    <row r="39238" ht="12.75"/>
    <row r="39239" ht="12.75"/>
    <row r="39240" ht="12.75"/>
    <row r="39241" ht="12.75"/>
    <row r="39242" ht="12.75"/>
    <row r="39243" ht="12.75"/>
    <row r="39244" ht="12.75"/>
    <row r="39245" ht="12.75"/>
    <row r="39246" ht="12.75"/>
    <row r="39247" ht="12.75"/>
    <row r="39248" ht="12.75"/>
    <row r="39249" ht="12.75"/>
    <row r="39250" ht="12.75"/>
    <row r="39251" ht="12.75"/>
    <row r="39252" ht="12.75"/>
    <row r="39253" ht="12.75"/>
    <row r="39254" ht="12.75"/>
    <row r="39255" ht="12.75"/>
    <row r="39256" ht="12.75"/>
    <row r="39257" ht="12.75"/>
    <row r="39258" ht="12.75"/>
    <row r="39259" ht="12.75"/>
    <row r="39260" ht="12.75"/>
    <row r="39261" ht="12.75"/>
    <row r="39262" ht="12.75"/>
    <row r="39263" ht="12.75"/>
    <row r="39264" ht="12.75"/>
    <row r="39265" ht="12.75"/>
    <row r="39266" ht="12.75"/>
    <row r="39267" ht="12.75"/>
    <row r="39268" ht="12.75"/>
    <row r="39269" ht="12.75"/>
    <row r="39270" ht="12.75"/>
    <row r="39271" ht="12.75"/>
    <row r="39272" ht="12.75"/>
    <row r="39273" ht="12.75"/>
    <row r="39274" ht="12.75"/>
    <row r="39275" ht="12.75"/>
    <row r="39276" ht="12.75"/>
    <row r="39277" ht="12.75"/>
    <row r="39278" ht="12.75"/>
    <row r="39279" ht="12.75"/>
    <row r="39280" ht="12.75"/>
    <row r="39281" ht="12.75"/>
    <row r="39282" ht="12.75"/>
    <row r="39283" ht="12.75"/>
    <row r="39284" ht="12.75"/>
    <row r="39285" ht="12.75"/>
    <row r="39286" ht="12.75"/>
    <row r="39287" ht="12.75"/>
    <row r="39288" ht="12.75"/>
    <row r="39289" ht="12.75"/>
    <row r="39290" ht="12.75"/>
    <row r="39291" ht="12.75"/>
    <row r="39292" ht="12.75"/>
    <row r="39293" ht="12.75"/>
    <row r="39294" ht="12.75"/>
    <row r="39295" ht="12.75"/>
    <row r="39296" ht="12.75"/>
    <row r="39297" ht="12.75"/>
    <row r="39298" ht="12.75"/>
    <row r="39299" ht="12.75"/>
    <row r="39300" ht="12.75"/>
    <row r="39301" ht="12.75"/>
    <row r="39302" ht="12.75"/>
    <row r="39303" ht="12.75"/>
    <row r="39304" ht="12.75"/>
    <row r="39305" ht="12.75"/>
    <row r="39306" ht="12.75"/>
    <row r="39307" ht="12.75"/>
    <row r="39308" ht="12.75"/>
    <row r="39309" ht="12.75"/>
    <row r="39310" ht="12.75"/>
    <row r="39311" ht="12.75"/>
    <row r="39312" ht="12.75"/>
    <row r="39313" ht="12.75"/>
    <row r="39314" ht="12.75"/>
    <row r="39315" ht="12.75"/>
    <row r="39316" ht="12.75"/>
    <row r="39317" ht="12.75"/>
    <row r="39318" ht="12.75"/>
    <row r="39319" ht="12.75"/>
    <row r="39320" ht="12.75"/>
    <row r="39321" ht="12.75"/>
    <row r="39322" ht="12.75"/>
    <row r="39323" ht="12.75"/>
    <row r="39324" ht="12.75"/>
    <row r="39325" ht="12.75"/>
    <row r="39326" ht="12.75"/>
    <row r="39327" ht="12.75"/>
    <row r="39328" ht="12.75"/>
    <row r="39329" ht="12.75"/>
    <row r="39330" ht="12.75"/>
    <row r="39331" ht="12.75"/>
    <row r="39332" ht="12.75"/>
    <row r="39333" ht="12.75"/>
    <row r="39334" ht="12.75"/>
    <row r="39335" ht="12.75"/>
    <row r="39336" ht="12.75"/>
    <row r="39337" ht="12.75"/>
    <row r="39338" ht="12.75"/>
    <row r="39339" ht="12.75"/>
    <row r="39340" ht="12.75"/>
    <row r="39341" ht="12.75"/>
    <row r="39342" ht="12.75"/>
    <row r="39343" ht="12.75"/>
    <row r="39344" ht="12.75"/>
    <row r="39345" ht="12.75"/>
    <row r="39346" ht="12.75"/>
    <row r="39347" ht="12.75"/>
    <row r="39348" ht="12.75"/>
    <row r="39349" ht="12.75"/>
    <row r="39350" ht="12.75"/>
    <row r="39351" ht="12.75"/>
    <row r="39352" ht="12.75"/>
    <row r="39353" ht="12.75"/>
    <row r="39354" ht="12.75"/>
    <row r="39355" ht="12.75"/>
    <row r="39356" ht="12.75"/>
    <row r="39357" ht="12.75"/>
    <row r="39358" ht="12.75"/>
    <row r="39359" ht="12.75"/>
    <row r="39360" ht="12.75"/>
    <row r="39361" ht="12.75"/>
    <row r="39362" ht="12.75"/>
    <row r="39363" ht="12.75"/>
    <row r="39364" ht="12.75"/>
    <row r="39365" ht="12.75"/>
    <row r="39366" ht="12.75"/>
    <row r="39367" ht="12.75"/>
    <row r="39368" ht="12.75"/>
    <row r="39369" ht="12.75"/>
    <row r="39370" ht="12.75"/>
    <row r="39371" ht="12.75"/>
    <row r="39372" ht="12.75"/>
    <row r="39373" ht="12.75"/>
    <row r="39374" ht="12.75"/>
    <row r="39375" ht="12.75"/>
    <row r="39376" ht="12.75"/>
    <row r="39377" ht="12.75"/>
    <row r="39378" ht="12.75"/>
    <row r="39379" ht="12.75"/>
    <row r="39380" ht="12.75"/>
    <row r="39381" ht="12.75"/>
    <row r="39382" ht="12.75"/>
    <row r="39383" ht="12.75"/>
    <row r="39384" ht="12.75"/>
    <row r="39385" ht="12.75"/>
    <row r="39386" ht="12.75"/>
    <row r="39387" ht="12.75"/>
    <row r="39388" ht="12.75"/>
    <row r="39389" ht="12.75"/>
    <row r="39390" ht="12.75"/>
    <row r="39391" ht="12.75"/>
    <row r="39392" ht="12.75"/>
    <row r="39393" ht="12.75"/>
    <row r="39394" ht="12.75"/>
    <row r="39395" ht="12.75"/>
    <row r="39396" ht="12.75"/>
    <row r="39397" ht="12.75"/>
    <row r="39398" ht="12.75"/>
    <row r="39399" ht="12.75"/>
    <row r="39400" ht="12.75"/>
    <row r="39401" ht="12.75"/>
    <row r="39402" ht="12.75"/>
    <row r="39403" ht="12.75"/>
    <row r="39404" ht="12.75"/>
    <row r="39405" ht="12.75"/>
    <row r="39406" ht="12.75"/>
    <row r="39407" ht="12.75"/>
    <row r="39408" ht="12.75"/>
    <row r="39409" ht="12.75"/>
    <row r="39410" ht="12.75"/>
    <row r="39411" ht="12.75"/>
    <row r="39412" ht="12.75"/>
    <row r="39413" ht="12.75"/>
    <row r="39414" ht="12.75"/>
    <row r="39415" ht="12.75"/>
    <row r="39416" ht="12.75"/>
    <row r="39417" ht="12.75"/>
    <row r="39418" ht="12.75"/>
    <row r="39419" ht="12.75"/>
    <row r="39420" ht="12.75"/>
    <row r="39421" ht="12.75"/>
    <row r="39422" ht="12.75"/>
    <row r="39423" ht="12.75"/>
    <row r="39424" ht="12.75"/>
    <row r="39425" ht="12.75"/>
    <row r="39426" ht="12.75"/>
    <row r="39427" ht="12.75"/>
    <row r="39428" ht="12.75"/>
    <row r="39429" ht="12.75"/>
    <row r="39430" ht="12.75"/>
    <row r="39431" ht="12.75"/>
    <row r="39432" ht="12.75"/>
    <row r="39433" ht="12.75"/>
    <row r="39434" ht="12.75"/>
    <row r="39435" ht="12.75"/>
    <row r="39436" ht="12.75"/>
    <row r="39437" ht="12.75"/>
    <row r="39438" ht="12.75"/>
    <row r="39439" ht="12.75"/>
    <row r="39440" ht="12.75"/>
    <row r="39441" ht="12.75"/>
    <row r="39442" ht="12.75"/>
    <row r="39443" ht="12.75"/>
    <row r="39444" ht="12.75"/>
    <row r="39445" ht="12.75"/>
    <row r="39446" ht="12.75"/>
    <row r="39447" ht="12.75"/>
    <row r="39448" ht="12.75"/>
    <row r="39449" ht="12.75"/>
    <row r="39450" ht="12.75"/>
    <row r="39451" ht="12.75"/>
    <row r="39452" ht="12.75"/>
    <row r="39453" ht="12.75"/>
    <row r="39454" ht="12.75"/>
    <row r="39455" ht="12.75"/>
    <row r="39456" ht="12.75"/>
    <row r="39457" ht="12.75"/>
    <row r="39458" ht="12.75"/>
    <row r="39459" ht="12.75"/>
    <row r="39460" ht="12.75"/>
    <row r="39461" ht="12.75"/>
    <row r="39462" ht="12.75"/>
    <row r="39463" ht="12.75"/>
    <row r="39464" ht="12.75"/>
    <row r="39465" ht="12.75"/>
    <row r="39466" ht="12.75"/>
    <row r="39467" ht="12.75"/>
    <row r="39468" ht="12.75"/>
    <row r="39469" ht="12.75"/>
    <row r="39470" ht="12.75"/>
    <row r="39471" ht="12.75"/>
    <row r="39472" ht="12.75"/>
    <row r="39473" ht="12.75"/>
    <row r="39474" ht="12.75"/>
    <row r="39475" ht="12.75"/>
    <row r="39476" ht="12.75"/>
    <row r="39477" ht="12.75"/>
    <row r="39478" ht="12.75"/>
    <row r="39479" ht="12.75"/>
    <row r="39480" ht="12.75"/>
    <row r="39481" ht="12.75"/>
    <row r="39482" ht="12.75"/>
    <row r="39483" ht="12.75"/>
    <row r="39484" ht="12.75"/>
    <row r="39485" ht="12.75"/>
    <row r="39486" ht="12.75"/>
    <row r="39487" ht="12.75"/>
    <row r="39488" ht="12.75"/>
    <row r="39489" ht="12.75"/>
    <row r="39490" ht="12.75"/>
    <row r="39491" ht="12.75"/>
    <row r="39492" ht="12.75"/>
    <row r="39493" ht="12.75"/>
    <row r="39494" ht="12.75"/>
    <row r="39495" ht="12.75"/>
    <row r="39496" ht="12.75"/>
    <row r="39497" ht="12.75"/>
    <row r="39498" ht="12.75"/>
    <row r="39499" ht="12.75"/>
    <row r="39500" ht="12.75"/>
    <row r="39501" ht="12.75"/>
    <row r="39502" ht="12.75"/>
    <row r="39503" ht="12.75"/>
    <row r="39504" ht="12.75"/>
    <row r="39505" ht="12.75"/>
    <row r="39506" ht="12.75"/>
    <row r="39507" ht="12.75"/>
    <row r="39508" ht="12.75"/>
    <row r="39509" ht="12.75"/>
    <row r="39510" ht="12.75"/>
    <row r="39511" ht="12.75"/>
    <row r="39512" ht="12.75"/>
    <row r="39513" ht="12.75"/>
    <row r="39514" ht="12.75"/>
    <row r="39515" ht="12.75"/>
    <row r="39516" ht="12.75"/>
    <row r="39517" ht="12.75"/>
    <row r="39518" ht="12.75"/>
    <row r="39519" ht="12.75"/>
    <row r="39520" ht="12.75"/>
    <row r="39521" ht="12.75"/>
    <row r="39522" ht="12.75"/>
    <row r="39523" ht="12.75"/>
    <row r="39524" ht="12.75"/>
    <row r="39525" ht="12.75"/>
    <row r="39526" ht="12.75"/>
    <row r="39527" ht="12.75"/>
    <row r="39528" ht="12.75"/>
    <row r="39529" ht="12.75"/>
    <row r="39530" ht="12.75"/>
    <row r="39531" ht="12.75"/>
    <row r="39532" ht="12.75"/>
    <row r="39533" ht="12.75"/>
    <row r="39534" ht="12.75"/>
    <row r="39535" ht="12.75"/>
    <row r="39536" ht="12.75"/>
    <row r="39537" ht="12.75"/>
    <row r="39538" ht="12.75"/>
    <row r="39539" ht="12.75"/>
    <row r="39540" ht="12.75"/>
    <row r="39541" ht="12.75"/>
    <row r="39542" ht="12.75"/>
    <row r="39543" ht="12.75"/>
    <row r="39544" ht="12.75"/>
    <row r="39545" ht="12.75"/>
    <row r="39546" ht="12.75"/>
    <row r="39547" ht="12.75"/>
    <row r="39548" ht="12.75"/>
    <row r="39549" ht="12.75"/>
    <row r="39550" ht="12.75"/>
    <row r="39551" ht="12.75"/>
    <row r="39552" ht="12.75"/>
    <row r="39553" ht="12.75"/>
    <row r="39554" ht="12.75"/>
    <row r="39555" ht="12.75"/>
    <row r="39556" ht="12.75"/>
    <row r="39557" ht="12.75"/>
    <row r="39558" ht="12.75"/>
    <row r="39559" ht="12.75"/>
    <row r="39560" ht="12.75"/>
    <row r="39561" ht="12.75"/>
    <row r="39562" ht="12.75"/>
    <row r="39563" ht="12.75"/>
    <row r="39564" ht="12.75"/>
    <row r="39565" ht="12.75"/>
    <row r="39566" ht="12.75"/>
    <row r="39567" ht="12.75"/>
    <row r="39568" ht="12.75"/>
    <row r="39569" ht="12.75"/>
    <row r="39570" ht="12.75"/>
    <row r="39571" ht="12.75"/>
    <row r="39572" ht="12.75"/>
    <row r="39573" ht="12.75"/>
    <row r="39574" ht="12.75"/>
    <row r="39575" ht="12.75"/>
    <row r="39576" ht="12.75"/>
    <row r="39577" ht="12.75"/>
    <row r="39578" ht="12.75"/>
    <row r="39579" ht="12.75"/>
    <row r="39580" ht="12.75"/>
    <row r="39581" ht="12.75"/>
    <row r="39582" ht="12.75"/>
    <row r="39583" ht="12.75"/>
    <row r="39584" ht="12.75"/>
    <row r="39585" ht="12.75"/>
    <row r="39586" ht="12.75"/>
    <row r="39587" ht="12.75"/>
    <row r="39588" ht="12.75"/>
    <row r="39589" ht="12.75"/>
    <row r="39590" ht="12.75"/>
    <row r="39591" ht="12.75"/>
    <row r="39592" ht="12.75"/>
    <row r="39593" ht="12.75"/>
    <row r="39594" ht="12.75"/>
    <row r="39595" ht="12.75"/>
    <row r="39596" ht="12.75"/>
    <row r="39597" ht="12.75"/>
    <row r="39598" ht="12.75"/>
    <row r="39599" ht="12.75"/>
    <row r="39600" ht="12.75"/>
    <row r="39601" ht="12.75"/>
    <row r="39602" ht="12.75"/>
    <row r="39603" ht="12.75"/>
    <row r="39604" ht="12.75"/>
    <row r="39605" ht="12.75"/>
    <row r="39606" ht="12.75"/>
    <row r="39607" ht="12.75"/>
    <row r="39608" ht="12.75"/>
    <row r="39609" ht="12.75"/>
    <row r="39610" ht="12.75"/>
    <row r="39611" ht="12.75"/>
    <row r="39612" ht="12.75"/>
    <row r="39613" ht="12.75"/>
    <row r="39614" ht="12.75"/>
    <row r="39615" ht="12.75"/>
    <row r="39616" ht="12.75"/>
    <row r="39617" ht="12.75"/>
    <row r="39618" ht="12.75"/>
    <row r="39619" ht="12.75"/>
    <row r="39620" ht="12.75"/>
    <row r="39621" ht="12.75"/>
    <row r="39622" ht="12.75"/>
    <row r="39623" ht="12.75"/>
    <row r="39624" ht="12.75"/>
    <row r="39625" ht="12.75"/>
    <row r="39626" ht="12.75"/>
    <row r="39627" ht="12.75"/>
    <row r="39628" ht="12.75"/>
    <row r="39629" ht="12.75"/>
    <row r="39630" ht="12.75"/>
    <row r="39631" ht="12.75"/>
    <row r="39632" ht="12.75"/>
    <row r="39633" ht="12.75"/>
    <row r="39634" ht="12.75"/>
    <row r="39635" ht="12.75"/>
    <row r="39636" ht="12.75"/>
    <row r="39637" ht="12.75"/>
    <row r="39638" ht="12.75"/>
    <row r="39639" ht="12.75"/>
    <row r="39640" ht="12.75"/>
    <row r="39641" ht="12.75"/>
    <row r="39642" ht="12.75"/>
    <row r="39643" ht="12.75"/>
    <row r="39644" ht="12.75"/>
    <row r="39645" ht="12.75"/>
    <row r="39646" ht="12.75"/>
    <row r="39647" ht="12.75"/>
    <row r="39648" ht="12.75"/>
    <row r="39649" ht="12.75"/>
    <row r="39650" ht="12.75"/>
    <row r="39651" ht="12.75"/>
    <row r="39652" ht="12.75"/>
    <row r="39653" ht="12.75"/>
    <row r="39654" ht="12.75"/>
    <row r="39655" ht="12.75"/>
    <row r="39656" ht="12.75"/>
    <row r="39657" ht="12.75"/>
    <row r="39658" ht="12.75"/>
    <row r="39659" ht="12.75"/>
    <row r="39660" ht="12.75"/>
    <row r="39661" ht="12.75"/>
    <row r="39662" ht="12.75"/>
    <row r="39663" ht="12.75"/>
    <row r="39664" ht="12.75"/>
    <row r="39665" ht="12.75"/>
    <row r="39666" ht="12.75"/>
    <row r="39667" ht="12.75"/>
    <row r="39668" ht="12.75"/>
    <row r="39669" ht="12.75"/>
    <row r="39670" ht="12.75"/>
    <row r="39671" ht="12.75"/>
    <row r="39672" ht="12.75"/>
    <row r="39673" ht="12.75"/>
    <row r="39674" ht="12.75"/>
    <row r="39675" ht="12.75"/>
    <row r="39676" ht="12.75"/>
    <row r="39677" ht="12.75"/>
    <row r="39678" ht="12.75"/>
    <row r="39679" ht="12.75"/>
    <row r="39680" ht="12.75"/>
    <row r="39681" ht="12.75"/>
    <row r="39682" ht="12.75"/>
    <row r="39683" ht="12.75"/>
    <row r="39684" ht="12.75"/>
    <row r="39685" ht="12.75"/>
    <row r="39686" ht="12.75"/>
    <row r="39687" ht="12.75"/>
    <row r="39688" ht="12.75"/>
    <row r="39689" ht="12.75"/>
    <row r="39690" ht="12.75"/>
    <row r="39691" ht="12.75"/>
    <row r="39692" ht="12.75"/>
    <row r="39693" ht="12.75"/>
    <row r="39694" ht="12.75"/>
    <row r="39695" ht="12.75"/>
    <row r="39696" ht="12.75"/>
    <row r="39697" ht="12.75"/>
    <row r="39698" ht="12.75"/>
    <row r="39699" ht="12.75"/>
    <row r="39700" ht="12.75"/>
    <row r="39701" ht="12.75"/>
    <row r="39702" ht="12.75"/>
    <row r="39703" ht="12.75"/>
    <row r="39704" ht="12.75"/>
    <row r="39705" ht="12.75"/>
    <row r="39706" ht="12.75"/>
    <row r="39707" ht="12.75"/>
    <row r="39708" ht="12.75"/>
    <row r="39709" ht="12.75"/>
    <row r="39710" ht="12.75"/>
    <row r="39711" ht="12.75"/>
    <row r="39712" ht="12.75"/>
    <row r="39713" ht="12.75"/>
    <row r="39714" ht="12.75"/>
    <row r="39715" ht="12.75"/>
    <row r="39716" ht="12.75"/>
    <row r="39717" ht="12.75"/>
    <row r="39718" ht="12.75"/>
    <row r="39719" ht="12.75"/>
    <row r="39720" ht="12.75"/>
    <row r="39721" ht="12.75"/>
    <row r="39722" ht="12.75"/>
    <row r="39723" ht="12.75"/>
    <row r="39724" ht="12.75"/>
    <row r="39725" ht="12.75"/>
    <row r="39726" ht="12.75"/>
    <row r="39727" ht="12.75"/>
    <row r="39728" ht="12.75"/>
    <row r="39729" ht="12.75"/>
    <row r="39730" ht="12.75"/>
    <row r="39731" ht="12.75"/>
    <row r="39732" ht="12.75"/>
    <row r="39733" ht="12.75"/>
    <row r="39734" ht="12.75"/>
    <row r="39735" ht="12.75"/>
    <row r="39736" ht="12.75"/>
    <row r="39737" ht="12.75"/>
    <row r="39738" ht="12.75"/>
    <row r="39739" ht="12.75"/>
    <row r="39740" ht="12.75"/>
    <row r="39741" ht="12.75"/>
    <row r="39742" ht="12.75"/>
    <row r="39743" ht="12.75"/>
    <row r="39744" ht="12.75"/>
    <row r="39745" ht="12.75"/>
    <row r="39746" ht="12.75"/>
    <row r="39747" ht="12.75"/>
    <row r="39748" ht="12.75"/>
    <row r="39749" ht="12.75"/>
    <row r="39750" ht="12.75"/>
    <row r="39751" ht="12.75"/>
    <row r="39752" ht="12.75"/>
    <row r="39753" ht="12.75"/>
    <row r="39754" ht="12.75"/>
    <row r="39755" ht="12.75"/>
    <row r="39756" ht="12.75"/>
    <row r="39757" ht="12.75"/>
    <row r="39758" ht="12.75"/>
    <row r="39759" ht="12.75"/>
    <row r="39760" ht="12.75"/>
    <row r="39761" ht="12.75"/>
    <row r="39762" ht="12.75"/>
    <row r="39763" ht="12.75"/>
    <row r="39764" ht="12.75"/>
    <row r="39765" ht="12.75"/>
    <row r="39766" ht="12.75"/>
    <row r="39767" ht="12.75"/>
    <row r="39768" ht="12.75"/>
    <row r="39769" ht="12.75"/>
    <row r="39770" ht="12.75"/>
    <row r="39771" ht="12.75"/>
    <row r="39772" ht="12.75"/>
    <row r="39773" ht="12.75"/>
    <row r="39774" ht="12.75"/>
    <row r="39775" ht="12.75"/>
    <row r="39776" ht="12.75"/>
    <row r="39777" ht="12.75"/>
    <row r="39778" ht="12.75"/>
    <row r="39779" ht="12.75"/>
    <row r="39780" ht="12.75"/>
    <row r="39781" ht="12.75"/>
    <row r="39782" ht="12.75"/>
    <row r="39783" ht="12.75"/>
    <row r="39784" ht="12.75"/>
    <row r="39785" ht="12.75"/>
    <row r="39786" ht="12.75"/>
    <row r="39787" ht="12.75"/>
    <row r="39788" ht="12.75"/>
    <row r="39789" ht="12.75"/>
    <row r="39790" ht="12.75"/>
    <row r="39791" ht="12.75"/>
    <row r="39792" ht="12.75"/>
    <row r="39793" ht="12.75"/>
    <row r="39794" ht="12.75"/>
    <row r="39795" ht="12.75"/>
    <row r="39796" ht="12.75"/>
    <row r="39797" ht="12.75"/>
    <row r="39798" ht="12.75"/>
    <row r="39799" ht="12.75"/>
    <row r="39800" ht="12.75"/>
    <row r="39801" ht="12.75"/>
    <row r="39802" ht="12.75"/>
    <row r="39803" ht="12.75"/>
    <row r="39804" ht="12.75"/>
    <row r="39805" ht="12.75"/>
    <row r="39806" ht="12.75"/>
    <row r="39807" ht="12.75"/>
    <row r="39808" ht="12.75"/>
    <row r="39809" ht="12.75"/>
    <row r="39810" ht="12.75"/>
    <row r="39811" ht="12.75"/>
    <row r="39812" ht="12.75"/>
    <row r="39813" ht="12.75"/>
    <row r="39814" ht="12.75"/>
    <row r="39815" ht="12.75"/>
    <row r="39816" ht="12.75"/>
    <row r="39817" ht="12.75"/>
    <row r="39818" ht="12.75"/>
    <row r="39819" ht="12.75"/>
    <row r="39820" ht="12.75"/>
    <row r="39821" ht="12.75"/>
    <row r="39822" ht="12.75"/>
    <row r="39823" ht="12.75"/>
    <row r="39824" ht="12.75"/>
    <row r="39825" ht="12.75"/>
    <row r="39826" ht="12.75"/>
    <row r="39827" ht="12.75"/>
    <row r="39828" ht="12.75"/>
    <row r="39829" ht="12.75"/>
    <row r="39830" ht="12.75"/>
    <row r="39831" ht="12.75"/>
    <row r="39832" ht="12.75"/>
    <row r="39833" ht="12.75"/>
    <row r="39834" ht="12.75"/>
    <row r="39835" ht="12.75"/>
    <row r="39836" ht="12.75"/>
    <row r="39837" ht="12.75"/>
    <row r="39838" ht="12.75"/>
    <row r="39839" ht="12.75"/>
    <row r="39840" ht="12.75"/>
    <row r="39841" ht="12.75"/>
    <row r="39842" ht="12.75"/>
    <row r="39843" ht="12.75"/>
    <row r="39844" ht="12.75"/>
    <row r="39845" ht="12.75"/>
    <row r="39846" ht="12.75"/>
    <row r="39847" ht="12.75"/>
    <row r="39848" ht="12.75"/>
    <row r="39849" ht="12.75"/>
    <row r="39850" ht="12.75"/>
    <row r="39851" ht="12.75"/>
    <row r="39852" ht="12.75"/>
    <row r="39853" ht="12.75"/>
    <row r="39854" ht="12.75"/>
    <row r="39855" ht="12.75"/>
    <row r="39856" ht="12.75"/>
    <row r="39857" ht="12.75"/>
    <row r="39858" ht="12.75"/>
    <row r="39859" ht="12.75"/>
    <row r="39860" ht="12.75"/>
    <row r="39861" ht="12.75"/>
    <row r="39862" ht="12.75"/>
    <row r="39863" ht="12.75"/>
    <row r="39864" ht="12.75"/>
    <row r="39865" ht="12.75"/>
    <row r="39866" ht="12.75"/>
    <row r="39867" ht="12.75"/>
    <row r="39868" ht="12.75"/>
    <row r="39869" ht="12.75"/>
    <row r="39870" ht="12.75"/>
    <row r="39871" ht="12.75"/>
    <row r="39872" ht="12.75"/>
    <row r="39873" ht="12.75"/>
    <row r="39874" ht="12.75"/>
    <row r="39875" ht="12.75"/>
    <row r="39876" ht="12.75"/>
    <row r="39877" ht="12.75"/>
    <row r="39878" ht="12.75"/>
    <row r="39879" ht="12.75"/>
    <row r="39880" ht="12.75"/>
    <row r="39881" ht="12.75"/>
    <row r="39882" ht="12.75"/>
    <row r="39883" ht="12.75"/>
    <row r="39884" ht="12.75"/>
    <row r="39885" ht="12.75"/>
    <row r="39886" ht="12.75"/>
    <row r="39887" ht="12.75"/>
    <row r="39888" ht="12.75"/>
    <row r="39889" ht="12.75"/>
    <row r="39890" ht="12.75"/>
    <row r="39891" ht="12.75"/>
    <row r="39892" ht="12.75"/>
    <row r="39893" ht="12.75"/>
    <row r="39894" ht="12.75"/>
    <row r="39895" ht="12.75"/>
    <row r="39896" ht="12.75"/>
    <row r="39897" ht="12.75"/>
    <row r="39898" ht="12.75"/>
    <row r="39899" ht="12.75"/>
    <row r="39900" ht="12.75"/>
    <row r="39901" ht="12.75"/>
    <row r="39902" ht="12.75"/>
    <row r="39903" ht="12.75"/>
    <row r="39904" ht="12.75"/>
    <row r="39905" ht="12.75"/>
    <row r="39906" ht="12.75"/>
    <row r="39907" ht="12.75"/>
    <row r="39908" ht="12.75"/>
    <row r="39909" ht="12.75"/>
    <row r="39910" ht="12.75"/>
    <row r="39911" ht="12.75"/>
    <row r="39912" ht="12.75"/>
    <row r="39913" ht="12.75"/>
    <row r="39914" ht="12.75"/>
    <row r="39915" ht="12.75"/>
    <row r="39916" ht="12.75"/>
    <row r="39917" ht="12.75"/>
    <row r="39918" ht="12.75"/>
    <row r="39919" ht="12.75"/>
    <row r="39920" ht="12.75"/>
    <row r="39921" ht="12.75"/>
    <row r="39922" ht="12.75"/>
    <row r="39923" ht="12.75"/>
    <row r="39924" ht="12.75"/>
    <row r="39925" ht="12.75"/>
    <row r="39926" ht="12.75"/>
    <row r="39927" ht="12.75"/>
    <row r="39928" ht="12.75"/>
    <row r="39929" ht="12.75"/>
    <row r="39930" ht="12.75"/>
    <row r="39931" ht="12.75"/>
    <row r="39932" ht="12.75"/>
    <row r="39933" ht="12.75"/>
    <row r="39934" ht="12.75"/>
    <row r="39935" ht="12.75"/>
    <row r="39936" ht="12.75"/>
    <row r="39937" ht="12.75"/>
    <row r="39938" ht="12.75"/>
    <row r="39939" ht="12.75"/>
    <row r="39940" ht="12.75"/>
    <row r="39941" ht="12.75"/>
    <row r="39942" ht="12.75"/>
    <row r="39943" ht="12.75"/>
    <row r="39944" ht="12.75"/>
    <row r="39945" ht="12.75"/>
    <row r="39946" ht="12.75"/>
    <row r="39947" ht="12.75"/>
    <row r="39948" ht="12.75"/>
    <row r="39949" ht="12.75"/>
    <row r="39950" ht="12.75"/>
    <row r="39951" ht="12.75"/>
    <row r="39952" ht="12.75"/>
    <row r="39953" ht="12.75"/>
    <row r="39954" ht="12.75"/>
    <row r="39955" ht="12.75"/>
    <row r="39956" ht="12.75"/>
    <row r="39957" ht="12.75"/>
    <row r="39958" ht="12.75"/>
    <row r="39959" ht="12.75"/>
    <row r="39960" ht="12.75"/>
    <row r="39961" ht="12.75"/>
    <row r="39962" ht="12.75"/>
    <row r="39963" ht="12.75"/>
    <row r="39964" ht="12.75"/>
    <row r="39965" ht="12.75"/>
    <row r="39966" ht="12.75"/>
    <row r="39967" ht="12.75"/>
    <row r="39968" ht="12.75"/>
    <row r="39969" ht="12.75"/>
    <row r="39970" ht="12.75"/>
    <row r="39971" ht="12.75"/>
    <row r="39972" ht="12.75"/>
    <row r="39973" ht="12.75"/>
    <row r="39974" ht="12.75"/>
    <row r="39975" ht="12.75"/>
    <row r="39976" ht="12.75"/>
    <row r="39977" ht="12.75"/>
    <row r="39978" ht="12.75"/>
    <row r="39979" ht="12.75"/>
    <row r="39980" ht="12.75"/>
    <row r="39981" ht="12.75"/>
    <row r="39982" ht="12.75"/>
    <row r="39983" ht="12.75"/>
    <row r="39984" ht="12.75"/>
    <row r="39985" ht="12.75"/>
    <row r="39986" ht="12.75"/>
    <row r="39987" ht="12.75"/>
    <row r="39988" ht="12.75"/>
    <row r="39989" ht="12.75"/>
    <row r="39990" ht="12.75"/>
    <row r="39991" ht="12.75"/>
    <row r="39992" ht="12.75"/>
    <row r="39993" ht="12.75"/>
    <row r="39994" ht="12.75"/>
    <row r="39995" ht="12.75"/>
    <row r="39996" ht="12.75"/>
    <row r="39997" ht="12.75"/>
    <row r="39998" ht="12.75"/>
    <row r="39999" ht="12.75"/>
    <row r="40000" ht="12.75"/>
    <row r="40001" ht="12.75"/>
    <row r="40002" ht="12.75"/>
    <row r="40003" ht="12.75"/>
    <row r="40004" ht="12.75"/>
    <row r="40005" ht="12.75"/>
    <row r="40006" ht="12.75"/>
    <row r="40007" ht="12.75"/>
    <row r="40008" ht="12.75"/>
    <row r="40009" ht="12.75"/>
    <row r="40010" ht="12.75"/>
    <row r="40011" ht="12.75"/>
    <row r="40012" ht="12.75"/>
    <row r="40013" ht="12.75"/>
    <row r="40014" ht="12.75"/>
    <row r="40015" ht="12.75"/>
    <row r="40016" ht="12.75"/>
    <row r="40017" ht="12.75"/>
    <row r="40018" ht="12.75"/>
    <row r="40019" ht="12.75"/>
    <row r="40020" ht="12.75"/>
    <row r="40021" ht="12.75"/>
    <row r="40022" ht="12.75"/>
    <row r="40023" ht="12.75"/>
    <row r="40024" ht="12.75"/>
    <row r="40025" ht="12.75"/>
    <row r="40026" ht="12.75"/>
    <row r="40027" ht="12.75"/>
    <row r="40028" ht="12.75"/>
    <row r="40029" ht="12.75"/>
    <row r="40030" ht="12.75"/>
    <row r="40031" ht="12.75"/>
    <row r="40032" ht="12.75"/>
    <row r="40033" ht="12.75"/>
    <row r="40034" ht="12.75"/>
    <row r="40035" ht="12.75"/>
    <row r="40036" ht="12.75"/>
    <row r="40037" ht="12.75"/>
    <row r="40038" ht="12.75"/>
    <row r="40039" ht="12.75"/>
    <row r="40040" ht="12.75"/>
    <row r="40041" ht="12.75"/>
    <row r="40042" ht="12.75"/>
    <row r="40043" ht="12.75"/>
    <row r="40044" ht="12.75"/>
    <row r="40045" ht="12.75"/>
    <row r="40046" ht="12.75"/>
    <row r="40047" ht="12.75"/>
    <row r="40048" ht="12.75"/>
    <row r="40049" ht="12.75"/>
    <row r="40050" ht="12.75"/>
    <row r="40051" ht="12.75"/>
    <row r="40052" ht="12.75"/>
    <row r="40053" ht="12.75"/>
    <row r="40054" ht="12.75"/>
    <row r="40055" ht="12.75"/>
    <row r="40056" ht="12.75"/>
    <row r="40057" ht="12.75"/>
    <row r="40058" ht="12.75"/>
    <row r="40059" ht="12.75"/>
    <row r="40060" ht="12.75"/>
    <row r="40061" ht="12.75"/>
    <row r="40062" ht="12.75"/>
    <row r="40063" ht="12.75"/>
    <row r="40064" ht="12.75"/>
    <row r="40065" ht="12.75"/>
    <row r="40066" ht="12.75"/>
    <row r="40067" ht="12.75"/>
    <row r="40068" ht="12.75"/>
    <row r="40069" ht="12.75"/>
    <row r="40070" ht="12.75"/>
    <row r="40071" ht="12.75"/>
    <row r="40072" ht="12.75"/>
    <row r="40073" ht="12.75"/>
    <row r="40074" ht="12.75"/>
    <row r="40075" ht="12.75"/>
    <row r="40076" ht="12.75"/>
    <row r="40077" ht="12.75"/>
    <row r="40078" ht="12.75"/>
    <row r="40079" ht="12.75"/>
    <row r="40080" ht="12.75"/>
    <row r="40081" ht="12.75"/>
    <row r="40082" ht="12.75"/>
    <row r="40083" ht="12.75"/>
    <row r="40084" ht="12.75"/>
    <row r="40085" ht="12.75"/>
    <row r="40086" ht="12.75"/>
    <row r="40087" ht="12.75"/>
    <row r="40088" ht="12.75"/>
    <row r="40089" ht="12.75"/>
    <row r="40090" ht="12.75"/>
    <row r="40091" ht="12.75"/>
    <row r="40092" ht="12.75"/>
    <row r="40093" ht="12.75"/>
    <row r="40094" ht="12.75"/>
    <row r="40095" ht="12.75"/>
    <row r="40096" ht="12.75"/>
    <row r="40097" ht="12.75"/>
    <row r="40098" ht="12.75"/>
    <row r="40099" ht="12.75"/>
    <row r="40100" ht="12.75"/>
    <row r="40101" ht="12.75"/>
    <row r="40102" ht="12.75"/>
    <row r="40103" ht="12.75"/>
    <row r="40104" ht="12.75"/>
    <row r="40105" ht="12.75"/>
    <row r="40106" ht="12.75"/>
    <row r="40107" ht="12.75"/>
    <row r="40108" ht="12.75"/>
    <row r="40109" ht="12.75"/>
    <row r="40110" ht="12.75"/>
    <row r="40111" ht="12.75"/>
    <row r="40112" ht="12.75"/>
    <row r="40113" ht="12.75"/>
    <row r="40114" ht="12.75"/>
    <row r="40115" ht="12.75"/>
    <row r="40116" ht="12.75"/>
    <row r="40117" ht="12.75"/>
    <row r="40118" ht="12.75"/>
    <row r="40119" ht="12.75"/>
    <row r="40120" ht="12.75"/>
    <row r="40121" ht="12.75"/>
    <row r="40122" ht="12.75"/>
    <row r="40123" ht="12.75"/>
    <row r="40124" ht="12.75"/>
    <row r="40125" ht="12.75"/>
    <row r="40126" ht="12.75"/>
    <row r="40127" ht="12.75"/>
    <row r="40128" ht="12.75"/>
    <row r="40129" ht="12.75"/>
    <row r="40130" ht="12.75"/>
    <row r="40131" ht="12.75"/>
    <row r="40132" ht="12.75"/>
    <row r="40133" ht="12.75"/>
    <row r="40134" ht="12.75"/>
    <row r="40135" ht="12.75"/>
    <row r="40136" ht="12.75"/>
    <row r="40137" ht="12.75"/>
    <row r="40138" ht="12.75"/>
    <row r="40139" ht="12.75"/>
    <row r="40140" ht="12.75"/>
    <row r="40141" ht="12.75"/>
    <row r="40142" ht="12.75"/>
    <row r="40143" ht="12.75"/>
    <row r="40144" ht="12.75"/>
    <row r="40145" ht="12.75"/>
    <row r="40146" ht="12.75"/>
    <row r="40147" ht="12.75"/>
    <row r="40148" ht="12.75"/>
    <row r="40149" ht="12.75"/>
    <row r="40150" ht="12.75"/>
    <row r="40151" ht="12.75"/>
    <row r="40152" ht="12.75"/>
    <row r="40153" ht="12.75"/>
    <row r="40154" ht="12.75"/>
    <row r="40155" ht="12.75"/>
    <row r="40156" ht="12.75"/>
    <row r="40157" ht="12.75"/>
    <row r="40158" ht="12.75"/>
    <row r="40159" ht="12.75"/>
    <row r="40160" ht="12.75"/>
    <row r="40161" ht="12.75"/>
    <row r="40162" ht="12.75"/>
    <row r="40163" ht="12.75"/>
    <row r="40164" ht="12.75"/>
    <row r="40165" ht="12.75"/>
    <row r="40166" ht="12.75"/>
    <row r="40167" ht="12.75"/>
    <row r="40168" ht="12.75"/>
    <row r="40169" ht="12.75"/>
    <row r="40170" ht="12.75"/>
    <row r="40171" ht="12.75"/>
    <row r="40172" ht="12.75"/>
    <row r="40173" ht="12.75"/>
    <row r="40174" ht="12.75"/>
    <row r="40175" ht="12.75"/>
    <row r="40176" ht="12.75"/>
    <row r="40177" ht="12.75"/>
    <row r="40178" ht="12.75"/>
    <row r="40179" ht="12.75"/>
    <row r="40180" ht="12.75"/>
    <row r="40181" ht="12.75"/>
    <row r="40182" ht="12.75"/>
    <row r="40183" ht="12.75"/>
    <row r="40184" ht="12.75"/>
    <row r="40185" ht="12.75"/>
    <row r="40186" ht="12.75"/>
    <row r="40187" ht="12.75"/>
    <row r="40188" ht="12.75"/>
    <row r="40189" ht="12.75"/>
    <row r="40190" ht="12.75"/>
    <row r="40191" ht="12.75"/>
    <row r="40192" ht="12.75"/>
    <row r="40193" ht="12.75"/>
    <row r="40194" ht="12.75"/>
    <row r="40195" ht="12.75"/>
    <row r="40196" ht="12.75"/>
    <row r="40197" ht="12.75"/>
    <row r="40198" ht="12.75"/>
    <row r="40199" ht="12.75"/>
    <row r="40200" ht="12.75"/>
    <row r="40201" ht="12.75"/>
    <row r="40202" ht="12.75"/>
    <row r="40203" ht="12.75"/>
    <row r="40204" ht="12.75"/>
    <row r="40205" ht="12.75"/>
    <row r="40206" ht="12.75"/>
    <row r="40207" ht="12.75"/>
    <row r="40208" ht="12.75"/>
    <row r="40209" ht="12.75"/>
    <row r="40210" ht="12.75"/>
    <row r="40211" ht="12.75"/>
    <row r="40212" ht="12.75"/>
    <row r="40213" ht="12.75"/>
    <row r="40214" ht="12.75"/>
    <row r="40215" ht="12.75"/>
    <row r="40216" ht="12.75"/>
    <row r="40217" ht="12.75"/>
    <row r="40218" ht="12.75"/>
    <row r="40219" ht="12.75"/>
    <row r="40220" ht="12.75"/>
    <row r="40221" ht="12.75"/>
    <row r="40222" ht="12.75"/>
    <row r="40223" ht="12.75"/>
    <row r="40224" ht="12.75"/>
    <row r="40225" ht="12.75"/>
    <row r="40226" ht="12.75"/>
    <row r="40227" ht="12.75"/>
    <row r="40228" ht="12.75"/>
    <row r="40229" ht="12.75"/>
    <row r="40230" ht="12.75"/>
    <row r="40231" ht="12.75"/>
    <row r="40232" ht="12.75"/>
    <row r="40233" ht="12.75"/>
    <row r="40234" ht="12.75"/>
    <row r="40235" ht="12.75"/>
    <row r="40236" ht="12.75"/>
    <row r="40237" ht="12.75"/>
    <row r="40238" ht="12.75"/>
    <row r="40239" ht="12.75"/>
    <row r="40240" ht="12.75"/>
    <row r="40241" ht="12.75"/>
    <row r="40242" ht="12.75"/>
    <row r="40243" ht="12.75"/>
    <row r="40244" ht="12.75"/>
    <row r="40245" ht="12.75"/>
    <row r="40246" ht="12.75"/>
    <row r="40247" ht="12.75"/>
    <row r="40248" ht="12.75"/>
    <row r="40249" ht="12.75"/>
    <row r="40250" ht="12.75"/>
    <row r="40251" ht="12.75"/>
    <row r="40252" ht="12.75"/>
    <row r="40253" ht="12.75"/>
    <row r="40254" ht="12.75"/>
    <row r="40255" ht="12.75"/>
    <row r="40256" ht="12.75"/>
    <row r="40257" ht="12.75"/>
    <row r="40258" ht="12.75"/>
    <row r="40259" ht="12.75"/>
    <row r="40260" ht="12.75"/>
    <row r="40261" ht="12.75"/>
    <row r="40262" ht="12.75"/>
    <row r="40263" ht="12.75"/>
    <row r="40264" ht="12.75"/>
    <row r="40265" ht="12.75"/>
    <row r="40266" ht="12.75"/>
    <row r="40267" ht="12.75"/>
    <row r="40268" ht="12.75"/>
    <row r="40269" ht="12.75"/>
    <row r="40270" ht="12.75"/>
    <row r="40271" ht="12.75"/>
    <row r="40272" ht="12.75"/>
    <row r="40273" ht="12.75"/>
    <row r="40274" ht="12.75"/>
    <row r="40275" ht="12.75"/>
    <row r="40276" ht="12.75"/>
    <row r="40277" ht="12.75"/>
    <row r="40278" ht="12.75"/>
    <row r="40279" ht="12.75"/>
    <row r="40280" ht="12.75"/>
    <row r="40281" ht="12.75"/>
    <row r="40282" ht="12.75"/>
    <row r="40283" ht="12.75"/>
    <row r="40284" ht="12.75"/>
    <row r="40285" ht="12.75"/>
    <row r="40286" ht="12.75"/>
    <row r="40287" ht="12.75"/>
    <row r="40288" ht="12.75"/>
    <row r="40289" ht="12.75"/>
    <row r="40290" ht="12.75"/>
    <row r="40291" ht="12.75"/>
    <row r="40292" ht="12.75"/>
    <row r="40293" ht="12.75"/>
    <row r="40294" ht="12.75"/>
    <row r="40295" ht="12.75"/>
    <row r="40296" ht="12.75"/>
    <row r="40297" ht="12.75"/>
    <row r="40298" ht="12.75"/>
    <row r="40299" ht="12.75"/>
    <row r="40300" ht="12.75"/>
    <row r="40301" ht="12.75"/>
    <row r="40302" ht="12.75"/>
    <row r="40303" ht="12.75"/>
    <row r="40304" ht="12.75"/>
    <row r="40305" ht="12.75"/>
    <row r="40306" ht="12.75"/>
    <row r="40307" ht="12.75"/>
    <row r="40308" ht="12.75"/>
    <row r="40309" ht="12.75"/>
    <row r="40310" ht="12.75"/>
    <row r="40311" ht="12.75"/>
    <row r="40312" ht="12.75"/>
    <row r="40313" ht="12.75"/>
    <row r="40314" ht="12.75"/>
    <row r="40315" ht="12.75"/>
    <row r="40316" ht="12.75"/>
    <row r="40317" ht="12.75"/>
    <row r="40318" ht="12.75"/>
    <row r="40319" ht="12.75"/>
    <row r="40320" ht="12.75"/>
    <row r="40321" ht="12.75"/>
    <row r="40322" ht="12.75"/>
    <row r="40323" ht="12.75"/>
    <row r="40324" ht="12.75"/>
    <row r="40325" ht="12.75"/>
    <row r="40326" ht="12.75"/>
    <row r="40327" ht="12.75"/>
    <row r="40328" ht="12.75"/>
    <row r="40329" ht="12.75"/>
    <row r="40330" ht="12.75"/>
    <row r="40331" ht="12.75"/>
    <row r="40332" ht="12.75"/>
    <row r="40333" ht="12.75"/>
    <row r="40334" ht="12.75"/>
    <row r="40335" ht="12.75"/>
    <row r="40336" ht="12.75"/>
    <row r="40337" ht="12.75"/>
    <row r="40338" ht="12.75"/>
    <row r="40339" ht="12.75"/>
    <row r="40340" ht="12.75"/>
    <row r="40341" ht="12.75"/>
    <row r="40342" ht="12.75"/>
    <row r="40343" ht="12.75"/>
    <row r="40344" ht="12.75"/>
    <row r="40345" ht="12.75"/>
    <row r="40346" ht="12.75"/>
    <row r="40347" ht="12.75"/>
    <row r="40348" ht="12.75"/>
    <row r="40349" ht="12.75"/>
    <row r="40350" ht="12.75"/>
    <row r="40351" ht="12.75"/>
    <row r="40352" ht="12.75"/>
    <row r="40353" ht="12.75"/>
    <row r="40354" ht="12.75"/>
    <row r="40355" ht="12.75"/>
    <row r="40356" ht="12.75"/>
    <row r="40357" ht="12.75"/>
    <row r="40358" ht="12.75"/>
    <row r="40359" ht="12.75"/>
    <row r="40360" ht="12.75"/>
    <row r="40361" ht="12.75"/>
    <row r="40362" ht="12.75"/>
    <row r="40363" ht="12.75"/>
    <row r="40364" ht="12.75"/>
    <row r="40365" ht="12.75"/>
    <row r="40366" ht="12.75"/>
    <row r="40367" ht="12.75"/>
    <row r="40368" ht="12.75"/>
    <row r="40369" ht="12.75"/>
    <row r="40370" ht="12.75"/>
    <row r="40371" ht="12.75"/>
    <row r="40372" ht="12.75"/>
    <row r="40373" ht="12.75"/>
    <row r="40374" ht="12.75"/>
    <row r="40375" ht="12.75"/>
    <row r="40376" ht="12.75"/>
    <row r="40377" ht="12.75"/>
    <row r="40378" ht="12.75"/>
    <row r="40379" ht="12.75"/>
    <row r="40380" ht="12.75"/>
    <row r="40381" ht="12.75"/>
    <row r="40382" ht="12.75"/>
    <row r="40383" ht="12.75"/>
    <row r="40384" ht="12.75"/>
    <row r="40385" ht="12.75"/>
    <row r="40386" ht="12.75"/>
    <row r="40387" ht="12.75"/>
    <row r="40388" ht="12.75"/>
    <row r="40389" ht="12.75"/>
    <row r="40390" ht="12.75"/>
    <row r="40391" ht="12.75"/>
    <row r="40392" ht="12.75"/>
    <row r="40393" ht="12.75"/>
    <row r="40394" ht="12.75"/>
    <row r="40395" ht="12.75"/>
    <row r="40396" ht="12.75"/>
    <row r="40397" ht="12.75"/>
    <row r="40398" ht="12.75"/>
    <row r="40399" ht="12.75"/>
    <row r="40400" ht="12.75"/>
    <row r="40401" ht="12.75"/>
    <row r="40402" ht="12.75"/>
    <row r="40403" ht="12.75"/>
    <row r="40404" ht="12.75"/>
    <row r="40405" ht="12.75"/>
    <row r="40406" ht="12.75"/>
    <row r="40407" ht="12.75"/>
    <row r="40408" ht="12.75"/>
    <row r="40409" ht="12.75"/>
    <row r="40410" ht="12.75"/>
    <row r="40411" ht="12.75"/>
    <row r="40412" ht="12.75"/>
    <row r="40413" ht="12.75"/>
    <row r="40414" ht="12.75"/>
    <row r="40415" ht="12.75"/>
    <row r="40416" ht="12.75"/>
    <row r="40417" ht="12.75"/>
    <row r="40418" ht="12.75"/>
    <row r="40419" ht="12.75"/>
    <row r="40420" ht="12.75"/>
    <row r="40421" ht="12.75"/>
    <row r="40422" ht="12.75"/>
    <row r="40423" ht="12.75"/>
    <row r="40424" ht="12.75"/>
    <row r="40425" ht="12.75"/>
    <row r="40426" ht="12.75"/>
    <row r="40427" ht="12.75"/>
    <row r="40428" ht="12.75"/>
    <row r="40429" ht="12.75"/>
    <row r="40430" ht="12.75"/>
    <row r="40431" ht="12.75"/>
    <row r="40432" ht="12.75"/>
    <row r="40433" ht="12.75"/>
    <row r="40434" ht="12.75"/>
    <row r="40435" ht="12.75"/>
    <row r="40436" ht="12.75"/>
    <row r="40437" ht="12.75"/>
    <row r="40438" ht="12.75"/>
    <row r="40439" ht="12.75"/>
    <row r="40440" ht="12.75"/>
    <row r="40441" ht="12.75"/>
    <row r="40442" ht="12.75"/>
    <row r="40443" ht="12.75"/>
    <row r="40444" ht="12.75"/>
    <row r="40445" ht="12.75"/>
    <row r="40446" ht="12.75"/>
    <row r="40447" ht="12.75"/>
    <row r="40448" ht="12.75"/>
    <row r="40449" ht="12.75"/>
    <row r="40450" ht="12.75"/>
    <row r="40451" ht="12.75"/>
    <row r="40452" ht="12.75"/>
    <row r="40453" ht="12.75"/>
    <row r="40454" ht="12.75"/>
    <row r="40455" ht="12.75"/>
    <row r="40456" ht="12.75"/>
    <row r="40457" ht="12.75"/>
    <row r="40458" ht="12.75"/>
    <row r="40459" ht="12.75"/>
    <row r="40460" ht="12.75"/>
    <row r="40461" ht="12.75"/>
    <row r="40462" ht="12.75"/>
    <row r="40463" ht="12.75"/>
    <row r="40464" ht="12.75"/>
    <row r="40465" ht="12.75"/>
    <row r="40466" ht="12.75"/>
    <row r="40467" ht="12.75"/>
    <row r="40468" ht="12.75"/>
    <row r="40469" ht="12.75"/>
    <row r="40470" ht="12.75"/>
    <row r="40471" ht="12.75"/>
    <row r="40472" ht="12.75"/>
    <row r="40473" ht="12.75"/>
    <row r="40474" ht="12.75"/>
    <row r="40475" ht="12.75"/>
    <row r="40476" ht="12.75"/>
    <row r="40477" ht="12.75"/>
    <row r="40478" ht="12.75"/>
    <row r="40479" ht="12.75"/>
    <row r="40480" ht="12.75"/>
    <row r="40481" ht="12.75"/>
    <row r="40482" ht="12.75"/>
    <row r="40483" ht="12.75"/>
    <row r="40484" ht="12.75"/>
    <row r="40485" ht="12.75"/>
    <row r="40486" ht="12.75"/>
    <row r="40487" ht="12.75"/>
    <row r="40488" ht="12.75"/>
    <row r="40489" ht="12.75"/>
    <row r="40490" ht="12.75"/>
    <row r="40491" ht="12.75"/>
    <row r="40492" ht="12.75"/>
    <row r="40493" ht="12.75"/>
    <row r="40494" ht="12.75"/>
    <row r="40495" ht="12.75"/>
    <row r="40496" ht="12.75"/>
    <row r="40497" ht="12.75"/>
    <row r="40498" ht="12.75"/>
    <row r="40499" ht="12.75"/>
    <row r="40500" ht="12.75"/>
    <row r="40501" ht="12.75"/>
    <row r="40502" ht="12.75"/>
    <row r="40503" ht="12.75"/>
    <row r="40504" ht="12.75"/>
    <row r="40505" ht="12.75"/>
    <row r="40506" ht="12.75"/>
    <row r="40507" ht="12.75"/>
    <row r="40508" ht="12.75"/>
    <row r="40509" ht="12.75"/>
    <row r="40510" ht="12.75"/>
    <row r="40511" ht="12.75"/>
    <row r="40512" ht="12.75"/>
    <row r="40513" ht="12.75"/>
    <row r="40514" ht="12.75"/>
    <row r="40515" ht="12.75"/>
    <row r="40516" ht="12.75"/>
    <row r="40517" ht="12.75"/>
    <row r="40518" ht="12.75"/>
    <row r="40519" ht="12.75"/>
    <row r="40520" ht="12.75"/>
    <row r="40521" ht="12.75"/>
    <row r="40522" ht="12.75"/>
    <row r="40523" ht="12.75"/>
    <row r="40524" ht="12.75"/>
    <row r="40525" ht="12.75"/>
    <row r="40526" ht="12.75"/>
    <row r="40527" ht="12.75"/>
    <row r="40528" ht="12.75"/>
    <row r="40529" ht="12.75"/>
    <row r="40530" ht="12.75"/>
    <row r="40531" ht="12.75"/>
    <row r="40532" ht="12.75"/>
    <row r="40533" ht="12.75"/>
    <row r="40534" ht="12.75"/>
    <row r="40535" ht="12.75"/>
    <row r="40536" ht="12.75"/>
    <row r="40537" ht="12.75"/>
    <row r="40538" ht="12.75"/>
    <row r="40539" ht="12.75"/>
    <row r="40540" ht="12.75"/>
    <row r="40541" ht="12.75"/>
    <row r="40542" ht="12.75"/>
    <row r="40543" ht="12.75"/>
    <row r="40544" ht="12.75"/>
    <row r="40545" ht="12.75"/>
    <row r="40546" ht="12.75"/>
    <row r="40547" ht="12.75"/>
    <row r="40548" ht="12.75"/>
    <row r="40549" ht="12.75"/>
    <row r="40550" ht="12.75"/>
    <row r="40551" ht="12.75"/>
    <row r="40552" ht="12.75"/>
    <row r="40553" ht="12.75"/>
    <row r="40554" ht="12.75"/>
    <row r="40555" ht="12.75"/>
    <row r="40556" ht="12.75"/>
    <row r="40557" ht="12.75"/>
    <row r="40558" ht="12.75"/>
    <row r="40559" ht="12.75"/>
    <row r="40560" ht="12.75"/>
    <row r="40561" ht="12.75"/>
    <row r="40562" ht="12.75"/>
    <row r="40563" ht="12.75"/>
    <row r="40564" ht="12.75"/>
    <row r="40565" ht="12.75"/>
    <row r="40566" ht="12.75"/>
    <row r="40567" ht="12.75"/>
    <row r="40568" ht="12.75"/>
    <row r="40569" ht="12.75"/>
    <row r="40570" ht="12.75"/>
    <row r="40571" ht="12.75"/>
    <row r="40572" ht="12.75"/>
    <row r="40573" ht="12.75"/>
    <row r="40574" ht="12.75"/>
    <row r="40575" ht="12.75"/>
    <row r="40576" ht="12.75"/>
    <row r="40577" ht="12.75"/>
    <row r="40578" ht="12.75"/>
    <row r="40579" ht="12.75"/>
    <row r="40580" ht="12.75"/>
    <row r="40581" ht="12.75"/>
    <row r="40582" ht="12.75"/>
    <row r="40583" ht="12.75"/>
    <row r="40584" ht="12.75"/>
    <row r="40585" ht="12.75"/>
    <row r="40586" ht="12.75"/>
    <row r="40587" ht="12.75"/>
    <row r="40588" ht="12.75"/>
    <row r="40589" ht="12.75"/>
    <row r="40590" ht="12.75"/>
    <row r="40591" ht="12.75"/>
    <row r="40592" ht="12.75"/>
    <row r="40593" ht="12.75"/>
    <row r="40594" ht="12.75"/>
    <row r="40595" ht="12.75"/>
    <row r="40596" ht="12.75"/>
    <row r="40597" ht="12.75"/>
    <row r="40598" ht="12.75"/>
    <row r="40599" ht="12.75"/>
    <row r="40600" ht="12.75"/>
    <row r="40601" ht="12.75"/>
    <row r="40602" ht="12.75"/>
    <row r="40603" ht="12.75"/>
    <row r="40604" ht="12.75"/>
    <row r="40605" ht="12.75"/>
    <row r="40606" ht="12.75"/>
    <row r="40607" ht="12.75"/>
    <row r="40608" ht="12.75"/>
    <row r="40609" ht="12.75"/>
    <row r="40610" ht="12.75"/>
    <row r="40611" ht="12.75"/>
    <row r="40612" ht="12.75"/>
    <row r="40613" ht="12.75"/>
    <row r="40614" ht="12.75"/>
    <row r="40615" ht="12.75"/>
    <row r="40616" ht="12.75"/>
    <row r="40617" ht="12.75"/>
    <row r="40618" ht="12.75"/>
    <row r="40619" ht="12.75"/>
    <row r="40620" ht="12.75"/>
    <row r="40621" ht="12.75"/>
    <row r="40622" ht="12.75"/>
    <row r="40623" ht="12.75"/>
    <row r="40624" ht="12.75"/>
    <row r="40625" ht="12.75"/>
    <row r="40626" ht="12.75"/>
    <row r="40627" ht="12.75"/>
    <row r="40628" ht="12.75"/>
    <row r="40629" ht="12.75"/>
    <row r="40630" ht="12.75"/>
    <row r="40631" ht="12.75"/>
    <row r="40632" ht="12.75"/>
    <row r="40633" ht="12.75"/>
    <row r="40634" ht="12.75"/>
    <row r="40635" ht="12.75"/>
    <row r="40636" ht="12.75"/>
    <row r="40637" ht="12.75"/>
    <row r="40638" ht="12.75"/>
    <row r="40639" ht="12.75"/>
    <row r="40640" ht="12.75"/>
    <row r="40641" ht="12.75"/>
    <row r="40642" ht="12.75"/>
    <row r="40643" ht="12.75"/>
    <row r="40644" ht="12.75"/>
    <row r="40645" ht="12.75"/>
    <row r="40646" ht="12.75"/>
    <row r="40647" ht="12.75"/>
    <row r="40648" ht="12.75"/>
    <row r="40649" ht="12.75"/>
    <row r="40650" ht="12.75"/>
    <row r="40651" ht="12.75"/>
    <row r="40652" ht="12.75"/>
    <row r="40653" ht="12.75"/>
    <row r="40654" ht="12.75"/>
    <row r="40655" ht="12.75"/>
    <row r="40656" ht="12.75"/>
    <row r="40657" ht="12.75"/>
    <row r="40658" ht="12.75"/>
    <row r="40659" ht="12.75"/>
    <row r="40660" ht="12.75"/>
    <row r="40661" ht="12.75"/>
    <row r="40662" ht="12.75"/>
    <row r="40663" ht="12.75"/>
    <row r="40664" ht="12.75"/>
    <row r="40665" ht="12.75"/>
    <row r="40666" ht="12.75"/>
    <row r="40667" ht="12.75"/>
    <row r="40668" ht="12.75"/>
    <row r="40669" ht="12.75"/>
    <row r="40670" ht="12.75"/>
    <row r="40671" ht="12.75"/>
    <row r="40672" ht="12.75"/>
    <row r="40673" ht="12.75"/>
    <row r="40674" ht="12.75"/>
    <row r="40675" ht="12.75"/>
    <row r="40676" ht="12.75"/>
    <row r="40677" ht="12.75"/>
    <row r="40678" ht="12.75"/>
    <row r="40679" ht="12.75"/>
    <row r="40680" ht="12.75"/>
    <row r="40681" ht="12.75"/>
    <row r="40682" ht="12.75"/>
    <row r="40683" ht="12.75"/>
    <row r="40684" ht="12.75"/>
    <row r="40685" ht="12.75"/>
    <row r="40686" ht="12.75"/>
    <row r="40687" ht="12.75"/>
    <row r="40688" ht="12.75"/>
    <row r="40689" ht="12.75"/>
    <row r="40690" ht="12.75"/>
    <row r="40691" ht="12.75"/>
    <row r="40692" ht="12.75"/>
    <row r="40693" ht="12.75"/>
    <row r="40694" ht="12.75"/>
    <row r="40695" ht="12.75"/>
    <row r="40696" ht="12.75"/>
    <row r="40697" ht="12.75"/>
    <row r="40698" ht="12.75"/>
    <row r="40699" ht="12.75"/>
    <row r="40700" ht="12.75"/>
    <row r="40701" ht="12.75"/>
    <row r="40702" ht="12.75"/>
    <row r="40703" ht="12.75"/>
    <row r="40704" ht="12.75"/>
    <row r="40705" ht="12.75"/>
    <row r="40706" ht="12.75"/>
    <row r="40707" ht="12.75"/>
    <row r="40708" ht="12.75"/>
    <row r="40709" ht="12.75"/>
    <row r="40710" ht="12.75"/>
    <row r="40711" ht="12.75"/>
    <row r="40712" ht="12.75"/>
    <row r="40713" ht="12.75"/>
    <row r="40714" ht="12.75"/>
    <row r="40715" ht="12.75"/>
    <row r="40716" ht="12.75"/>
    <row r="40717" ht="12.75"/>
    <row r="40718" ht="12.75"/>
    <row r="40719" ht="12.75"/>
    <row r="40720" ht="12.75"/>
    <row r="40721" ht="12.75"/>
    <row r="40722" ht="12.75"/>
    <row r="40723" ht="12.75"/>
    <row r="40724" ht="12.75"/>
    <row r="40725" ht="12.75"/>
    <row r="40726" ht="12.75"/>
    <row r="40727" ht="12.75"/>
    <row r="40728" ht="12.75"/>
    <row r="40729" ht="12.75"/>
    <row r="40730" ht="12.75"/>
    <row r="40731" ht="12.75"/>
    <row r="40732" ht="12.75"/>
    <row r="40733" ht="12.75"/>
    <row r="40734" ht="12.75"/>
    <row r="40735" ht="12.75"/>
    <row r="40736" ht="12.75"/>
    <row r="40737" ht="12.75"/>
    <row r="40738" ht="12.75"/>
    <row r="40739" ht="12.75"/>
    <row r="40740" ht="12.75"/>
    <row r="40741" ht="12.75"/>
    <row r="40742" ht="12.75"/>
    <row r="40743" ht="12.75"/>
    <row r="40744" ht="12.75"/>
    <row r="40745" ht="12.75"/>
    <row r="40746" ht="12.75"/>
    <row r="40747" ht="12.75"/>
    <row r="40748" ht="12.75"/>
    <row r="40749" ht="12.75"/>
    <row r="40750" ht="12.75"/>
    <row r="40751" ht="12.75"/>
    <row r="40752" ht="12.75"/>
    <row r="40753" ht="12.75"/>
    <row r="40754" ht="12.75"/>
    <row r="40755" ht="12.75"/>
    <row r="40756" ht="12.75"/>
    <row r="40757" ht="12.75"/>
    <row r="40758" ht="12.75"/>
    <row r="40759" ht="12.75"/>
    <row r="40760" ht="12.75"/>
    <row r="40761" ht="12.75"/>
    <row r="40762" ht="12.75"/>
    <row r="40763" ht="12.75"/>
    <row r="40764" ht="12.75"/>
    <row r="40765" ht="12.75"/>
    <row r="40766" ht="12.75"/>
    <row r="40767" ht="12.75"/>
    <row r="40768" ht="12.75"/>
    <row r="40769" ht="12.75"/>
    <row r="40770" ht="12.75"/>
    <row r="40771" ht="12.75"/>
    <row r="40772" ht="12.75"/>
    <row r="40773" ht="12.75"/>
    <row r="40774" ht="12.75"/>
    <row r="40775" ht="12.75"/>
    <row r="40776" ht="12.75"/>
    <row r="40777" ht="12.75"/>
    <row r="40778" ht="12.75"/>
    <row r="40779" ht="12.75"/>
    <row r="40780" ht="12.75"/>
    <row r="40781" ht="12.75"/>
    <row r="40782" ht="12.75"/>
    <row r="40783" ht="12.75"/>
    <row r="40784" ht="12.75"/>
    <row r="40785" ht="12.75"/>
    <row r="40786" ht="12.75"/>
    <row r="40787" ht="12.75"/>
    <row r="40788" ht="12.75"/>
    <row r="40789" ht="12.75"/>
    <row r="40790" ht="12.75"/>
    <row r="40791" ht="12.75"/>
    <row r="40792" ht="12.75"/>
    <row r="40793" ht="12.75"/>
    <row r="40794" ht="12.75"/>
    <row r="40795" ht="12.75"/>
    <row r="40796" ht="12.75"/>
    <row r="40797" ht="12.75"/>
    <row r="40798" ht="12.75"/>
    <row r="40799" ht="12.75"/>
    <row r="40800" ht="12.75"/>
    <row r="40801" ht="12.75"/>
    <row r="40802" ht="12.75"/>
    <row r="40803" ht="12.75"/>
    <row r="40804" ht="12.75"/>
    <row r="40805" ht="12.75"/>
    <row r="40806" ht="12.75"/>
    <row r="40807" ht="12.75"/>
    <row r="40808" ht="12.75"/>
    <row r="40809" ht="12.75"/>
    <row r="40810" ht="12.75"/>
    <row r="40811" ht="12.75"/>
    <row r="40812" ht="12.75"/>
    <row r="40813" ht="12.75"/>
    <row r="40814" ht="12.75"/>
    <row r="40815" ht="12.75"/>
    <row r="40816" ht="12.75"/>
    <row r="40817" ht="12.75"/>
    <row r="40818" ht="12.75"/>
    <row r="40819" ht="12.75"/>
    <row r="40820" ht="12.75"/>
    <row r="40821" ht="12.75"/>
    <row r="40822" ht="12.75"/>
    <row r="40823" ht="12.75"/>
    <row r="40824" ht="12.75"/>
    <row r="40825" ht="12.75"/>
    <row r="40826" ht="12.75"/>
    <row r="40827" ht="12.75"/>
    <row r="40828" ht="12.75"/>
    <row r="40829" ht="12.75"/>
    <row r="40830" ht="12.75"/>
    <row r="40831" ht="12.75"/>
    <row r="40832" ht="12.75"/>
    <row r="40833" ht="12.75"/>
    <row r="40834" ht="12.75"/>
    <row r="40835" ht="12.75"/>
    <row r="40836" ht="12.75"/>
    <row r="40837" ht="12.75"/>
    <row r="40838" ht="12.75"/>
    <row r="40839" ht="12.75"/>
    <row r="40840" ht="12.75"/>
    <row r="40841" ht="12.75"/>
    <row r="40842" ht="12.75"/>
    <row r="40843" ht="12.75"/>
    <row r="40844" ht="12.75"/>
    <row r="40845" ht="12.75"/>
    <row r="40846" ht="12.75"/>
    <row r="40847" ht="12.75"/>
    <row r="40848" ht="12.75"/>
    <row r="40849" ht="12.75"/>
    <row r="40850" ht="12.75"/>
    <row r="40851" ht="12.75"/>
    <row r="40852" ht="12.75"/>
    <row r="40853" ht="12.75"/>
    <row r="40854" ht="12.75"/>
    <row r="40855" ht="12.75"/>
    <row r="40856" ht="12.75"/>
    <row r="40857" ht="12.75"/>
    <row r="40858" ht="12.75"/>
    <row r="40859" ht="12.75"/>
    <row r="40860" ht="12.75"/>
    <row r="40861" ht="12.75"/>
    <row r="40862" ht="12.75"/>
    <row r="40863" ht="12.75"/>
    <row r="40864" ht="12.75"/>
    <row r="40865" ht="12.75"/>
    <row r="40866" ht="12.75"/>
    <row r="40867" ht="12.75"/>
    <row r="40868" ht="12.75"/>
    <row r="40869" ht="12.75"/>
    <row r="40870" ht="12.75"/>
    <row r="40871" ht="12.75"/>
    <row r="40872" ht="12.75"/>
    <row r="40873" ht="12.75"/>
    <row r="40874" ht="12.75"/>
    <row r="40875" ht="12.75"/>
    <row r="40876" ht="12.75"/>
    <row r="40877" ht="12.75"/>
    <row r="40878" ht="12.75"/>
    <row r="40879" ht="12.75"/>
    <row r="40880" ht="12.75"/>
    <row r="40881" ht="12.75"/>
    <row r="40882" ht="12.75"/>
    <row r="40883" ht="12.75"/>
    <row r="40884" ht="12.75"/>
    <row r="40885" ht="12.75"/>
    <row r="40886" ht="12.75"/>
    <row r="40887" ht="12.75"/>
    <row r="40888" ht="12.75"/>
    <row r="40889" ht="12.75"/>
    <row r="40890" ht="12.75"/>
    <row r="40891" ht="12.75"/>
    <row r="40892" ht="12.75"/>
    <row r="40893" ht="12.75"/>
    <row r="40894" ht="12.75"/>
    <row r="40895" ht="12.75"/>
    <row r="40896" ht="12.75"/>
    <row r="40897" ht="12.75"/>
    <row r="40898" ht="12.75"/>
    <row r="40899" ht="12.75"/>
    <row r="40900" ht="12.75"/>
    <row r="40901" ht="12.75"/>
    <row r="40902" ht="12.75"/>
    <row r="40903" ht="12.75"/>
    <row r="40904" ht="12.75"/>
    <row r="40905" ht="12.75"/>
    <row r="40906" ht="12.75"/>
    <row r="40907" ht="12.75"/>
    <row r="40908" ht="12.75"/>
    <row r="40909" ht="12.75"/>
    <row r="40910" ht="12.75"/>
    <row r="40911" ht="12.75"/>
    <row r="40912" ht="12.75"/>
    <row r="40913" ht="12.75"/>
    <row r="40914" ht="12.75"/>
    <row r="40915" ht="12.75"/>
    <row r="40916" ht="12.75"/>
    <row r="40917" ht="12.75"/>
    <row r="40918" ht="12.75"/>
    <row r="40919" ht="12.75"/>
    <row r="40920" ht="12.75"/>
    <row r="40921" ht="12.75"/>
    <row r="40922" ht="12.75"/>
    <row r="40923" ht="12.75"/>
    <row r="40924" ht="12.75"/>
    <row r="40925" ht="12.75"/>
    <row r="40926" ht="12.75"/>
    <row r="40927" ht="12.75"/>
    <row r="40928" ht="12.75"/>
    <row r="40929" ht="12.75"/>
    <row r="40930" ht="12.75"/>
    <row r="40931" ht="12.75"/>
    <row r="40932" ht="12.75"/>
    <row r="40933" ht="12.75"/>
    <row r="40934" ht="12.75"/>
    <row r="40935" ht="12.75"/>
    <row r="40936" ht="12.75"/>
    <row r="40937" ht="12.75"/>
    <row r="40938" ht="12.75"/>
    <row r="40939" ht="12.75"/>
    <row r="40940" ht="12.75"/>
    <row r="40941" ht="12.75"/>
    <row r="40942" ht="12.75"/>
    <row r="40943" ht="12.75"/>
    <row r="40944" ht="12.75"/>
    <row r="40945" ht="12.75"/>
    <row r="40946" ht="12.75"/>
    <row r="40947" ht="12.75"/>
    <row r="40948" ht="12.75"/>
    <row r="40949" ht="12.75"/>
    <row r="40950" ht="12.75"/>
    <row r="40951" ht="12.75"/>
    <row r="40952" ht="12.75"/>
    <row r="40953" ht="12.75"/>
    <row r="40954" ht="12.75"/>
    <row r="40955" ht="12.75"/>
    <row r="40956" ht="12.75"/>
    <row r="40957" ht="12.75"/>
    <row r="40958" ht="12.75"/>
    <row r="40959" ht="12.75"/>
    <row r="40960" ht="12.75"/>
    <row r="40961" ht="12.75"/>
    <row r="40962" ht="12.75"/>
    <row r="40963" ht="12.75"/>
    <row r="40964" ht="12.75"/>
    <row r="40965" ht="12.75"/>
    <row r="40966" ht="12.75"/>
    <row r="40967" ht="12.75"/>
    <row r="40968" ht="12.75"/>
    <row r="40969" ht="12.75"/>
    <row r="40970" ht="12.75"/>
    <row r="40971" ht="12.75"/>
    <row r="40972" ht="12.75"/>
    <row r="40973" ht="12.75"/>
    <row r="40974" ht="12.75"/>
    <row r="40975" ht="12.75"/>
    <row r="40976" ht="12.75"/>
    <row r="40977" ht="12.75"/>
    <row r="40978" ht="12.75"/>
    <row r="40979" ht="12.75"/>
    <row r="40980" ht="12.75"/>
    <row r="40981" ht="12.75"/>
    <row r="40982" ht="12.75"/>
    <row r="40983" ht="12.75"/>
    <row r="40984" ht="12.75"/>
    <row r="40985" ht="12.75"/>
    <row r="40986" ht="12.75"/>
    <row r="40987" ht="12.75"/>
    <row r="40988" ht="12.75"/>
    <row r="40989" ht="12.75"/>
    <row r="40990" ht="12.75"/>
    <row r="40991" ht="12.75"/>
    <row r="40992" ht="12.75"/>
    <row r="40993" ht="12.75"/>
    <row r="40994" ht="12.75"/>
    <row r="40995" ht="12.75"/>
    <row r="40996" ht="12.75"/>
    <row r="40997" ht="12.75"/>
    <row r="40998" ht="12.75"/>
    <row r="40999" ht="12.75"/>
    <row r="41000" ht="12.75"/>
    <row r="41001" ht="12.75"/>
    <row r="41002" ht="12.75"/>
    <row r="41003" ht="12.75"/>
    <row r="41004" ht="12.75"/>
    <row r="41005" ht="12.75"/>
    <row r="41006" ht="12.75"/>
    <row r="41007" ht="12.75"/>
    <row r="41008" ht="12.75"/>
    <row r="41009" ht="12.75"/>
    <row r="41010" ht="12.75"/>
    <row r="41011" ht="12.75"/>
    <row r="41012" ht="12.75"/>
    <row r="41013" ht="12.75"/>
    <row r="41014" ht="12.75"/>
    <row r="41015" ht="12.75"/>
    <row r="41016" ht="12.75"/>
    <row r="41017" ht="12.75"/>
    <row r="41018" ht="12.75"/>
    <row r="41019" ht="12.75"/>
    <row r="41020" ht="12.75"/>
    <row r="41021" ht="12.75"/>
    <row r="41022" ht="12.75"/>
    <row r="41023" ht="12.75"/>
    <row r="41024" ht="12.75"/>
    <row r="41025" ht="12.75"/>
    <row r="41026" ht="12.75"/>
    <row r="41027" ht="12.75"/>
    <row r="41028" ht="12.75"/>
    <row r="41029" ht="12.75"/>
    <row r="41030" ht="12.75"/>
    <row r="41031" ht="12.75"/>
    <row r="41032" ht="12.75"/>
    <row r="41033" ht="12.75"/>
    <row r="41034" ht="12.75"/>
    <row r="41035" ht="12.75"/>
    <row r="41036" ht="12.75"/>
    <row r="41037" ht="12.75"/>
    <row r="41038" ht="12.75"/>
    <row r="41039" ht="12.75"/>
    <row r="41040" ht="12.75"/>
    <row r="41041" ht="12.75"/>
    <row r="41042" ht="12.75"/>
    <row r="41043" ht="12.75"/>
    <row r="41044" ht="12.75"/>
    <row r="41045" ht="12.75"/>
    <row r="41046" ht="12.75"/>
    <row r="41047" ht="12.75"/>
    <row r="41048" ht="12.75"/>
    <row r="41049" ht="12.75"/>
    <row r="41050" ht="12.75"/>
    <row r="41051" ht="12.75"/>
    <row r="41052" ht="12.75"/>
    <row r="41053" ht="12.75"/>
    <row r="41054" ht="12.75"/>
    <row r="41055" ht="12.75"/>
    <row r="41056" ht="12.75"/>
    <row r="41057" ht="12.75"/>
    <row r="41058" ht="12.75"/>
    <row r="41059" ht="12.75"/>
    <row r="41060" ht="12.75"/>
    <row r="41061" ht="12.75"/>
    <row r="41062" ht="12.75"/>
    <row r="41063" ht="12.75"/>
    <row r="41064" ht="12.75"/>
    <row r="41065" ht="12.75"/>
    <row r="41066" ht="12.75"/>
    <row r="41067" ht="12.75"/>
    <row r="41068" ht="12.75"/>
    <row r="41069" ht="12.75"/>
    <row r="41070" ht="12.75"/>
    <row r="41071" ht="12.75"/>
    <row r="41072" ht="12.75"/>
    <row r="41073" ht="12.75"/>
    <row r="41074" ht="12.75"/>
    <row r="41075" ht="12.75"/>
    <row r="41076" ht="12.75"/>
    <row r="41077" ht="12.75"/>
    <row r="41078" ht="12.75"/>
    <row r="41079" ht="12.75"/>
    <row r="41080" ht="12.75"/>
    <row r="41081" ht="12.75"/>
    <row r="41082" ht="12.75"/>
    <row r="41083" ht="12.75"/>
    <row r="41084" ht="12.75"/>
    <row r="41085" ht="12.75"/>
    <row r="41086" ht="12.75"/>
    <row r="41087" ht="12.75"/>
    <row r="41088" ht="12.75"/>
    <row r="41089" ht="12.75"/>
    <row r="41090" ht="12.75"/>
    <row r="41091" ht="12.75"/>
    <row r="41092" ht="12.75"/>
    <row r="41093" ht="12.75"/>
    <row r="41094" ht="12.75"/>
    <row r="41095" ht="12.75"/>
    <row r="41096" ht="12.75"/>
    <row r="41097" ht="12.75"/>
    <row r="41098" ht="12.75"/>
    <row r="41099" ht="12.75"/>
    <row r="41100" ht="12.75"/>
    <row r="41101" ht="12.75"/>
    <row r="41102" ht="12.75"/>
    <row r="41103" ht="12.75"/>
    <row r="41104" ht="12.75"/>
    <row r="41105" ht="12.75"/>
    <row r="41106" ht="12.75"/>
    <row r="41107" ht="12.75"/>
    <row r="41108" ht="12.75"/>
    <row r="41109" ht="12.75"/>
    <row r="41110" ht="12.75"/>
    <row r="41111" ht="12.75"/>
    <row r="41112" ht="12.75"/>
    <row r="41113" ht="12.75"/>
    <row r="41114" ht="12.75"/>
    <row r="41115" ht="12.75"/>
    <row r="41116" ht="12.75"/>
    <row r="41117" ht="12.75"/>
    <row r="41118" ht="12.75"/>
    <row r="41119" ht="12.75"/>
    <row r="41120" ht="12.75"/>
    <row r="41121" ht="12.75"/>
    <row r="41122" ht="12.75"/>
    <row r="41123" ht="12.75"/>
    <row r="41124" ht="12.75"/>
    <row r="41125" ht="12.75"/>
    <row r="41126" ht="12.75"/>
    <row r="41127" ht="12.75"/>
    <row r="41128" ht="12.75"/>
    <row r="41129" ht="12.75"/>
    <row r="41130" ht="12.75"/>
    <row r="41131" ht="12.75"/>
    <row r="41132" ht="12.75"/>
    <row r="41133" ht="12.75"/>
    <row r="41134" ht="12.75"/>
    <row r="41135" ht="12.75"/>
    <row r="41136" ht="12.75"/>
    <row r="41137" ht="12.75"/>
    <row r="41138" ht="12.75"/>
    <row r="41139" ht="12.75"/>
    <row r="41140" ht="12.75"/>
    <row r="41141" ht="12.75"/>
    <row r="41142" ht="12.75"/>
    <row r="41143" ht="12.75"/>
    <row r="41144" ht="12.75"/>
    <row r="41145" ht="12.75"/>
    <row r="41146" ht="12.75"/>
    <row r="41147" ht="12.75"/>
    <row r="41148" ht="12.75"/>
    <row r="41149" ht="12.75"/>
    <row r="41150" ht="12.75"/>
    <row r="41151" ht="12.75"/>
    <row r="41152" ht="12.75"/>
    <row r="41153" ht="12.75"/>
    <row r="41154" ht="12.75"/>
    <row r="41155" ht="12.75"/>
    <row r="41156" ht="12.75"/>
    <row r="41157" ht="12.75"/>
    <row r="41158" ht="12.75"/>
    <row r="41159" ht="12.75"/>
    <row r="41160" ht="12.75"/>
    <row r="41161" ht="12.75"/>
    <row r="41162" ht="12.75"/>
    <row r="41163" ht="12.75"/>
    <row r="41164" ht="12.75"/>
    <row r="41165" ht="12.75"/>
    <row r="41166" ht="12.75"/>
    <row r="41167" ht="12.75"/>
    <row r="41168" ht="12.75"/>
    <row r="41169" ht="12.75"/>
    <row r="41170" ht="12.75"/>
    <row r="41171" ht="12.75"/>
    <row r="41172" ht="12.75"/>
    <row r="41173" ht="12.75"/>
    <row r="41174" ht="12.75"/>
    <row r="41175" ht="12.75"/>
    <row r="41176" ht="12.75"/>
    <row r="41177" ht="12.75"/>
    <row r="41178" ht="12.75"/>
    <row r="41179" ht="12.75"/>
    <row r="41180" ht="12.75"/>
    <row r="41181" ht="12.75"/>
    <row r="41182" ht="12.75"/>
    <row r="41183" ht="12.75"/>
    <row r="41184" ht="12.75"/>
    <row r="41185" ht="12.75"/>
    <row r="41186" ht="12.75"/>
    <row r="41187" ht="12.75"/>
    <row r="41188" ht="12.75"/>
    <row r="41189" ht="12.75"/>
    <row r="41190" ht="12.75"/>
    <row r="41191" ht="12.75"/>
    <row r="41192" ht="12.75"/>
    <row r="41193" ht="12.75"/>
    <row r="41194" ht="12.75"/>
    <row r="41195" ht="12.75"/>
    <row r="41196" ht="12.75"/>
    <row r="41197" ht="12.75"/>
    <row r="41198" ht="12.75"/>
    <row r="41199" ht="12.75"/>
    <row r="41200" ht="12.75"/>
    <row r="41201" ht="12.75"/>
    <row r="41202" ht="12.75"/>
    <row r="41203" ht="12.75"/>
    <row r="41204" ht="12.75"/>
    <row r="41205" ht="12.75"/>
    <row r="41206" ht="12.75"/>
    <row r="41207" ht="12.75"/>
    <row r="41208" ht="12.75"/>
    <row r="41209" ht="12.75"/>
    <row r="41210" ht="12.75"/>
    <row r="41211" ht="12.75"/>
    <row r="41212" ht="12.75"/>
    <row r="41213" ht="12.75"/>
    <row r="41214" ht="12.75"/>
    <row r="41215" ht="12.75"/>
    <row r="41216" ht="12.75"/>
    <row r="41217" ht="12.75"/>
    <row r="41218" ht="12.75"/>
    <row r="41219" ht="12.75"/>
    <row r="41220" ht="12.75"/>
    <row r="41221" ht="12.75"/>
    <row r="41222" ht="12.75"/>
    <row r="41223" ht="12.75"/>
    <row r="41224" ht="12.75"/>
    <row r="41225" ht="12.75"/>
    <row r="41226" ht="12.75"/>
    <row r="41227" ht="12.75"/>
    <row r="41228" ht="12.75"/>
    <row r="41229" ht="12.75"/>
    <row r="41230" ht="12.75"/>
    <row r="41231" ht="12.75"/>
    <row r="41232" ht="12.75"/>
    <row r="41233" ht="12.75"/>
    <row r="41234" ht="12.75"/>
    <row r="41235" ht="12.75"/>
    <row r="41236" ht="12.75"/>
    <row r="41237" ht="12.75"/>
    <row r="41238" ht="12.75"/>
    <row r="41239" ht="12.75"/>
    <row r="41240" ht="12.75"/>
    <row r="41241" ht="12.75"/>
    <row r="41242" ht="12.75"/>
    <row r="41243" ht="12.75"/>
    <row r="41244" ht="12.75"/>
    <row r="41245" ht="12.75"/>
    <row r="41246" ht="12.75"/>
    <row r="41247" ht="12.75"/>
    <row r="41248" ht="12.75"/>
    <row r="41249" ht="12.75"/>
    <row r="41250" ht="12.75"/>
    <row r="41251" ht="12.75"/>
    <row r="41252" ht="12.75"/>
    <row r="41253" ht="12.75"/>
    <row r="41254" ht="12.75"/>
    <row r="41255" ht="12.75"/>
    <row r="41256" ht="12.75"/>
    <row r="41257" ht="12.75"/>
    <row r="41258" ht="12.75"/>
    <row r="41259" ht="12.75"/>
    <row r="41260" ht="12.75"/>
    <row r="41261" ht="12.75"/>
    <row r="41262" ht="12.75"/>
    <row r="41263" ht="12.75"/>
    <row r="41264" ht="12.75"/>
    <row r="41265" ht="12.75"/>
    <row r="41266" ht="12.75"/>
    <row r="41267" ht="12.75"/>
    <row r="41268" ht="12.75"/>
    <row r="41269" ht="12.75"/>
    <row r="41270" ht="12.75"/>
    <row r="41271" ht="12.75"/>
    <row r="41272" ht="12.75"/>
    <row r="41273" ht="12.75"/>
    <row r="41274" ht="12.75"/>
    <row r="41275" ht="12.75"/>
    <row r="41276" ht="12.75"/>
    <row r="41277" ht="12.75"/>
    <row r="41278" ht="12.75"/>
    <row r="41279" ht="12.75"/>
    <row r="41280" ht="12.75"/>
    <row r="41281" ht="12.75"/>
    <row r="41282" ht="12.75"/>
    <row r="41283" ht="12.75"/>
    <row r="41284" ht="12.75"/>
    <row r="41285" ht="12.75"/>
    <row r="41286" ht="12.75"/>
    <row r="41287" ht="12.75"/>
    <row r="41288" ht="12.75"/>
    <row r="41289" ht="12.75"/>
    <row r="41290" ht="12.75"/>
    <row r="41291" ht="12.75"/>
    <row r="41292" ht="12.75"/>
    <row r="41293" ht="12.75"/>
    <row r="41294" ht="12.75"/>
    <row r="41295" ht="12.75"/>
    <row r="41296" ht="12.75"/>
    <row r="41297" ht="12.75"/>
    <row r="41298" ht="12.75"/>
    <row r="41299" ht="12.75"/>
    <row r="41300" ht="12.75"/>
    <row r="41301" ht="12.75"/>
    <row r="41302" ht="12.75"/>
    <row r="41303" ht="12.75"/>
    <row r="41304" ht="12.75"/>
    <row r="41305" ht="12.75"/>
    <row r="41306" ht="12.75"/>
    <row r="41307" ht="12.75"/>
    <row r="41308" ht="12.75"/>
    <row r="41309" ht="12.75"/>
    <row r="41310" ht="12.75"/>
    <row r="41311" ht="12.75"/>
    <row r="41312" ht="12.75"/>
    <row r="41313" ht="12.75"/>
    <row r="41314" ht="12.75"/>
    <row r="41315" ht="12.75"/>
    <row r="41316" ht="12.75"/>
    <row r="41317" ht="12.75"/>
    <row r="41318" ht="12.75"/>
    <row r="41319" ht="12.75"/>
    <row r="41320" ht="12.75"/>
    <row r="41321" ht="12.75"/>
    <row r="41322" ht="12.75"/>
    <row r="41323" ht="12.75"/>
    <row r="41324" ht="12.75"/>
    <row r="41325" ht="12.75"/>
    <row r="41326" ht="12.75"/>
    <row r="41327" ht="12.75"/>
    <row r="41328" ht="12.75"/>
    <row r="41329" ht="12.75"/>
    <row r="41330" ht="12.75"/>
    <row r="41331" ht="12.75"/>
    <row r="41332" ht="12.75"/>
    <row r="41333" ht="12.75"/>
    <row r="41334" ht="12.75"/>
    <row r="41335" ht="12.75"/>
    <row r="41336" ht="12.75"/>
    <row r="41337" ht="12.75"/>
    <row r="41338" ht="12.75"/>
    <row r="41339" ht="12.75"/>
    <row r="41340" ht="12.75"/>
    <row r="41341" ht="12.75"/>
    <row r="41342" ht="12.75"/>
    <row r="41343" ht="12.75"/>
    <row r="41344" ht="12.75"/>
    <row r="41345" ht="12.75"/>
    <row r="41346" ht="12.75"/>
    <row r="41347" ht="12.75"/>
    <row r="41348" ht="12.75"/>
    <row r="41349" ht="12.75"/>
    <row r="41350" ht="12.75"/>
    <row r="41351" ht="12.75"/>
    <row r="41352" ht="12.75"/>
    <row r="41353" ht="12.75"/>
    <row r="41354" ht="12.75"/>
    <row r="41355" ht="12.75"/>
    <row r="41356" ht="12.75"/>
    <row r="41357" ht="12.75"/>
    <row r="41358" ht="12.75"/>
    <row r="41359" ht="12.75"/>
    <row r="41360" ht="12.75"/>
    <row r="41361" ht="12.75"/>
    <row r="41362" ht="12.75"/>
    <row r="41363" ht="12.75"/>
    <row r="41364" ht="12.75"/>
    <row r="41365" ht="12.75"/>
    <row r="41366" ht="12.75"/>
    <row r="41367" ht="12.75"/>
    <row r="41368" ht="12.75"/>
    <row r="41369" ht="12.75"/>
    <row r="41370" ht="12.75"/>
    <row r="41371" ht="12.75"/>
    <row r="41372" ht="12.75"/>
    <row r="41373" ht="12.75"/>
    <row r="41374" ht="12.75"/>
    <row r="41375" ht="12.75"/>
    <row r="41376" ht="12.75"/>
    <row r="41377" ht="12.75"/>
    <row r="41378" ht="12.75"/>
    <row r="41379" ht="12.75"/>
    <row r="41380" ht="12.75"/>
    <row r="41381" ht="12.75"/>
    <row r="41382" ht="12.75"/>
    <row r="41383" ht="12.75"/>
    <row r="41384" ht="12.75"/>
    <row r="41385" ht="12.75"/>
    <row r="41386" ht="12.75"/>
    <row r="41387" ht="12.75"/>
    <row r="41388" ht="12.75"/>
    <row r="41389" ht="12.75"/>
    <row r="41390" ht="12.75"/>
    <row r="41391" ht="12.75"/>
    <row r="41392" ht="12.75"/>
    <row r="41393" ht="12.75"/>
    <row r="41394" ht="12.75"/>
    <row r="41395" ht="12.75"/>
    <row r="41396" ht="12.75"/>
    <row r="41397" ht="12.75"/>
    <row r="41398" ht="12.75"/>
    <row r="41399" ht="12.75"/>
    <row r="41400" ht="12.75"/>
    <row r="41401" ht="12.75"/>
    <row r="41402" ht="12.75"/>
    <row r="41403" ht="12.75"/>
    <row r="41404" ht="12.75"/>
    <row r="41405" ht="12.75"/>
    <row r="41406" ht="12.75"/>
    <row r="41407" ht="12.75"/>
    <row r="41408" ht="12.75"/>
    <row r="41409" ht="12.75"/>
    <row r="41410" ht="12.75"/>
    <row r="41411" ht="12.75"/>
    <row r="41412" ht="12.75"/>
    <row r="41413" ht="12.75"/>
    <row r="41414" ht="12.75"/>
    <row r="41415" ht="12.75"/>
    <row r="41416" ht="12.75"/>
    <row r="41417" ht="12.75"/>
    <row r="41418" ht="12.75"/>
    <row r="41419" ht="12.75"/>
    <row r="41420" ht="12.75"/>
    <row r="41421" ht="12.75"/>
    <row r="41422" ht="12.75"/>
    <row r="41423" ht="12.75"/>
    <row r="41424" ht="12.75"/>
    <row r="41425" ht="12.75"/>
    <row r="41426" ht="12.75"/>
    <row r="41427" ht="12.75"/>
    <row r="41428" ht="12.75"/>
    <row r="41429" ht="12.75"/>
    <row r="41430" ht="12.75"/>
    <row r="41431" ht="12.75"/>
    <row r="41432" ht="12.75"/>
    <row r="41433" ht="12.75"/>
    <row r="41434" ht="12.75"/>
    <row r="41435" ht="12.75"/>
    <row r="41436" ht="12.75"/>
    <row r="41437" ht="12.75"/>
    <row r="41438" ht="12.75"/>
    <row r="41439" ht="12.75"/>
    <row r="41440" ht="12.75"/>
    <row r="41441" ht="12.75"/>
    <row r="41442" ht="12.75"/>
    <row r="41443" ht="12.75"/>
    <row r="41444" ht="12.75"/>
    <row r="41445" ht="12.75"/>
    <row r="41446" ht="12.75"/>
    <row r="41447" ht="12.75"/>
    <row r="41448" ht="12.75"/>
    <row r="41449" ht="12.75"/>
    <row r="41450" ht="12.75"/>
    <row r="41451" ht="12.75"/>
    <row r="41452" ht="12.75"/>
    <row r="41453" ht="12.75"/>
    <row r="41454" ht="12.75"/>
    <row r="41455" ht="12.75"/>
    <row r="41456" ht="12.75"/>
    <row r="41457" ht="12.75"/>
    <row r="41458" ht="12.75"/>
    <row r="41459" ht="12.75"/>
    <row r="41460" ht="12.75"/>
    <row r="41461" ht="12.75"/>
    <row r="41462" ht="12.75"/>
    <row r="41463" ht="12.75"/>
    <row r="41464" ht="12.75"/>
    <row r="41465" ht="12.75"/>
    <row r="41466" ht="12.75"/>
    <row r="41467" ht="12.75"/>
    <row r="41468" ht="12.75"/>
    <row r="41469" ht="12.75"/>
    <row r="41470" ht="12.75"/>
    <row r="41471" ht="12.75"/>
    <row r="41472" ht="12.75"/>
    <row r="41473" ht="12.75"/>
    <row r="41474" ht="12.75"/>
    <row r="41475" ht="12.75"/>
    <row r="41476" ht="12.75"/>
    <row r="41477" ht="12.75"/>
    <row r="41478" ht="12.75"/>
    <row r="41479" ht="12.75"/>
    <row r="41480" ht="12.75"/>
    <row r="41481" ht="12.75"/>
    <row r="41482" ht="12.75"/>
    <row r="41483" ht="12.75"/>
    <row r="41484" ht="12.75"/>
    <row r="41485" ht="12.75"/>
    <row r="41486" ht="12.75"/>
    <row r="41487" ht="12.75"/>
    <row r="41488" ht="12.75"/>
    <row r="41489" ht="12.75"/>
    <row r="41490" ht="12.75"/>
    <row r="41491" ht="12.75"/>
    <row r="41492" ht="12.75"/>
    <row r="41493" ht="12.75"/>
    <row r="41494" ht="12.75"/>
    <row r="41495" ht="12.75"/>
    <row r="41496" ht="12.75"/>
    <row r="41497" ht="12.75"/>
    <row r="41498" ht="12.75"/>
    <row r="41499" ht="12.75"/>
    <row r="41500" ht="12.75"/>
    <row r="41501" ht="12.75"/>
    <row r="41502" ht="12.75"/>
    <row r="41503" ht="12.75"/>
    <row r="41504" ht="12.75"/>
    <row r="41505" ht="12.75"/>
    <row r="41506" ht="12.75"/>
    <row r="41507" ht="12.75"/>
    <row r="41508" ht="12.75"/>
    <row r="41509" ht="12.75"/>
    <row r="41510" ht="12.75"/>
    <row r="41511" ht="12.75"/>
    <row r="41512" ht="12.75"/>
    <row r="41513" ht="12.75"/>
    <row r="41514" ht="12.75"/>
    <row r="41515" ht="12.75"/>
    <row r="41516" ht="12.75"/>
    <row r="41517" ht="12.75"/>
    <row r="41518" ht="12.75"/>
    <row r="41519" ht="12.75"/>
    <row r="41520" ht="12.75"/>
    <row r="41521" ht="12.75"/>
    <row r="41522" ht="12.75"/>
    <row r="41523" ht="12.75"/>
    <row r="41524" ht="12.75"/>
    <row r="41525" ht="12.75"/>
    <row r="41526" ht="12.75"/>
    <row r="41527" ht="12.75"/>
    <row r="41528" ht="12.75"/>
    <row r="41529" ht="12.75"/>
    <row r="41530" ht="12.75"/>
    <row r="41531" ht="12.75"/>
    <row r="41532" ht="12.75"/>
    <row r="41533" ht="12.75"/>
    <row r="41534" ht="12.75"/>
    <row r="41535" ht="12.75"/>
    <row r="41536" ht="12.75"/>
    <row r="41537" ht="12.75"/>
    <row r="41538" ht="12.75"/>
    <row r="41539" ht="12.75"/>
    <row r="41540" ht="12.75"/>
    <row r="41541" ht="12.75"/>
    <row r="41542" ht="12.75"/>
    <row r="41543" ht="12.75"/>
    <row r="41544" ht="12.75"/>
    <row r="41545" ht="12.75"/>
    <row r="41546" ht="12.75"/>
    <row r="41547" ht="12.75"/>
    <row r="41548" ht="12.75"/>
    <row r="41549" ht="12.75"/>
    <row r="41550" ht="12.75"/>
    <row r="41551" ht="12.75"/>
    <row r="41552" ht="12.75"/>
    <row r="41553" ht="12.75"/>
    <row r="41554" ht="12.75"/>
    <row r="41555" ht="12.75"/>
    <row r="41556" ht="12.75"/>
    <row r="41557" ht="12.75"/>
    <row r="41558" ht="12.75"/>
    <row r="41559" ht="12.75"/>
    <row r="41560" ht="12.75"/>
    <row r="41561" ht="12.75"/>
    <row r="41562" ht="12.75"/>
    <row r="41563" ht="12.75"/>
    <row r="41564" ht="12.75"/>
    <row r="41565" ht="12.75"/>
    <row r="41566" ht="12.75"/>
    <row r="41567" ht="12.75"/>
    <row r="41568" ht="12.75"/>
    <row r="41569" ht="12.75"/>
    <row r="41570" ht="12.75"/>
    <row r="41571" ht="12.75"/>
    <row r="41572" ht="12.75"/>
    <row r="41573" ht="12.75"/>
    <row r="41574" ht="12.75"/>
    <row r="41575" ht="12.75"/>
    <row r="41576" ht="12.75"/>
    <row r="41577" ht="12.75"/>
    <row r="41578" ht="12.75"/>
    <row r="41579" ht="12.75"/>
    <row r="41580" ht="12.75"/>
    <row r="41581" ht="12.75"/>
    <row r="41582" ht="12.75"/>
    <row r="41583" ht="12.75"/>
    <row r="41584" ht="12.75"/>
    <row r="41585" ht="12.75"/>
    <row r="41586" ht="12.75"/>
    <row r="41587" ht="12.75"/>
    <row r="41588" ht="12.75"/>
    <row r="41589" ht="12.75"/>
    <row r="41590" ht="12.75"/>
    <row r="41591" ht="12.75"/>
    <row r="41592" ht="12.75"/>
    <row r="41593" ht="12.75"/>
    <row r="41594" ht="12.75"/>
    <row r="41595" ht="12.75"/>
    <row r="41596" ht="12.75"/>
    <row r="41597" ht="12.75"/>
    <row r="41598" ht="12.75"/>
    <row r="41599" ht="12.75"/>
    <row r="41600" ht="12.75"/>
    <row r="41601" ht="12.75"/>
    <row r="41602" ht="12.75"/>
    <row r="41603" ht="12.75"/>
    <row r="41604" ht="12.75"/>
    <row r="41605" ht="12.75"/>
    <row r="41606" ht="12.75"/>
    <row r="41607" ht="12.75"/>
    <row r="41608" ht="12.75"/>
    <row r="41609" ht="12.75"/>
    <row r="41610" ht="12.75"/>
    <row r="41611" ht="12.75"/>
    <row r="41612" ht="12.75"/>
    <row r="41613" ht="12.75"/>
    <row r="41614" ht="12.75"/>
    <row r="41615" ht="12.75"/>
    <row r="41616" ht="12.75"/>
    <row r="41617" ht="12.75"/>
    <row r="41618" ht="12.75"/>
    <row r="41619" ht="12.75"/>
    <row r="41620" ht="12.75"/>
    <row r="41621" ht="12.75"/>
    <row r="41622" ht="12.75"/>
    <row r="41623" ht="12.75"/>
    <row r="41624" ht="12.75"/>
    <row r="41625" ht="12.75"/>
    <row r="41626" ht="12.75"/>
    <row r="41627" ht="12.75"/>
    <row r="41628" ht="12.75"/>
    <row r="41629" ht="12.75"/>
    <row r="41630" ht="12.75"/>
    <row r="41631" ht="12.75"/>
    <row r="41632" ht="12.75"/>
    <row r="41633" ht="12.75"/>
    <row r="41634" ht="12.75"/>
    <row r="41635" ht="12.75"/>
    <row r="41636" ht="12.75"/>
    <row r="41637" ht="12.75"/>
    <row r="41638" ht="12.75"/>
    <row r="41639" ht="12.75"/>
    <row r="41640" ht="12.75"/>
    <row r="41641" ht="12.75"/>
    <row r="41642" ht="12.75"/>
    <row r="41643" ht="12.75"/>
    <row r="41644" ht="12.75"/>
    <row r="41645" ht="12.75"/>
    <row r="41646" ht="12.75"/>
    <row r="41647" ht="12.75"/>
    <row r="41648" ht="12.75"/>
    <row r="41649" ht="12.75"/>
    <row r="41650" ht="12.75"/>
    <row r="41651" ht="12.75"/>
    <row r="41652" ht="12.75"/>
    <row r="41653" ht="12.75"/>
    <row r="41654" ht="12.75"/>
    <row r="41655" ht="12.75"/>
    <row r="41656" ht="12.75"/>
    <row r="41657" ht="12.75"/>
    <row r="41658" ht="12.75"/>
    <row r="41659" ht="12.75"/>
    <row r="41660" ht="12.75"/>
    <row r="41661" ht="12.75"/>
    <row r="41662" ht="12.75"/>
    <row r="41663" ht="12.75"/>
    <row r="41664" ht="12.75"/>
    <row r="41665" ht="12.75"/>
    <row r="41666" ht="12.75"/>
    <row r="41667" ht="12.75"/>
    <row r="41668" ht="12.75"/>
    <row r="41669" ht="12.75"/>
    <row r="41670" ht="12.75"/>
    <row r="41671" ht="12.75"/>
    <row r="41672" ht="12.75"/>
    <row r="41673" ht="12.75"/>
    <row r="41674" ht="12.75"/>
    <row r="41675" ht="12.75"/>
    <row r="41676" ht="12.75"/>
    <row r="41677" ht="12.75"/>
    <row r="41678" ht="12.75"/>
    <row r="41679" ht="12.75"/>
    <row r="41680" ht="12.75"/>
    <row r="41681" ht="12.75"/>
    <row r="41682" ht="12.75"/>
    <row r="41683" ht="12.75"/>
    <row r="41684" ht="12.75"/>
    <row r="41685" ht="12.75"/>
    <row r="41686" ht="12.75"/>
    <row r="41687" ht="12.75"/>
    <row r="41688" ht="12.75"/>
    <row r="41689" ht="12.75"/>
    <row r="41690" ht="12.75"/>
    <row r="41691" ht="12.75"/>
    <row r="41692" ht="12.75"/>
    <row r="41693" ht="12.75"/>
    <row r="41694" ht="12.75"/>
    <row r="41695" ht="12.75"/>
    <row r="41696" ht="12.75"/>
    <row r="41697" ht="12.75"/>
    <row r="41698" ht="12.75"/>
    <row r="41699" ht="12.75"/>
    <row r="41700" ht="12.75"/>
    <row r="41701" ht="12.75"/>
    <row r="41702" ht="12.75"/>
    <row r="41703" ht="12.75"/>
    <row r="41704" ht="12.75"/>
    <row r="41705" ht="12.75"/>
    <row r="41706" ht="12.75"/>
    <row r="41707" ht="12.75"/>
    <row r="41708" ht="12.75"/>
    <row r="41709" ht="12.75"/>
    <row r="41710" ht="12.75"/>
    <row r="41711" ht="12.75"/>
    <row r="41712" ht="12.75"/>
    <row r="41713" ht="12.75"/>
    <row r="41714" ht="12.75"/>
    <row r="41715" ht="12.75"/>
    <row r="41716" ht="12.75"/>
    <row r="41717" ht="12.75"/>
    <row r="41718" ht="12.75"/>
    <row r="41719" ht="12.75"/>
    <row r="41720" ht="12.75"/>
    <row r="41721" ht="12.75"/>
    <row r="41722" ht="12.75"/>
    <row r="41723" ht="12.75"/>
    <row r="41724" ht="12.75"/>
    <row r="41725" ht="12.75"/>
    <row r="41726" ht="12.75"/>
    <row r="41727" ht="12.75"/>
    <row r="41728" ht="12.75"/>
    <row r="41729" ht="12.75"/>
    <row r="41730" ht="12.75"/>
    <row r="41731" ht="12.75"/>
    <row r="41732" ht="12.75"/>
    <row r="41733" ht="12.75"/>
    <row r="41734" ht="12.75"/>
    <row r="41735" ht="12.75"/>
    <row r="41736" ht="12.75"/>
    <row r="41737" ht="12.75"/>
    <row r="41738" ht="12.75"/>
    <row r="41739" ht="12.75"/>
    <row r="41740" ht="12.75"/>
    <row r="41741" ht="12.75"/>
    <row r="41742" ht="12.75"/>
    <row r="41743" ht="12.75"/>
    <row r="41744" ht="12.75"/>
    <row r="41745" ht="12.75"/>
    <row r="41746" ht="12.75"/>
    <row r="41747" ht="12.75"/>
    <row r="41748" ht="12.75"/>
    <row r="41749" ht="12.75"/>
    <row r="41750" ht="12.75"/>
    <row r="41751" ht="12.75"/>
    <row r="41752" ht="12.75"/>
    <row r="41753" ht="12.75"/>
    <row r="41754" ht="12.75"/>
    <row r="41755" ht="12.75"/>
    <row r="41756" ht="12.75"/>
    <row r="41757" ht="12.75"/>
    <row r="41758" ht="12.75"/>
    <row r="41759" ht="12.75"/>
    <row r="41760" ht="12.75"/>
    <row r="41761" ht="12.75"/>
    <row r="41762" ht="12.75"/>
    <row r="41763" ht="12.75"/>
    <row r="41764" ht="12.75"/>
    <row r="41765" ht="12.75"/>
    <row r="41766" ht="12.75"/>
    <row r="41767" ht="12.75"/>
    <row r="41768" ht="12.75"/>
    <row r="41769" ht="12.75"/>
    <row r="41770" ht="12.75"/>
    <row r="41771" ht="12.75"/>
    <row r="41772" ht="12.75"/>
    <row r="41773" ht="12.75"/>
    <row r="41774" ht="12.75"/>
    <row r="41775" ht="12.75"/>
    <row r="41776" ht="12.75"/>
    <row r="41777" ht="12.75"/>
    <row r="41778" ht="12.75"/>
    <row r="41779" ht="12.75"/>
    <row r="41780" ht="12.75"/>
    <row r="41781" ht="12.75"/>
    <row r="41782" ht="12.75"/>
    <row r="41783" ht="12.75"/>
    <row r="41784" ht="12.75"/>
    <row r="41785" ht="12.75"/>
    <row r="41786" ht="12.75"/>
    <row r="41787" ht="12.75"/>
    <row r="41788" ht="12.75"/>
    <row r="41789" ht="12.75"/>
    <row r="41790" ht="12.75"/>
    <row r="41791" ht="12.75"/>
    <row r="41792" ht="12.75"/>
    <row r="41793" ht="12.75"/>
    <row r="41794" ht="12.75"/>
    <row r="41795" ht="12.75"/>
    <row r="41796" ht="12.75"/>
    <row r="41797" ht="12.75"/>
    <row r="41798" ht="12.75"/>
    <row r="41799" ht="12.75"/>
    <row r="41800" ht="12.75"/>
    <row r="41801" ht="12.75"/>
    <row r="41802" ht="12.75"/>
    <row r="41803" ht="12.75"/>
    <row r="41804" ht="12.75"/>
    <row r="41805" ht="12.75"/>
    <row r="41806" ht="12.75"/>
    <row r="41807" ht="12.75"/>
    <row r="41808" ht="12.75"/>
    <row r="41809" ht="12.75"/>
    <row r="41810" ht="12.75"/>
    <row r="41811" ht="12.75"/>
    <row r="41812" ht="12.75"/>
    <row r="41813" ht="12.75"/>
    <row r="41814" ht="12.75"/>
    <row r="41815" ht="12.75"/>
    <row r="41816" ht="12.75"/>
    <row r="41817" ht="12.75"/>
    <row r="41818" ht="12.75"/>
    <row r="41819" ht="12.75"/>
    <row r="41820" ht="12.75"/>
    <row r="41821" ht="12.75"/>
    <row r="41822" ht="12.75"/>
    <row r="41823" ht="12.75"/>
    <row r="41824" ht="12.75"/>
    <row r="41825" ht="12.75"/>
    <row r="41826" ht="12.75"/>
    <row r="41827" ht="12.75"/>
    <row r="41828" ht="12.75"/>
    <row r="41829" ht="12.75"/>
    <row r="41830" ht="12.75"/>
    <row r="41831" ht="12.75"/>
    <row r="41832" ht="12.75"/>
    <row r="41833" ht="12.75"/>
    <row r="41834" ht="12.75"/>
    <row r="41835" ht="12.75"/>
    <row r="41836" ht="12.75"/>
    <row r="41837" ht="12.75"/>
    <row r="41838" ht="12.75"/>
    <row r="41839" ht="12.75"/>
    <row r="41840" ht="12.75"/>
    <row r="41841" ht="12.75"/>
    <row r="41842" ht="12.75"/>
    <row r="41843" ht="12.75"/>
    <row r="41844" ht="12.75"/>
    <row r="41845" ht="12.75"/>
    <row r="41846" ht="12.75"/>
    <row r="41847" ht="12.75"/>
    <row r="41848" ht="12.75"/>
    <row r="41849" ht="12.75"/>
    <row r="41850" ht="12.75"/>
    <row r="41851" ht="12.75"/>
    <row r="41852" ht="12.75"/>
    <row r="41853" ht="12.75"/>
    <row r="41854" ht="12.75"/>
    <row r="41855" ht="12.75"/>
    <row r="41856" ht="12.75"/>
    <row r="41857" ht="12.75"/>
    <row r="41858" ht="12.75"/>
    <row r="41859" ht="12.75"/>
    <row r="41860" ht="12.75"/>
    <row r="41861" ht="12.75"/>
    <row r="41862" ht="12.75"/>
    <row r="41863" ht="12.75"/>
    <row r="41864" ht="12.75"/>
    <row r="41865" ht="12.75"/>
    <row r="41866" ht="12.75"/>
    <row r="41867" ht="12.75"/>
    <row r="41868" ht="12.75"/>
    <row r="41869" ht="12.75"/>
    <row r="41870" ht="12.75"/>
    <row r="41871" ht="12.75"/>
    <row r="41872" ht="12.75"/>
    <row r="41873" ht="12.75"/>
    <row r="41874" ht="12.75"/>
    <row r="41875" ht="12.75"/>
    <row r="41876" ht="12.75"/>
    <row r="41877" ht="12.75"/>
    <row r="41878" ht="12.75"/>
    <row r="41879" ht="12.75"/>
    <row r="41880" ht="12.75"/>
    <row r="41881" ht="12.75"/>
    <row r="41882" ht="12.75"/>
    <row r="41883" ht="12.75"/>
    <row r="41884" ht="12.75"/>
    <row r="41885" ht="12.75"/>
    <row r="41886" ht="12.75"/>
    <row r="41887" ht="12.75"/>
    <row r="41888" ht="12.75"/>
    <row r="41889" ht="12.75"/>
    <row r="41890" ht="12.75"/>
    <row r="41891" ht="12.75"/>
    <row r="41892" ht="12.75"/>
    <row r="41893" ht="12.75"/>
    <row r="41894" ht="12.75"/>
    <row r="41895" ht="12.75"/>
    <row r="41896" ht="12.75"/>
    <row r="41897" ht="12.75"/>
    <row r="41898" ht="12.75"/>
    <row r="41899" ht="12.75"/>
    <row r="41900" ht="12.75"/>
    <row r="41901" ht="12.75"/>
    <row r="41902" ht="12.75"/>
    <row r="41903" ht="12.75"/>
    <row r="41904" ht="12.75"/>
    <row r="41905" ht="12.75"/>
    <row r="41906" ht="12.75"/>
    <row r="41907" ht="12.75"/>
    <row r="41908" ht="12.75"/>
    <row r="41909" ht="12.75"/>
    <row r="41910" ht="12.75"/>
    <row r="41911" ht="12.75"/>
    <row r="41912" ht="12.75"/>
    <row r="41913" ht="12.75"/>
    <row r="41914" ht="12.75"/>
    <row r="41915" ht="12.75"/>
    <row r="41916" ht="12.75"/>
    <row r="41917" ht="12.75"/>
    <row r="41918" ht="12.75"/>
    <row r="41919" ht="12.75"/>
    <row r="41920" ht="12.75"/>
    <row r="41921" ht="12.75"/>
    <row r="41922" ht="12.75"/>
    <row r="41923" ht="12.75"/>
    <row r="41924" ht="12.75"/>
    <row r="41925" ht="12.75"/>
    <row r="41926" ht="12.75"/>
    <row r="41927" ht="12.75"/>
    <row r="41928" ht="12.75"/>
    <row r="41929" ht="12.75"/>
    <row r="41930" ht="12.75"/>
    <row r="41931" ht="12.75"/>
    <row r="41932" ht="12.75"/>
    <row r="41933" ht="12.75"/>
    <row r="41934" ht="12.75"/>
    <row r="41935" ht="12.75"/>
    <row r="41936" ht="12.75"/>
    <row r="41937" ht="12.75"/>
    <row r="41938" ht="12.75"/>
    <row r="41939" ht="12.75"/>
    <row r="41940" ht="12.75"/>
    <row r="41941" ht="12.75"/>
    <row r="41942" ht="12.75"/>
    <row r="41943" ht="12.75"/>
    <row r="41944" ht="12.75"/>
    <row r="41945" ht="12.75"/>
    <row r="41946" ht="12.75"/>
    <row r="41947" ht="12.75"/>
    <row r="41948" ht="12.75"/>
    <row r="41949" ht="12.75"/>
    <row r="41950" ht="12.75"/>
    <row r="41951" ht="12.75"/>
    <row r="41952" ht="12.75"/>
    <row r="41953" ht="12.75"/>
    <row r="41954" ht="12.75"/>
    <row r="41955" ht="12.75"/>
    <row r="41956" ht="12.75"/>
    <row r="41957" ht="12.75"/>
    <row r="41958" ht="12.75"/>
    <row r="41959" ht="12.75"/>
    <row r="41960" ht="12.75"/>
    <row r="41961" ht="12.75"/>
    <row r="41962" ht="12.75"/>
    <row r="41963" ht="12.75"/>
    <row r="41964" ht="12.75"/>
    <row r="41965" ht="12.75"/>
    <row r="41966" ht="12.75"/>
    <row r="41967" ht="12.75"/>
    <row r="41968" ht="12.75"/>
    <row r="41969" ht="12.75"/>
    <row r="41970" ht="12.75"/>
    <row r="41971" ht="12.75"/>
    <row r="41972" ht="12.75"/>
    <row r="41973" ht="12.75"/>
    <row r="41974" ht="12.75"/>
    <row r="41975" ht="12.75"/>
    <row r="41976" ht="12.75"/>
    <row r="41977" ht="12.75"/>
    <row r="41978" ht="12.75"/>
    <row r="41979" ht="12.75"/>
    <row r="41980" ht="12.75"/>
    <row r="41981" ht="12.75"/>
    <row r="41982" ht="12.75"/>
    <row r="41983" ht="12.75"/>
    <row r="41984" ht="12.75"/>
    <row r="41985" ht="12.75"/>
    <row r="41986" ht="12.75"/>
    <row r="41987" ht="12.75"/>
    <row r="41988" ht="12.75"/>
    <row r="41989" ht="12.75"/>
    <row r="41990" ht="12.75"/>
    <row r="41991" ht="12.75"/>
    <row r="41992" ht="12.75"/>
    <row r="41993" ht="12.75"/>
    <row r="41994" ht="12.75"/>
    <row r="41995" ht="12.75"/>
    <row r="41996" ht="12.75"/>
    <row r="41997" ht="12.75"/>
    <row r="41998" ht="12.75"/>
    <row r="41999" ht="12.75"/>
    <row r="42000" ht="12.75"/>
    <row r="42001" ht="12.75"/>
    <row r="42002" ht="12.75"/>
    <row r="42003" ht="12.75"/>
    <row r="42004" ht="12.75"/>
    <row r="42005" ht="12.75"/>
    <row r="42006" ht="12.75"/>
    <row r="42007" ht="12.75"/>
    <row r="42008" ht="12.75"/>
    <row r="42009" ht="12.75"/>
    <row r="42010" ht="12.75"/>
    <row r="42011" ht="12.75"/>
    <row r="42012" ht="12.75"/>
    <row r="42013" ht="12.75"/>
    <row r="42014" ht="12.75"/>
    <row r="42015" ht="12.75"/>
    <row r="42016" ht="12.75"/>
    <row r="42017" ht="12.75"/>
    <row r="42018" ht="12.75"/>
    <row r="42019" ht="12.75"/>
    <row r="42020" ht="12.75"/>
    <row r="42021" ht="12.75"/>
    <row r="42022" ht="12.75"/>
    <row r="42023" ht="12.75"/>
    <row r="42024" ht="12.75"/>
    <row r="42025" ht="12.75"/>
    <row r="42026" ht="12.75"/>
    <row r="42027" ht="12.75"/>
    <row r="42028" ht="12.75"/>
    <row r="42029" ht="12.75"/>
    <row r="42030" ht="12.75"/>
    <row r="42031" ht="12.75"/>
    <row r="42032" ht="12.75"/>
    <row r="42033" ht="12.75"/>
    <row r="42034" ht="12.75"/>
    <row r="42035" ht="12.75"/>
    <row r="42036" ht="12.75"/>
    <row r="42037" ht="12.75"/>
    <row r="42038" ht="12.75"/>
    <row r="42039" ht="12.75"/>
    <row r="42040" ht="12.75"/>
    <row r="42041" ht="12.75"/>
    <row r="42042" ht="12.75"/>
    <row r="42043" ht="12.75"/>
    <row r="42044" ht="12.75"/>
    <row r="42045" ht="12.75"/>
    <row r="42046" ht="12.75"/>
    <row r="42047" ht="12.75"/>
    <row r="42048" ht="12.75"/>
    <row r="42049" ht="12.75"/>
    <row r="42050" ht="12.75"/>
    <row r="42051" ht="12.75"/>
    <row r="42052" ht="12.75"/>
    <row r="42053" ht="12.75"/>
    <row r="42054" ht="12.75"/>
    <row r="42055" ht="12.75"/>
    <row r="42056" ht="12.75"/>
    <row r="42057" ht="12.75"/>
    <row r="42058" ht="12.75"/>
    <row r="42059" ht="12.75"/>
    <row r="42060" ht="12.75"/>
    <row r="42061" ht="12.75"/>
    <row r="42062" ht="12.75"/>
    <row r="42063" ht="12.75"/>
    <row r="42064" ht="12.75"/>
    <row r="42065" ht="12.75"/>
    <row r="42066" ht="12.75"/>
    <row r="42067" ht="12.75"/>
    <row r="42068" ht="12.75"/>
    <row r="42069" ht="12.75"/>
    <row r="42070" ht="12.75"/>
    <row r="42071" ht="12.75"/>
    <row r="42072" ht="12.75"/>
    <row r="42073" ht="12.75"/>
    <row r="42074" ht="12.75"/>
    <row r="42075" ht="12.75"/>
    <row r="42076" ht="12.75"/>
    <row r="42077" ht="12.75"/>
    <row r="42078" ht="12.75"/>
    <row r="42079" ht="12.75"/>
    <row r="42080" ht="12.75"/>
    <row r="42081" ht="12.75"/>
    <row r="42082" ht="12.75"/>
    <row r="42083" ht="12.75"/>
    <row r="42084" ht="12.75"/>
    <row r="42085" ht="12.75"/>
    <row r="42086" ht="12.75"/>
    <row r="42087" ht="12.75"/>
    <row r="42088" ht="12.75"/>
    <row r="42089" ht="12.75"/>
    <row r="42090" ht="12.75"/>
    <row r="42091" ht="12.75"/>
    <row r="42092" ht="12.75"/>
    <row r="42093" ht="12.75"/>
    <row r="42094" ht="12.75"/>
    <row r="42095" ht="12.75"/>
    <row r="42096" ht="12.75"/>
    <row r="42097" ht="12.75"/>
    <row r="42098" ht="12.75"/>
    <row r="42099" ht="12.75"/>
    <row r="42100" ht="12.75"/>
    <row r="42101" ht="12.75"/>
    <row r="42102" ht="12.75"/>
    <row r="42103" ht="12.75"/>
    <row r="42104" ht="12.75"/>
    <row r="42105" ht="12.75"/>
    <row r="42106" ht="12.75"/>
    <row r="42107" ht="12.75"/>
    <row r="42108" ht="12.75"/>
    <row r="42109" ht="12.75"/>
    <row r="42110" ht="12.75"/>
    <row r="42111" ht="12.75"/>
    <row r="42112" ht="12.75"/>
    <row r="42113" ht="12.75"/>
    <row r="42114" ht="12.75"/>
    <row r="42115" ht="12.75"/>
    <row r="42116" ht="12.75"/>
    <row r="42117" ht="12.75"/>
    <row r="42118" ht="12.75"/>
    <row r="42119" ht="12.75"/>
    <row r="42120" ht="12.75"/>
    <row r="42121" ht="12.75"/>
    <row r="42122" ht="12.75"/>
    <row r="42123" ht="12.75"/>
    <row r="42124" ht="12.75"/>
    <row r="42125" ht="12.75"/>
    <row r="42126" ht="12.75"/>
    <row r="42127" ht="12.75"/>
    <row r="42128" ht="12.75"/>
    <row r="42129" ht="12.75"/>
    <row r="42130" ht="12.75"/>
    <row r="42131" ht="12.75"/>
    <row r="42132" ht="12.75"/>
    <row r="42133" ht="12.75"/>
    <row r="42134" ht="12.75"/>
    <row r="42135" ht="12.75"/>
    <row r="42136" ht="12.75"/>
    <row r="42137" ht="12.75"/>
    <row r="42138" ht="12.75"/>
    <row r="42139" ht="12.75"/>
    <row r="42140" ht="12.75"/>
    <row r="42141" ht="12.75"/>
    <row r="42142" ht="12.75"/>
    <row r="42143" ht="12.75"/>
    <row r="42144" ht="12.75"/>
    <row r="42145" ht="12.75"/>
    <row r="42146" ht="12.75"/>
    <row r="42147" ht="12.75"/>
    <row r="42148" ht="12.75"/>
    <row r="42149" ht="12.75"/>
    <row r="42150" ht="12.75"/>
    <row r="42151" ht="12.75"/>
    <row r="42152" ht="12.75"/>
    <row r="42153" ht="12.75"/>
    <row r="42154" ht="12.75"/>
    <row r="42155" ht="12.75"/>
    <row r="42156" ht="12.75"/>
    <row r="42157" ht="12.75"/>
    <row r="42158" ht="12.75"/>
    <row r="42159" ht="12.75"/>
    <row r="42160" ht="12.75"/>
    <row r="42161" ht="12.75"/>
    <row r="42162" ht="12.75"/>
    <row r="42163" ht="12.75"/>
    <row r="42164" ht="12.75"/>
    <row r="42165" ht="12.75"/>
    <row r="42166" ht="12.75"/>
    <row r="42167" ht="12.75"/>
    <row r="42168" ht="12.75"/>
    <row r="42169" ht="12.75"/>
    <row r="42170" ht="12.75"/>
    <row r="42171" ht="12.75"/>
    <row r="42172" ht="12.75"/>
    <row r="42173" ht="12.75"/>
    <row r="42174" ht="12.75"/>
    <row r="42175" ht="12.75"/>
    <row r="42176" ht="12.75"/>
    <row r="42177" ht="12.75"/>
    <row r="42178" ht="12.75"/>
    <row r="42179" ht="12.75"/>
    <row r="42180" ht="12.75"/>
    <row r="42181" ht="12.75"/>
    <row r="42182" ht="12.75"/>
    <row r="42183" ht="12.75"/>
    <row r="42184" ht="12.75"/>
    <row r="42185" ht="12.75"/>
    <row r="42186" ht="12.75"/>
    <row r="42187" ht="12.75"/>
    <row r="42188" ht="12.75"/>
    <row r="42189" ht="12.75"/>
    <row r="42190" ht="12.75"/>
    <row r="42191" ht="12.75"/>
    <row r="42192" ht="12.75"/>
    <row r="42193" ht="12.75"/>
    <row r="42194" ht="12.75"/>
    <row r="42195" ht="12.75"/>
    <row r="42196" ht="12.75"/>
    <row r="42197" ht="12.75"/>
    <row r="42198" ht="12.75"/>
    <row r="42199" ht="12.75"/>
    <row r="42200" ht="12.75"/>
    <row r="42201" ht="12.75"/>
    <row r="42202" ht="12.75"/>
    <row r="42203" ht="12.75"/>
    <row r="42204" ht="12.75"/>
    <row r="42205" ht="12.75"/>
    <row r="42206" ht="12.75"/>
    <row r="42207" ht="12.75"/>
    <row r="42208" ht="12.75"/>
    <row r="42209" ht="12.75"/>
    <row r="42210" ht="12.75"/>
    <row r="42211" ht="12.75"/>
    <row r="42212" ht="12.75"/>
    <row r="42213" ht="12.75"/>
    <row r="42214" ht="12.75"/>
    <row r="42215" ht="12.75"/>
    <row r="42216" ht="12.75"/>
    <row r="42217" ht="12.75"/>
    <row r="42218" ht="12.75"/>
    <row r="42219" ht="12.75"/>
    <row r="42220" ht="12.75"/>
    <row r="42221" ht="12.75"/>
    <row r="42222" ht="12.75"/>
    <row r="42223" ht="12.75"/>
    <row r="42224" ht="12.75"/>
    <row r="42225" ht="12.75"/>
    <row r="42226" ht="12.75"/>
    <row r="42227" ht="12.75"/>
    <row r="42228" ht="12.75"/>
    <row r="42229" ht="12.75"/>
    <row r="42230" ht="12.75"/>
    <row r="42231" ht="12.75"/>
    <row r="42232" ht="12.75"/>
    <row r="42233" ht="12.75"/>
    <row r="42234" ht="12.75"/>
    <row r="42235" ht="12.75"/>
    <row r="42236" ht="12.75"/>
    <row r="42237" ht="12.75"/>
    <row r="42238" ht="12.75"/>
    <row r="42239" ht="12.75"/>
    <row r="42240" ht="12.75"/>
    <row r="42241" ht="12.75"/>
    <row r="42242" ht="12.75"/>
    <row r="42243" ht="12.75"/>
    <row r="42244" ht="12.75"/>
    <row r="42245" ht="12.75"/>
    <row r="42246" ht="12.75"/>
    <row r="42247" ht="12.75"/>
    <row r="42248" ht="12.75"/>
    <row r="42249" ht="12.75"/>
    <row r="42250" ht="12.75"/>
    <row r="42251" ht="12.75"/>
    <row r="42252" ht="12.75"/>
    <row r="42253" ht="12.75"/>
    <row r="42254" ht="12.75"/>
    <row r="42255" ht="12.75"/>
    <row r="42256" ht="12.75"/>
    <row r="42257" ht="12.75"/>
    <row r="42258" ht="12.75"/>
    <row r="42259" ht="12.75"/>
    <row r="42260" ht="12.75"/>
    <row r="42261" ht="12.75"/>
    <row r="42262" ht="12.75"/>
    <row r="42263" ht="12.75"/>
    <row r="42264" ht="12.75"/>
    <row r="42265" ht="12.75"/>
    <row r="42266" ht="12.75"/>
    <row r="42267" ht="12.75"/>
    <row r="42268" ht="12.75"/>
    <row r="42269" ht="12.75"/>
    <row r="42270" ht="12.75"/>
    <row r="42271" ht="12.75"/>
    <row r="42272" ht="12.75"/>
    <row r="42273" ht="12.75"/>
    <row r="42274" ht="12.75"/>
    <row r="42275" ht="12.75"/>
    <row r="42276" ht="12.75"/>
    <row r="42277" ht="12.75"/>
    <row r="42278" ht="12.75"/>
    <row r="42279" ht="12.75"/>
    <row r="42280" ht="12.75"/>
    <row r="42281" ht="12.75"/>
    <row r="42282" ht="12.75"/>
    <row r="42283" ht="12.75"/>
    <row r="42284" ht="12.75"/>
    <row r="42285" ht="12.75"/>
    <row r="42286" ht="12.75"/>
    <row r="42287" ht="12.75"/>
    <row r="42288" ht="12.75"/>
    <row r="42289" ht="12.75"/>
    <row r="42290" ht="12.75"/>
    <row r="42291" ht="12.75"/>
    <row r="42292" ht="12.75"/>
    <row r="42293" ht="12.75"/>
    <row r="42294" ht="12.75"/>
    <row r="42295" ht="12.75"/>
    <row r="42296" ht="12.75"/>
    <row r="42297" ht="12.75"/>
    <row r="42298" ht="12.75"/>
    <row r="42299" ht="12.75"/>
    <row r="42300" ht="12.75"/>
    <row r="42301" ht="12.75"/>
    <row r="42302" ht="12.75"/>
    <row r="42303" ht="12.75"/>
    <row r="42304" ht="12.75"/>
    <row r="42305" ht="12.75"/>
    <row r="42306" ht="12.75"/>
    <row r="42307" ht="12.75"/>
    <row r="42308" ht="12.75"/>
    <row r="42309" ht="12.75"/>
    <row r="42310" ht="12.75"/>
    <row r="42311" ht="12.75"/>
    <row r="42312" ht="12.75"/>
    <row r="42313" ht="12.75"/>
    <row r="42314" ht="12.75"/>
    <row r="42315" ht="12.75"/>
    <row r="42316" ht="12.75"/>
    <row r="42317" ht="12.75"/>
    <row r="42318" ht="12.75"/>
    <row r="42319" ht="12.75"/>
    <row r="42320" ht="12.75"/>
    <row r="42321" ht="12.75"/>
    <row r="42322" ht="12.75"/>
    <row r="42323" ht="12.75"/>
    <row r="42324" ht="12.75"/>
    <row r="42325" ht="12.75"/>
    <row r="42326" ht="12.75"/>
    <row r="42327" ht="12.75"/>
    <row r="42328" ht="12.75"/>
    <row r="42329" ht="12.75"/>
    <row r="42330" ht="12.75"/>
    <row r="42331" ht="12.75"/>
    <row r="42332" ht="12.75"/>
    <row r="42333" ht="12.75"/>
    <row r="42334" ht="12.75"/>
    <row r="42335" ht="12.75"/>
    <row r="42336" ht="12.75"/>
    <row r="42337" ht="12.75"/>
    <row r="42338" ht="12.75"/>
    <row r="42339" ht="12.75"/>
    <row r="42340" ht="12.75"/>
    <row r="42341" ht="12.75"/>
    <row r="42342" ht="12.75"/>
    <row r="42343" ht="12.75"/>
    <row r="42344" ht="12.75"/>
    <row r="42345" ht="12.75"/>
    <row r="42346" ht="12.75"/>
    <row r="42347" ht="12.75"/>
    <row r="42348" ht="12.75"/>
    <row r="42349" ht="12.75"/>
    <row r="42350" ht="12.75"/>
    <row r="42351" ht="12.75"/>
    <row r="42352" ht="12.75"/>
    <row r="42353" ht="12.75"/>
    <row r="42354" ht="12.75"/>
    <row r="42355" ht="12.75"/>
    <row r="42356" ht="12.75"/>
    <row r="42357" ht="12.75"/>
    <row r="42358" ht="12.75"/>
    <row r="42359" ht="12.75"/>
    <row r="42360" ht="12.75"/>
    <row r="42361" ht="12.75"/>
    <row r="42362" ht="12.75"/>
    <row r="42363" ht="12.75"/>
    <row r="42364" ht="12.75"/>
    <row r="42365" ht="12.75"/>
    <row r="42366" ht="12.75"/>
    <row r="42367" ht="12.75"/>
    <row r="42368" ht="12.75"/>
    <row r="42369" ht="12.75"/>
    <row r="42370" ht="12.75"/>
    <row r="42371" ht="12.75"/>
    <row r="42372" ht="12.75"/>
    <row r="42373" ht="12.75"/>
    <row r="42374" ht="12.75"/>
    <row r="42375" ht="12.75"/>
    <row r="42376" ht="12.75"/>
    <row r="42377" ht="12.75"/>
    <row r="42378" ht="12.75"/>
    <row r="42379" ht="12.75"/>
    <row r="42380" ht="12.75"/>
    <row r="42381" ht="12.75"/>
    <row r="42382" ht="12.75"/>
    <row r="42383" ht="12.75"/>
    <row r="42384" ht="12.75"/>
    <row r="42385" ht="12.75"/>
    <row r="42386" ht="12.75"/>
    <row r="42387" ht="12.75"/>
    <row r="42388" ht="12.75"/>
    <row r="42389" ht="12.75"/>
    <row r="42390" ht="12.75"/>
    <row r="42391" ht="12.75"/>
    <row r="42392" ht="12.75"/>
    <row r="42393" ht="12.75"/>
    <row r="42394" ht="12.75"/>
    <row r="42395" ht="12.75"/>
    <row r="42396" ht="12.75"/>
    <row r="42397" ht="12.75"/>
    <row r="42398" ht="12.75"/>
    <row r="42399" ht="12.75"/>
    <row r="42400" ht="12.75"/>
    <row r="42401" ht="12.75"/>
    <row r="42402" ht="12.75"/>
    <row r="42403" ht="12.75"/>
    <row r="42404" ht="12.75"/>
    <row r="42405" ht="12.75"/>
    <row r="42406" ht="12.75"/>
    <row r="42407" ht="12.75"/>
    <row r="42408" ht="12.75"/>
    <row r="42409" ht="12.75"/>
    <row r="42410" ht="12.75"/>
    <row r="42411" ht="12.75"/>
    <row r="42412" ht="12.75"/>
    <row r="42413" ht="12.75"/>
    <row r="42414" ht="12.75"/>
    <row r="42415" ht="12.75"/>
    <row r="42416" ht="12.75"/>
    <row r="42417" ht="12.75"/>
    <row r="42418" ht="12.75"/>
    <row r="42419" ht="12.75"/>
    <row r="42420" ht="12.75"/>
    <row r="42421" ht="12.75"/>
    <row r="42422" ht="12.75"/>
    <row r="42423" ht="12.75"/>
    <row r="42424" ht="12.75"/>
    <row r="42425" ht="12.75"/>
    <row r="42426" ht="12.75"/>
    <row r="42427" ht="12.75"/>
    <row r="42428" ht="12.75"/>
    <row r="42429" ht="12.75"/>
    <row r="42430" ht="12.75"/>
    <row r="42431" ht="12.75"/>
    <row r="42432" ht="12.75"/>
    <row r="42433" ht="12.75"/>
    <row r="42434" ht="12.75"/>
    <row r="42435" ht="12.75"/>
    <row r="42436" ht="12.75"/>
    <row r="42437" ht="12.75"/>
    <row r="42438" ht="12.75"/>
    <row r="42439" ht="12.75"/>
    <row r="42440" ht="12.75"/>
    <row r="42441" ht="12.75"/>
    <row r="42442" ht="12.75"/>
    <row r="42443" ht="12.75"/>
    <row r="42444" ht="12.75"/>
    <row r="42445" ht="12.75"/>
    <row r="42446" ht="12.75"/>
    <row r="42447" ht="12.75"/>
    <row r="42448" ht="12.75"/>
    <row r="42449" ht="12.75"/>
    <row r="42450" ht="12.75"/>
    <row r="42451" ht="12.75"/>
    <row r="42452" ht="12.75"/>
    <row r="42453" ht="12.75"/>
    <row r="42454" ht="12.75"/>
    <row r="42455" ht="12.75"/>
    <row r="42456" ht="12.75"/>
    <row r="42457" ht="12.75"/>
    <row r="42458" ht="12.75"/>
    <row r="42459" ht="12.75"/>
    <row r="42460" ht="12.75"/>
    <row r="42461" ht="12.75"/>
    <row r="42462" ht="12.75"/>
    <row r="42463" ht="12.75"/>
    <row r="42464" ht="12.75"/>
    <row r="42465" ht="12.75"/>
    <row r="42466" ht="12.75"/>
    <row r="42467" ht="12.75"/>
    <row r="42468" ht="12.75"/>
    <row r="42469" ht="12.75"/>
    <row r="42470" ht="12.75"/>
    <row r="42471" ht="12.75"/>
    <row r="42472" ht="12.75"/>
    <row r="42473" ht="12.75"/>
    <row r="42474" ht="12.75"/>
    <row r="42475" ht="12.75"/>
    <row r="42476" ht="12.75"/>
    <row r="42477" ht="12.75"/>
    <row r="42478" ht="12.75"/>
    <row r="42479" ht="12.75"/>
    <row r="42480" ht="12.75"/>
    <row r="42481" ht="12.75"/>
    <row r="42482" ht="12.75"/>
    <row r="42483" ht="12.75"/>
    <row r="42484" ht="12.75"/>
    <row r="42485" ht="12.75"/>
    <row r="42486" ht="12.75"/>
    <row r="42487" ht="12.75"/>
    <row r="42488" ht="12.75"/>
    <row r="42489" ht="12.75"/>
    <row r="42490" ht="12.75"/>
    <row r="42491" ht="12.75"/>
    <row r="42492" ht="12.75"/>
    <row r="42493" ht="12.75"/>
    <row r="42494" ht="12.75"/>
    <row r="42495" ht="12.75"/>
    <row r="42496" ht="12.75"/>
    <row r="42497" ht="12.75"/>
    <row r="42498" ht="12.75"/>
    <row r="42499" ht="12.75"/>
    <row r="42500" ht="12.75"/>
    <row r="42501" ht="12.75"/>
    <row r="42502" ht="12.75"/>
    <row r="42503" ht="12.75"/>
    <row r="42504" ht="12.75"/>
    <row r="42505" ht="12.75"/>
    <row r="42506" ht="12.75"/>
    <row r="42507" ht="12.75"/>
    <row r="42508" ht="12.75"/>
    <row r="42509" ht="12.75"/>
    <row r="42510" ht="12.75"/>
    <row r="42511" ht="12.75"/>
    <row r="42512" ht="12.75"/>
    <row r="42513" ht="12.75"/>
    <row r="42514" ht="12.75"/>
    <row r="42515" ht="12.75"/>
    <row r="42516" ht="12.75"/>
    <row r="42517" ht="12.75"/>
    <row r="42518" ht="12.75"/>
    <row r="42519" ht="12.75"/>
    <row r="42520" ht="12.75"/>
    <row r="42521" ht="12.75"/>
    <row r="42522" ht="12.75"/>
    <row r="42523" ht="12.75"/>
    <row r="42524" ht="12.75"/>
    <row r="42525" ht="12.75"/>
    <row r="42526" ht="12.75"/>
    <row r="42527" ht="12.75"/>
    <row r="42528" ht="12.75"/>
    <row r="42529" ht="12.75"/>
    <row r="42530" ht="12.75"/>
    <row r="42531" ht="12.75"/>
    <row r="42532" ht="12.75"/>
    <row r="42533" ht="12.75"/>
    <row r="42534" ht="12.75"/>
    <row r="42535" ht="12.75"/>
    <row r="42536" ht="12.75"/>
    <row r="42537" ht="12.75"/>
    <row r="42538" ht="12.75"/>
    <row r="42539" ht="12.75"/>
    <row r="42540" ht="12.75"/>
    <row r="42541" ht="12.75"/>
    <row r="42542" ht="12.75"/>
    <row r="42543" ht="12.75"/>
    <row r="42544" ht="12.75"/>
    <row r="42545" ht="12.75"/>
    <row r="42546" ht="12.75"/>
    <row r="42547" ht="12.75"/>
    <row r="42548" ht="12.75"/>
    <row r="42549" ht="12.75"/>
    <row r="42550" ht="12.75"/>
    <row r="42551" ht="12.75"/>
    <row r="42552" ht="12.75"/>
    <row r="42553" ht="12.75"/>
    <row r="42554" ht="12.75"/>
    <row r="42555" ht="12.75"/>
    <row r="42556" ht="12.75"/>
    <row r="42557" ht="12.75"/>
    <row r="42558" ht="12.75"/>
    <row r="42559" ht="12.75"/>
    <row r="42560" ht="12.75"/>
    <row r="42561" ht="12.75"/>
    <row r="42562" ht="12.75"/>
    <row r="42563" ht="12.75"/>
    <row r="42564" ht="12.75"/>
    <row r="42565" ht="12.75"/>
    <row r="42566" ht="12.75"/>
    <row r="42567" ht="12.75"/>
    <row r="42568" ht="12.75"/>
    <row r="42569" ht="12.75"/>
    <row r="42570" ht="12.75"/>
    <row r="42571" ht="12.75"/>
    <row r="42572" ht="12.75"/>
    <row r="42573" ht="12.75"/>
    <row r="42574" ht="12.75"/>
    <row r="42575" ht="12.75"/>
    <row r="42576" ht="12.75"/>
    <row r="42577" ht="12.75"/>
    <row r="42578" ht="12.75"/>
    <row r="42579" ht="12.75"/>
    <row r="42580" ht="12.75"/>
    <row r="42581" ht="12.75"/>
    <row r="42582" ht="12.75"/>
    <row r="42583" ht="12.75"/>
    <row r="42584" ht="12.75"/>
    <row r="42585" ht="12.75"/>
    <row r="42586" ht="12.75"/>
    <row r="42587" ht="12.75"/>
    <row r="42588" ht="12.75"/>
    <row r="42589" ht="12.75"/>
    <row r="42590" ht="12.75"/>
    <row r="42591" ht="12.75"/>
    <row r="42592" ht="12.75"/>
    <row r="42593" ht="12.75"/>
    <row r="42594" ht="12.75"/>
    <row r="42595" ht="12.75"/>
    <row r="42596" ht="12.75"/>
    <row r="42597" ht="12.75"/>
    <row r="42598" ht="12.75"/>
    <row r="42599" ht="12.75"/>
    <row r="42600" ht="12.75"/>
    <row r="42601" ht="12.75"/>
    <row r="42602" ht="12.75"/>
    <row r="42603" ht="12.75"/>
    <row r="42604" ht="12.75"/>
    <row r="42605" ht="12.75"/>
    <row r="42606" ht="12.75"/>
    <row r="42607" ht="12.75"/>
    <row r="42608" ht="12.75"/>
    <row r="42609" ht="12.75"/>
    <row r="42610" ht="12.75"/>
    <row r="42611" ht="12.75"/>
    <row r="42612" ht="12.75"/>
    <row r="42613" ht="12.75"/>
    <row r="42614" ht="12.75"/>
    <row r="42615" ht="12.75"/>
    <row r="42616" ht="12.75"/>
    <row r="42617" ht="12.75"/>
    <row r="42618" ht="12.75"/>
    <row r="42619" ht="12.75"/>
    <row r="42620" ht="12.75"/>
    <row r="42621" ht="12.75"/>
    <row r="42622" ht="12.75"/>
    <row r="42623" ht="12.75"/>
    <row r="42624" ht="12.75"/>
    <row r="42625" ht="12.75"/>
    <row r="42626" ht="12.75"/>
    <row r="42627" ht="12.75"/>
    <row r="42628" ht="12.75"/>
    <row r="42629" ht="12.75"/>
    <row r="42630" ht="12.75"/>
    <row r="42631" ht="12.75"/>
    <row r="42632" ht="12.75"/>
    <row r="42633" ht="12.75"/>
    <row r="42634" ht="12.75"/>
    <row r="42635" ht="12.75"/>
    <row r="42636" ht="12.75"/>
    <row r="42637" ht="12.75"/>
    <row r="42638" ht="12.75"/>
    <row r="42639" ht="12.75"/>
    <row r="42640" ht="12.75"/>
    <row r="42641" ht="12.75"/>
    <row r="42642" ht="12.75"/>
    <row r="42643" ht="12.75"/>
    <row r="42644" ht="12.75"/>
    <row r="42645" ht="12.75"/>
    <row r="42646" ht="12.75"/>
    <row r="42647" ht="12.75"/>
    <row r="42648" ht="12.75"/>
    <row r="42649" ht="12.75"/>
    <row r="42650" ht="12.75"/>
    <row r="42651" ht="12.75"/>
    <row r="42652" ht="12.75"/>
    <row r="42653" ht="12.75"/>
    <row r="42654" ht="12.75"/>
    <row r="42655" ht="12.75"/>
    <row r="42656" ht="12.75"/>
    <row r="42657" ht="12.75"/>
    <row r="42658" ht="12.75"/>
    <row r="42659" ht="12.75"/>
    <row r="42660" ht="12.75"/>
    <row r="42661" ht="12.75"/>
    <row r="42662" ht="12.75"/>
    <row r="42663" ht="12.75"/>
    <row r="42664" ht="12.75"/>
    <row r="42665" ht="12.75"/>
    <row r="42666" ht="12.75"/>
    <row r="42667" ht="12.75"/>
    <row r="42668" ht="12.75"/>
    <row r="42669" ht="12.75"/>
    <row r="42670" ht="12.75"/>
    <row r="42671" ht="12.75"/>
    <row r="42672" ht="12.75"/>
    <row r="42673" ht="12.75"/>
    <row r="42674" ht="12.75"/>
    <row r="42675" ht="12.75"/>
    <row r="42676" ht="12.75"/>
    <row r="42677" ht="12.75"/>
    <row r="42678" ht="12.75"/>
    <row r="42679" ht="12.75"/>
    <row r="42680" ht="12.75"/>
    <row r="42681" ht="12.75"/>
    <row r="42682" ht="12.75"/>
    <row r="42683" ht="12.75"/>
    <row r="42684" ht="12.75"/>
    <row r="42685" ht="12.75"/>
    <row r="42686" ht="12.75"/>
    <row r="42687" ht="12.75"/>
    <row r="42688" ht="12.75"/>
    <row r="42689" ht="12.75"/>
    <row r="42690" ht="12.75"/>
    <row r="42691" ht="12.75"/>
    <row r="42692" ht="12.75"/>
    <row r="42693" ht="12.75"/>
    <row r="42694" ht="12.75"/>
    <row r="42695" ht="12.75"/>
    <row r="42696" ht="12.75"/>
    <row r="42697" ht="12.75"/>
    <row r="42698" ht="12.75"/>
    <row r="42699" ht="12.75"/>
    <row r="42700" ht="12.75"/>
    <row r="42701" ht="12.75"/>
    <row r="42702" ht="12.75"/>
    <row r="42703" ht="12.75"/>
    <row r="42704" ht="12.75"/>
    <row r="42705" ht="12.75"/>
    <row r="42706" ht="12.75"/>
    <row r="42707" ht="12.75"/>
    <row r="42708" ht="12.75"/>
    <row r="42709" ht="12.75"/>
    <row r="42710" ht="12.75"/>
    <row r="42711" ht="12.75"/>
    <row r="42712" ht="12.75"/>
    <row r="42713" ht="12.75"/>
    <row r="42714" ht="12.75"/>
    <row r="42715" ht="12.75"/>
    <row r="42716" ht="12.75"/>
    <row r="42717" ht="12.75"/>
    <row r="42718" ht="12.75"/>
    <row r="42719" ht="12.75"/>
    <row r="42720" ht="12.75"/>
    <row r="42721" ht="12.75"/>
    <row r="42722" ht="12.75"/>
    <row r="42723" ht="12.75"/>
    <row r="42724" ht="12.75"/>
    <row r="42725" ht="12.75"/>
    <row r="42726" ht="12.75"/>
    <row r="42727" ht="12.75"/>
    <row r="42728" ht="12.75"/>
    <row r="42729" ht="12.75"/>
    <row r="42730" ht="12.75"/>
    <row r="42731" ht="12.75"/>
    <row r="42732" ht="12.75"/>
    <row r="42733" ht="12.75"/>
    <row r="42734" ht="12.75"/>
    <row r="42735" ht="12.75"/>
    <row r="42736" ht="12.75"/>
    <row r="42737" ht="12.75"/>
    <row r="42738" ht="12.75"/>
    <row r="42739" ht="12.75"/>
    <row r="42740" ht="12.75"/>
    <row r="42741" ht="12.75"/>
    <row r="42742" ht="12.75"/>
    <row r="42743" ht="12.75"/>
    <row r="42744" ht="12.75"/>
    <row r="42745" ht="12.75"/>
    <row r="42746" ht="12.75"/>
    <row r="42747" ht="12.75"/>
    <row r="42748" ht="12.75"/>
    <row r="42749" ht="12.75"/>
    <row r="42750" ht="12.75"/>
    <row r="42751" ht="12.75"/>
    <row r="42752" ht="12.75"/>
    <row r="42753" ht="12.75"/>
    <row r="42754" ht="12.75"/>
    <row r="42755" ht="12.75"/>
    <row r="42756" ht="12.75"/>
    <row r="42757" ht="12.75"/>
    <row r="42758" ht="12.75"/>
    <row r="42759" ht="12.75"/>
    <row r="42760" ht="12.75"/>
    <row r="42761" ht="12.75"/>
    <row r="42762" ht="12.75"/>
    <row r="42763" ht="12.75"/>
    <row r="42764" ht="12.75"/>
    <row r="42765" ht="12.75"/>
    <row r="42766" ht="12.75"/>
    <row r="42767" ht="12.75"/>
    <row r="42768" ht="12.75"/>
    <row r="42769" ht="12.75"/>
    <row r="42770" ht="12.75"/>
    <row r="42771" ht="12.75"/>
    <row r="42772" ht="12.75"/>
    <row r="42773" ht="12.75"/>
    <row r="42774" ht="12.75"/>
    <row r="42775" ht="12.75"/>
    <row r="42776" ht="12.75"/>
    <row r="42777" ht="12.75"/>
    <row r="42778" ht="12.75"/>
    <row r="42779" ht="12.75"/>
    <row r="42780" ht="12.75"/>
    <row r="42781" ht="12.75"/>
    <row r="42782" ht="12.75"/>
    <row r="42783" ht="12.75"/>
    <row r="42784" ht="12.75"/>
    <row r="42785" ht="12.75"/>
    <row r="42786" ht="12.75"/>
    <row r="42787" ht="12.75"/>
    <row r="42788" ht="12.75"/>
    <row r="42789" ht="12.75"/>
    <row r="42790" ht="12.75"/>
    <row r="42791" ht="12.75"/>
    <row r="42792" ht="12.75"/>
    <row r="42793" ht="12.75"/>
    <row r="42794" ht="12.75"/>
    <row r="42795" ht="12.75"/>
    <row r="42796" ht="12.75"/>
    <row r="42797" ht="12.75"/>
    <row r="42798" ht="12.75"/>
    <row r="42799" ht="12.75"/>
    <row r="42800" ht="12.75"/>
    <row r="42801" ht="12.75"/>
    <row r="42802" ht="12.75"/>
    <row r="42803" ht="12.75"/>
    <row r="42804" ht="12.75"/>
    <row r="42805" ht="12.75"/>
    <row r="42806" ht="12.75"/>
    <row r="42807" ht="12.75"/>
    <row r="42808" ht="12.75"/>
    <row r="42809" ht="12.75"/>
    <row r="42810" ht="12.75"/>
    <row r="42811" ht="12.75"/>
    <row r="42812" ht="12.75"/>
    <row r="42813" ht="12.75"/>
    <row r="42814" ht="12.75"/>
    <row r="42815" ht="12.75"/>
    <row r="42816" ht="12.75"/>
    <row r="42817" ht="12.75"/>
    <row r="42818" ht="12.75"/>
    <row r="42819" ht="12.75"/>
    <row r="42820" ht="12.75"/>
    <row r="42821" ht="12.75"/>
    <row r="42822" ht="12.75"/>
    <row r="42823" ht="12.75"/>
    <row r="42824" ht="12.75"/>
    <row r="42825" ht="12.75"/>
    <row r="42826" ht="12.75"/>
    <row r="42827" ht="12.75"/>
    <row r="42828" ht="12.75"/>
    <row r="42829" ht="12.75"/>
    <row r="42830" ht="12.75"/>
    <row r="42831" ht="12.75"/>
    <row r="42832" ht="12.75"/>
    <row r="42833" ht="12.75"/>
    <row r="42834" ht="12.75"/>
    <row r="42835" ht="12.75"/>
    <row r="42836" ht="12.75"/>
    <row r="42837" ht="12.75"/>
    <row r="42838" ht="12.75"/>
    <row r="42839" ht="12.75"/>
    <row r="42840" ht="12.75"/>
    <row r="42841" ht="12.75"/>
    <row r="42842" ht="12.75"/>
    <row r="42843" ht="12.75"/>
    <row r="42844" ht="12.75"/>
    <row r="42845" ht="12.75"/>
    <row r="42846" ht="12.75"/>
    <row r="42847" ht="12.75"/>
    <row r="42848" ht="12.75"/>
    <row r="42849" ht="12.75"/>
    <row r="42850" ht="12.75"/>
    <row r="42851" ht="12.75"/>
    <row r="42852" ht="12.75"/>
    <row r="42853" ht="12.75"/>
    <row r="42854" ht="12.75"/>
    <row r="42855" ht="12.75"/>
    <row r="42856" ht="12.75"/>
    <row r="42857" ht="12.75"/>
    <row r="42858" ht="12.75"/>
    <row r="42859" ht="12.75"/>
    <row r="42860" ht="12.75"/>
    <row r="42861" ht="12.75"/>
    <row r="42862" ht="12.75"/>
    <row r="42863" ht="12.75"/>
    <row r="42864" ht="12.75"/>
    <row r="42865" ht="12.75"/>
    <row r="42866" ht="12.75"/>
    <row r="42867" ht="12.75"/>
    <row r="42868" ht="12.75"/>
    <row r="42869" ht="12.75"/>
    <row r="42870" ht="12.75"/>
    <row r="42871" ht="12.75"/>
    <row r="42872" ht="12.75"/>
    <row r="42873" ht="12.75"/>
    <row r="42874" ht="12.75"/>
    <row r="42875" ht="12.75"/>
    <row r="42876" ht="12.75"/>
    <row r="42877" ht="12.75"/>
    <row r="42878" ht="12.75"/>
    <row r="42879" ht="12.75"/>
    <row r="42880" ht="12.75"/>
    <row r="42881" ht="12.75"/>
    <row r="42882" ht="12.75"/>
    <row r="42883" ht="12.75"/>
    <row r="42884" ht="12.75"/>
    <row r="42885" ht="12.75"/>
    <row r="42886" ht="12.75"/>
    <row r="42887" ht="12.75"/>
    <row r="42888" ht="12.75"/>
    <row r="42889" ht="12.75"/>
    <row r="42890" ht="12.75"/>
    <row r="42891" ht="12.75"/>
    <row r="42892" ht="12.75"/>
    <row r="42893" ht="12.75"/>
    <row r="42894" ht="12.75"/>
    <row r="42895" ht="12.75"/>
    <row r="42896" ht="12.75"/>
    <row r="42897" ht="12.75"/>
    <row r="42898" ht="12.75"/>
    <row r="42899" ht="12.75"/>
    <row r="42900" ht="12.75"/>
    <row r="42901" ht="12.75"/>
    <row r="42902" ht="12.75"/>
    <row r="42903" ht="12.75"/>
    <row r="42904" ht="12.75"/>
    <row r="42905" ht="12.75"/>
    <row r="42906" ht="12.75"/>
    <row r="42907" ht="12.75"/>
    <row r="42908" ht="12.75"/>
    <row r="42909" ht="12.75"/>
    <row r="42910" ht="12.75"/>
    <row r="42911" ht="12.75"/>
    <row r="42912" ht="12.75"/>
    <row r="42913" ht="12.75"/>
    <row r="42914" ht="12.75"/>
    <row r="42915" ht="12.75"/>
    <row r="42916" ht="12.75"/>
    <row r="42917" ht="12.75"/>
    <row r="42918" ht="12.75"/>
    <row r="42919" ht="12.75"/>
    <row r="42920" ht="12.75"/>
    <row r="42921" ht="12.75"/>
    <row r="42922" ht="12.75"/>
    <row r="42923" ht="12.75"/>
    <row r="42924" ht="12.75"/>
    <row r="42925" ht="12.75"/>
    <row r="42926" ht="12.75"/>
    <row r="42927" ht="12.75"/>
    <row r="42928" ht="12.75"/>
    <row r="42929" ht="12.75"/>
    <row r="42930" ht="12.75"/>
    <row r="42931" ht="12.75"/>
    <row r="42932" ht="12.75"/>
    <row r="42933" ht="12.75"/>
    <row r="42934" ht="12.75"/>
    <row r="42935" ht="12.75"/>
    <row r="42936" ht="12.75"/>
    <row r="42937" ht="12.75"/>
    <row r="42938" ht="12.75"/>
    <row r="42939" ht="12.75"/>
    <row r="42940" ht="12.75"/>
    <row r="42941" ht="12.75"/>
    <row r="42942" ht="12.75"/>
    <row r="42943" ht="12.75"/>
    <row r="42944" ht="12.75"/>
    <row r="42945" ht="12.75"/>
    <row r="42946" ht="12.75"/>
    <row r="42947" ht="12.75"/>
    <row r="42948" ht="12.75"/>
    <row r="42949" ht="12.75"/>
    <row r="42950" ht="12.75"/>
    <row r="42951" ht="12.75"/>
    <row r="42952" ht="12.75"/>
    <row r="42953" ht="12.75"/>
    <row r="42954" ht="12.75"/>
    <row r="42955" ht="12.75"/>
    <row r="42956" ht="12.75"/>
    <row r="42957" ht="12.75"/>
    <row r="42958" ht="12.75"/>
    <row r="42959" ht="12.75"/>
    <row r="42960" ht="12.75"/>
    <row r="42961" ht="12.75"/>
    <row r="42962" ht="12.75"/>
    <row r="42963" ht="12.75"/>
    <row r="42964" ht="12.75"/>
    <row r="42965" ht="12.75"/>
    <row r="42966" ht="12.75"/>
    <row r="42967" ht="12.75"/>
    <row r="42968" ht="12.75"/>
    <row r="42969" ht="12.75"/>
    <row r="42970" ht="12.75"/>
    <row r="42971" ht="12.75"/>
    <row r="42972" ht="12.75"/>
    <row r="42973" ht="12.75"/>
    <row r="42974" ht="12.75"/>
    <row r="42975" ht="12.75"/>
    <row r="42976" ht="12.75"/>
    <row r="42977" ht="12.75"/>
    <row r="42978" ht="12.75"/>
    <row r="42979" ht="12.75"/>
    <row r="42980" ht="12.75"/>
    <row r="42981" ht="12.75"/>
    <row r="42982" ht="12.75"/>
    <row r="42983" ht="12.75"/>
    <row r="42984" ht="12.75"/>
    <row r="42985" ht="12.75"/>
    <row r="42986" ht="12.75"/>
    <row r="42987" ht="12.75"/>
    <row r="42988" ht="12.75"/>
    <row r="42989" ht="12.75"/>
    <row r="42990" ht="12.75"/>
    <row r="42991" ht="12.75"/>
    <row r="42992" ht="12.75"/>
    <row r="42993" ht="12.75"/>
    <row r="42994" ht="12.75"/>
    <row r="42995" ht="12.75"/>
    <row r="42996" ht="12.75"/>
    <row r="42997" ht="12.75"/>
    <row r="42998" ht="12.75"/>
    <row r="42999" ht="12.75"/>
    <row r="43000" ht="12.75"/>
    <row r="43001" ht="12.75"/>
    <row r="43002" ht="12.75"/>
    <row r="43003" ht="12.75"/>
    <row r="43004" ht="12.75"/>
    <row r="43005" ht="12.75"/>
    <row r="43006" ht="12.75"/>
    <row r="43007" ht="12.75"/>
    <row r="43008" ht="12.75"/>
    <row r="43009" ht="12.75"/>
    <row r="43010" ht="12.75"/>
    <row r="43011" ht="12.75"/>
    <row r="43012" ht="12.75"/>
    <row r="43013" ht="12.75"/>
    <row r="43014" ht="12.75"/>
    <row r="43015" ht="12.75"/>
    <row r="43016" ht="12.75"/>
    <row r="43017" ht="12.75"/>
    <row r="43018" ht="12.75"/>
    <row r="43019" ht="12.75"/>
    <row r="43020" ht="12.75"/>
    <row r="43021" ht="12.75"/>
    <row r="43022" ht="12.75"/>
    <row r="43023" ht="12.75"/>
    <row r="43024" ht="12.75"/>
    <row r="43025" ht="12.75"/>
    <row r="43026" ht="12.75"/>
    <row r="43027" ht="12.75"/>
    <row r="43028" ht="12.75"/>
    <row r="43029" ht="12.75"/>
    <row r="43030" ht="12.75"/>
    <row r="43031" ht="12.75"/>
    <row r="43032" ht="12.75"/>
    <row r="43033" ht="12.75"/>
    <row r="43034" ht="12.75"/>
    <row r="43035" ht="12.75"/>
    <row r="43036" ht="12.75"/>
    <row r="43037" ht="12.75"/>
    <row r="43038" ht="12.75"/>
    <row r="43039" ht="12.75"/>
    <row r="43040" ht="12.75"/>
    <row r="43041" ht="12.75"/>
    <row r="43042" ht="12.75"/>
    <row r="43043" ht="12.75"/>
    <row r="43044" ht="12.75"/>
    <row r="43045" ht="12.75"/>
    <row r="43046" ht="12.75"/>
    <row r="43047" ht="12.75"/>
    <row r="43048" ht="12.75"/>
    <row r="43049" ht="12.75"/>
    <row r="43050" ht="12.75"/>
    <row r="43051" ht="12.75"/>
    <row r="43052" ht="12.75"/>
    <row r="43053" ht="12.75"/>
    <row r="43054" ht="12.75"/>
    <row r="43055" ht="12.75"/>
    <row r="43056" ht="12.75"/>
    <row r="43057" ht="12.75"/>
    <row r="43058" ht="12.75"/>
    <row r="43059" ht="12.75"/>
    <row r="43060" ht="12.75"/>
    <row r="43061" ht="12.75"/>
    <row r="43062" ht="12.75"/>
    <row r="43063" ht="12.75"/>
    <row r="43064" ht="12.75"/>
    <row r="43065" ht="12.75"/>
    <row r="43066" ht="12.75"/>
    <row r="43067" ht="12.75"/>
    <row r="43068" ht="12.75"/>
    <row r="43069" ht="12.75"/>
    <row r="43070" ht="12.75"/>
    <row r="43071" ht="12.75"/>
    <row r="43072" ht="12.75"/>
    <row r="43073" ht="12.75"/>
    <row r="43074" ht="12.75"/>
    <row r="43075" ht="12.75"/>
    <row r="43076" ht="12.75"/>
    <row r="43077" ht="12.75"/>
    <row r="43078" ht="12.75"/>
    <row r="43079" ht="12.75"/>
    <row r="43080" ht="12.75"/>
    <row r="43081" ht="12.75"/>
    <row r="43082" ht="12.75"/>
    <row r="43083" ht="12.75"/>
    <row r="43084" ht="12.75"/>
    <row r="43085" ht="12.75"/>
    <row r="43086" ht="12.75"/>
    <row r="43087" ht="12.75"/>
    <row r="43088" ht="12.75"/>
    <row r="43089" ht="12.75"/>
    <row r="43090" ht="12.75"/>
    <row r="43091" ht="12.75"/>
    <row r="43092" ht="12.75"/>
    <row r="43093" ht="12.75"/>
    <row r="43094" ht="12.75"/>
    <row r="43095" ht="12.75"/>
    <row r="43096" ht="12.75"/>
    <row r="43097" ht="12.75"/>
    <row r="43098" ht="12.75"/>
    <row r="43099" ht="12.75"/>
    <row r="43100" ht="12.75"/>
    <row r="43101" ht="12.75"/>
    <row r="43102" ht="12.75"/>
    <row r="43103" ht="12.75"/>
    <row r="43104" ht="12.75"/>
    <row r="43105" ht="12.75"/>
    <row r="43106" ht="12.75"/>
    <row r="43107" ht="12.75"/>
    <row r="43108" ht="12.75"/>
    <row r="43109" ht="12.75"/>
    <row r="43110" ht="12.75"/>
    <row r="43111" ht="12.75"/>
    <row r="43112" ht="12.75"/>
    <row r="43113" ht="12.75"/>
    <row r="43114" ht="12.75"/>
    <row r="43115" ht="12.75"/>
    <row r="43116" ht="12.75"/>
    <row r="43117" ht="12.75"/>
    <row r="43118" ht="12.75"/>
    <row r="43119" ht="12.75"/>
    <row r="43120" ht="12.75"/>
    <row r="43121" ht="12.75"/>
    <row r="43122" ht="12.75"/>
    <row r="43123" ht="12.75"/>
    <row r="43124" ht="12.75"/>
    <row r="43125" ht="12.75"/>
    <row r="43126" ht="12.75"/>
    <row r="43127" ht="12.75"/>
    <row r="43128" ht="12.75"/>
    <row r="43129" ht="12.75"/>
    <row r="43130" ht="12.75"/>
    <row r="43131" ht="12.75"/>
    <row r="43132" ht="12.75"/>
    <row r="43133" ht="12.75"/>
    <row r="43134" ht="12.75"/>
    <row r="43135" ht="12.75"/>
    <row r="43136" ht="12.75"/>
    <row r="43137" ht="12.75"/>
    <row r="43138" ht="12.75"/>
    <row r="43139" ht="12.75"/>
    <row r="43140" ht="12.75"/>
    <row r="43141" ht="12.75"/>
    <row r="43142" ht="12.75"/>
    <row r="43143" ht="12.75"/>
    <row r="43144" ht="12.75"/>
    <row r="43145" ht="12.75"/>
    <row r="43146" ht="12.75"/>
    <row r="43147" ht="12.75"/>
    <row r="43148" ht="12.75"/>
    <row r="43149" ht="12.75"/>
    <row r="43150" ht="12.75"/>
    <row r="43151" ht="12.75"/>
    <row r="43152" ht="12.75"/>
    <row r="43153" ht="12.75"/>
    <row r="43154" ht="12.75"/>
    <row r="43155" ht="12.75"/>
    <row r="43156" ht="12.75"/>
    <row r="43157" ht="12.75"/>
    <row r="43158" ht="12.75"/>
    <row r="43159" ht="12.75"/>
    <row r="43160" ht="12.75"/>
    <row r="43161" ht="12.75"/>
    <row r="43162" ht="12.75"/>
    <row r="43163" ht="12.75"/>
    <row r="43164" ht="12.75"/>
    <row r="43165" ht="12.75"/>
    <row r="43166" ht="12.75"/>
    <row r="43167" ht="12.75"/>
    <row r="43168" ht="12.75"/>
    <row r="43169" ht="12.75"/>
    <row r="43170" ht="12.75"/>
    <row r="43171" ht="12.75"/>
    <row r="43172" ht="12.75"/>
    <row r="43173" ht="12.75"/>
    <row r="43174" ht="12.75"/>
    <row r="43175" ht="12.75"/>
    <row r="43176" ht="12.75"/>
    <row r="43177" ht="12.75"/>
    <row r="43178" ht="12.75"/>
    <row r="43179" ht="12.75"/>
    <row r="43180" ht="12.75"/>
    <row r="43181" ht="12.75"/>
    <row r="43182" ht="12.75"/>
    <row r="43183" ht="12.75"/>
    <row r="43184" ht="12.75"/>
    <row r="43185" ht="12.75"/>
    <row r="43186" ht="12.75"/>
    <row r="43187" ht="12.75"/>
    <row r="43188" ht="12.75"/>
    <row r="43189" ht="12.75"/>
    <row r="43190" ht="12.75"/>
    <row r="43191" ht="12.75"/>
    <row r="43192" ht="12.75"/>
    <row r="43193" ht="12.75"/>
    <row r="43194" ht="12.75"/>
    <row r="43195" ht="12.75"/>
    <row r="43196" ht="12.75"/>
    <row r="43197" ht="12.75"/>
    <row r="43198" ht="12.75"/>
    <row r="43199" ht="12.75"/>
    <row r="43200" ht="12.75"/>
    <row r="43201" ht="12.75"/>
    <row r="43202" ht="12.75"/>
    <row r="43203" ht="12.75"/>
    <row r="43204" ht="12.75"/>
    <row r="43205" ht="12.75"/>
    <row r="43206" ht="12.75"/>
    <row r="43207" ht="12.75"/>
    <row r="43208" ht="12.75"/>
    <row r="43209" ht="12.75"/>
    <row r="43210" ht="12.75"/>
    <row r="43211" ht="12.75"/>
    <row r="43212" ht="12.75"/>
    <row r="43213" ht="12.75"/>
    <row r="43214" ht="12.75"/>
    <row r="43215" ht="12.75"/>
    <row r="43216" ht="12.75"/>
    <row r="43217" ht="12.75"/>
    <row r="43218" ht="12.75"/>
    <row r="43219" ht="12.75"/>
    <row r="43220" ht="12.75"/>
    <row r="43221" ht="12.75"/>
    <row r="43222" ht="12.75"/>
    <row r="43223" ht="12.75"/>
    <row r="43224" ht="12.75"/>
    <row r="43225" ht="12.75"/>
    <row r="43226" ht="12.75"/>
    <row r="43227" ht="12.75"/>
    <row r="43228" ht="12.75"/>
    <row r="43229" ht="12.75"/>
    <row r="43230" ht="12.75"/>
    <row r="43231" ht="12.75"/>
    <row r="43232" ht="12.75"/>
    <row r="43233" ht="12.75"/>
    <row r="43234" ht="12.75"/>
    <row r="43235" ht="12.75"/>
    <row r="43236" ht="12.75"/>
    <row r="43237" ht="12.75"/>
    <row r="43238" ht="12.75"/>
    <row r="43239" ht="12.75"/>
    <row r="43240" ht="12.75"/>
    <row r="43241" ht="12.75"/>
    <row r="43242" ht="12.75"/>
    <row r="43243" ht="12.75"/>
    <row r="43244" ht="12.75"/>
    <row r="43245" ht="12.75"/>
    <row r="43246" ht="12.75"/>
    <row r="43247" ht="12.75"/>
    <row r="43248" ht="12.75"/>
    <row r="43249" ht="12.75"/>
    <row r="43250" ht="12.75"/>
    <row r="43251" ht="12.75"/>
    <row r="43252" ht="12.75"/>
    <row r="43253" ht="12.75"/>
    <row r="43254" ht="12.75"/>
    <row r="43255" ht="12.75"/>
    <row r="43256" ht="12.75"/>
    <row r="43257" ht="12.75"/>
    <row r="43258" ht="12.75"/>
    <row r="43259" ht="12.75"/>
    <row r="43260" ht="12.75"/>
    <row r="43261" ht="12.75"/>
    <row r="43262" ht="12.75"/>
    <row r="43263" ht="12.75"/>
    <row r="43264" ht="12.75"/>
    <row r="43265" ht="12.75"/>
    <row r="43266" ht="12.75"/>
    <row r="43267" ht="12.75"/>
    <row r="43268" ht="12.75"/>
    <row r="43269" ht="12.75"/>
    <row r="43270" ht="12.75"/>
    <row r="43271" ht="12.75"/>
    <row r="43272" ht="12.75"/>
    <row r="43273" ht="12.75"/>
    <row r="43274" ht="12.75"/>
    <row r="43275" ht="12.75"/>
    <row r="43276" ht="12.75"/>
    <row r="43277" ht="12.75"/>
    <row r="43278" ht="12.75"/>
    <row r="43279" ht="12.75"/>
    <row r="43280" ht="12.75"/>
    <row r="43281" ht="12.75"/>
    <row r="43282" ht="12.75"/>
    <row r="43283" ht="12.75"/>
    <row r="43284" ht="12.75"/>
    <row r="43285" ht="12.75"/>
    <row r="43286" ht="12.75"/>
    <row r="43287" ht="12.75"/>
    <row r="43288" ht="12.75"/>
    <row r="43289" ht="12.75"/>
    <row r="43290" ht="12.75"/>
    <row r="43291" ht="12.75"/>
    <row r="43292" ht="12.75"/>
    <row r="43293" ht="12.75"/>
    <row r="43294" ht="12.75"/>
    <row r="43295" ht="12.75"/>
    <row r="43296" ht="12.75"/>
    <row r="43297" ht="12.75"/>
    <row r="43298" ht="12.75"/>
    <row r="43299" ht="12.75"/>
    <row r="43300" ht="12.75"/>
    <row r="43301" ht="12.75"/>
    <row r="43302" ht="12.75"/>
    <row r="43303" ht="12.75"/>
    <row r="43304" ht="12.75"/>
    <row r="43305" ht="12.75"/>
    <row r="43306" ht="12.75"/>
    <row r="43307" ht="12.75"/>
    <row r="43308" ht="12.75"/>
    <row r="43309" ht="12.75"/>
    <row r="43310" ht="12.75"/>
    <row r="43311" ht="12.75"/>
    <row r="43312" ht="12.75"/>
    <row r="43313" ht="12.75"/>
    <row r="43314" ht="12.75"/>
    <row r="43315" ht="12.75"/>
    <row r="43316" ht="12.75"/>
    <row r="43317" ht="12.75"/>
    <row r="43318" ht="12.75"/>
    <row r="43319" ht="12.75"/>
    <row r="43320" ht="12.75"/>
    <row r="43321" ht="12.75"/>
    <row r="43322" ht="12.75"/>
    <row r="43323" ht="12.75"/>
    <row r="43324" ht="12.75"/>
    <row r="43325" ht="12.75"/>
    <row r="43326" ht="12.75"/>
    <row r="43327" ht="12.75"/>
    <row r="43328" ht="12.75"/>
    <row r="43329" ht="12.75"/>
    <row r="43330" ht="12.75"/>
    <row r="43331" ht="12.75"/>
    <row r="43332" ht="12.75"/>
    <row r="43333" ht="12.75"/>
    <row r="43334" ht="12.75"/>
    <row r="43335" ht="12.75"/>
    <row r="43336" ht="12.75"/>
    <row r="43337" ht="12.75"/>
    <row r="43338" ht="12.75"/>
    <row r="43339" ht="12.75"/>
    <row r="43340" ht="12.75"/>
    <row r="43341" ht="12.75"/>
    <row r="43342" ht="12.75"/>
    <row r="43343" ht="12.75"/>
    <row r="43344" ht="12.75"/>
    <row r="43345" ht="12.75"/>
    <row r="43346" ht="12.75"/>
    <row r="43347" ht="12.75"/>
    <row r="43348" ht="12.75"/>
    <row r="43349" ht="12.75"/>
    <row r="43350" ht="12.75"/>
    <row r="43351" ht="12.75"/>
    <row r="43352" ht="12.75"/>
    <row r="43353" ht="12.75"/>
    <row r="43354" ht="12.75"/>
    <row r="43355" ht="12.75"/>
    <row r="43356" ht="12.75"/>
    <row r="43357" ht="12.75"/>
    <row r="43358" ht="12.75"/>
    <row r="43359" ht="12.75"/>
    <row r="43360" ht="12.75"/>
    <row r="43361" ht="12.75"/>
    <row r="43362" ht="12.75"/>
    <row r="43363" ht="12.75"/>
    <row r="43364" ht="12.75"/>
    <row r="43365" ht="12.75"/>
    <row r="43366" ht="12.75"/>
    <row r="43367" ht="12.75"/>
    <row r="43368" ht="12.75"/>
    <row r="43369" ht="12.75"/>
    <row r="43370" ht="12.75"/>
    <row r="43371" ht="12.75"/>
    <row r="43372" ht="12.75"/>
    <row r="43373" ht="12.75"/>
    <row r="43374" ht="12.75"/>
    <row r="43375" ht="12.75"/>
    <row r="43376" ht="12.75"/>
    <row r="43377" ht="12.75"/>
    <row r="43378" ht="12.75"/>
    <row r="43379" ht="12.75"/>
    <row r="43380" ht="12.75"/>
    <row r="43381" ht="12.75"/>
    <row r="43382" ht="12.75"/>
    <row r="43383" ht="12.75"/>
    <row r="43384" ht="12.75"/>
    <row r="43385" ht="12.75"/>
    <row r="43386" ht="12.75"/>
    <row r="43387" ht="12.75"/>
    <row r="43388" ht="12.75"/>
    <row r="43389" ht="12.75"/>
    <row r="43390" ht="12.75"/>
    <row r="43391" ht="12.75"/>
    <row r="43392" ht="12.75"/>
    <row r="43393" ht="12.75"/>
    <row r="43394" ht="12.75"/>
    <row r="43395" ht="12.75"/>
    <row r="43396" ht="12.75"/>
    <row r="43397" ht="12.75"/>
    <row r="43398" ht="12.75"/>
    <row r="43399" ht="12.75"/>
    <row r="43400" ht="12.75"/>
    <row r="43401" ht="12.75"/>
    <row r="43402" ht="12.75"/>
    <row r="43403" ht="12.75"/>
    <row r="43404" ht="12.75"/>
    <row r="43405" ht="12.75"/>
    <row r="43406" ht="12.75"/>
    <row r="43407" ht="12.75"/>
    <row r="43408" ht="12.75"/>
    <row r="43409" ht="12.75"/>
    <row r="43410" ht="12.75"/>
    <row r="43411" ht="12.75"/>
    <row r="43412" ht="12.75"/>
    <row r="43413" ht="12.75"/>
    <row r="43414" ht="12.75"/>
    <row r="43415" ht="12.75"/>
    <row r="43416" ht="12.75"/>
    <row r="43417" ht="12.75"/>
    <row r="43418" ht="12.75"/>
    <row r="43419" ht="12.75"/>
    <row r="43420" ht="12.75"/>
    <row r="43421" ht="12.75"/>
    <row r="43422" ht="12.75"/>
    <row r="43423" ht="12.75"/>
    <row r="43424" ht="12.75"/>
    <row r="43425" ht="12.75"/>
    <row r="43426" ht="12.75"/>
    <row r="43427" ht="12.75"/>
    <row r="43428" ht="12.75"/>
    <row r="43429" ht="12.75"/>
    <row r="43430" ht="12.75"/>
    <row r="43431" ht="12.75"/>
    <row r="43432" ht="12.75"/>
    <row r="43433" ht="12.75"/>
    <row r="43434" ht="12.75"/>
    <row r="43435" ht="12.75"/>
    <row r="43436" ht="12.75"/>
    <row r="43437" ht="12.75"/>
    <row r="43438" ht="12.75"/>
    <row r="43439" ht="12.75"/>
    <row r="43440" ht="12.75"/>
    <row r="43441" ht="12.75"/>
    <row r="43442" ht="12.75"/>
    <row r="43443" ht="12.75"/>
    <row r="43444" ht="12.75"/>
    <row r="43445" ht="12.75"/>
    <row r="43446" ht="12.75"/>
    <row r="43447" ht="12.75"/>
    <row r="43448" ht="12.75"/>
    <row r="43449" ht="12.75"/>
    <row r="43450" ht="12.75"/>
    <row r="43451" ht="12.75"/>
    <row r="43452" ht="12.75"/>
    <row r="43453" ht="12.75"/>
    <row r="43454" ht="12.75"/>
    <row r="43455" ht="12.75"/>
    <row r="43456" ht="12.75"/>
    <row r="43457" ht="12.75"/>
    <row r="43458" ht="12.75"/>
    <row r="43459" ht="12.75"/>
    <row r="43460" ht="12.75"/>
    <row r="43461" ht="12.75"/>
    <row r="43462" ht="12.75"/>
    <row r="43463" ht="12.75"/>
    <row r="43464" ht="12.75"/>
    <row r="43465" ht="12.75"/>
    <row r="43466" ht="12.75"/>
    <row r="43467" ht="12.75"/>
    <row r="43468" ht="12.75"/>
    <row r="43469" ht="12.75"/>
    <row r="43470" ht="12.75"/>
    <row r="43471" ht="12.75"/>
    <row r="43472" ht="12.75"/>
    <row r="43473" ht="12.75"/>
    <row r="43474" ht="12.75"/>
    <row r="43475" ht="12.75"/>
    <row r="43476" ht="12.75"/>
    <row r="43477" ht="12.75"/>
    <row r="43478" ht="12.75"/>
    <row r="43479" ht="12.75"/>
    <row r="43480" ht="12.75"/>
    <row r="43481" ht="12.75"/>
    <row r="43482" ht="12.75"/>
    <row r="43483" ht="12.75"/>
    <row r="43484" ht="12.75"/>
    <row r="43485" ht="12.75"/>
    <row r="43486" ht="12.75"/>
    <row r="43487" ht="12.75"/>
    <row r="43488" ht="12.75"/>
    <row r="43489" ht="12.75"/>
    <row r="43490" ht="12.75"/>
    <row r="43491" ht="12.75"/>
    <row r="43492" ht="12.75"/>
    <row r="43493" ht="12.75"/>
    <row r="43494" ht="12.75"/>
    <row r="43495" ht="12.75"/>
    <row r="43496" ht="12.75"/>
    <row r="43497" ht="12.75"/>
    <row r="43498" ht="12.75"/>
    <row r="43499" ht="12.75"/>
    <row r="43500" ht="12.75"/>
    <row r="43501" ht="12.75"/>
    <row r="43502" ht="12.75"/>
    <row r="43503" ht="12.75"/>
    <row r="43504" ht="12.75"/>
    <row r="43505" ht="12.75"/>
    <row r="43506" ht="12.75"/>
    <row r="43507" ht="12.75"/>
    <row r="43508" ht="12.75"/>
    <row r="43509" ht="12.75"/>
    <row r="43510" ht="12.75"/>
    <row r="43511" ht="12.75"/>
    <row r="43512" ht="12.75"/>
    <row r="43513" ht="12.75"/>
    <row r="43514" ht="12.75"/>
    <row r="43515" ht="12.75"/>
    <row r="43516" ht="12.75"/>
    <row r="43517" ht="12.75"/>
    <row r="43518" ht="12.75"/>
    <row r="43519" ht="12.75"/>
    <row r="43520" ht="12.75"/>
    <row r="43521" ht="12.75"/>
    <row r="43522" ht="12.75"/>
    <row r="43523" ht="12.75"/>
    <row r="43524" ht="12.75"/>
    <row r="43525" ht="12.75"/>
    <row r="43526" ht="12.75"/>
    <row r="43527" ht="12.75"/>
    <row r="43528" ht="12.75"/>
    <row r="43529" ht="12.75"/>
    <row r="43530" ht="12.75"/>
    <row r="43531" ht="12.75"/>
    <row r="43532" ht="12.75"/>
    <row r="43533" ht="12.75"/>
    <row r="43534" ht="12.75"/>
    <row r="43535" ht="12.75"/>
    <row r="43536" ht="12.75"/>
    <row r="43537" ht="12.75"/>
    <row r="43538" ht="12.75"/>
    <row r="43539" ht="12.75"/>
    <row r="43540" ht="12.75"/>
    <row r="43541" ht="12.75"/>
    <row r="43542" ht="12.75"/>
    <row r="43543" ht="12.75"/>
    <row r="43544" ht="12.75"/>
    <row r="43545" ht="12.75"/>
    <row r="43546" ht="12.75"/>
    <row r="43547" ht="12.75"/>
    <row r="43548" ht="12.75"/>
    <row r="43549" ht="12.75"/>
    <row r="43550" ht="12.75"/>
    <row r="43551" ht="12.75"/>
    <row r="43552" ht="12.75"/>
    <row r="43553" ht="12.75"/>
    <row r="43554" ht="12.75"/>
    <row r="43555" ht="12.75"/>
    <row r="43556" ht="12.75"/>
    <row r="43557" ht="12.75"/>
    <row r="43558" ht="12.75"/>
    <row r="43559" ht="12.75"/>
    <row r="43560" ht="12.75"/>
    <row r="43561" ht="12.75"/>
    <row r="43562" ht="12.75"/>
    <row r="43563" ht="12.75"/>
    <row r="43564" ht="12.75"/>
    <row r="43565" ht="12.75"/>
    <row r="43566" ht="12.75"/>
    <row r="43567" ht="12.75"/>
    <row r="43568" ht="12.75"/>
    <row r="43569" ht="12.75"/>
    <row r="43570" ht="12.75"/>
    <row r="43571" ht="12.75"/>
    <row r="43572" ht="12.75"/>
    <row r="43573" ht="12.75"/>
    <row r="43574" ht="12.75"/>
    <row r="43575" ht="12.75"/>
    <row r="43576" ht="12.75"/>
    <row r="43577" ht="12.75"/>
    <row r="43578" ht="12.75"/>
    <row r="43579" ht="12.75"/>
    <row r="43580" ht="12.75"/>
    <row r="43581" ht="12.75"/>
    <row r="43582" ht="12.75"/>
    <row r="43583" ht="12.75"/>
    <row r="43584" ht="12.75"/>
    <row r="43585" ht="12.75"/>
    <row r="43586" ht="12.75"/>
    <row r="43587" ht="12.75"/>
    <row r="43588" ht="12.75"/>
    <row r="43589" ht="12.75"/>
    <row r="43590" ht="12.75"/>
    <row r="43591" ht="12.75"/>
    <row r="43592" ht="12.75"/>
    <row r="43593" ht="12.75"/>
    <row r="43594" ht="12.75"/>
    <row r="43595" ht="12.75"/>
    <row r="43596" ht="12.75"/>
    <row r="43597" ht="12.75"/>
    <row r="43598" ht="12.75"/>
    <row r="43599" ht="12.75"/>
    <row r="43600" ht="12.75"/>
    <row r="43601" ht="12.75"/>
    <row r="43602" ht="12.75"/>
    <row r="43603" ht="12.75"/>
    <row r="43604" ht="12.75"/>
    <row r="43605" ht="12.75"/>
    <row r="43606" ht="12.75"/>
    <row r="43607" ht="12.75"/>
    <row r="43608" ht="12.75"/>
    <row r="43609" ht="12.75"/>
    <row r="43610" ht="12.75"/>
    <row r="43611" ht="12.75"/>
    <row r="43612" ht="12.75"/>
    <row r="43613" ht="12.75"/>
    <row r="43614" ht="12.75"/>
    <row r="43615" ht="12.75"/>
    <row r="43616" ht="12.75"/>
    <row r="43617" ht="12.75"/>
    <row r="43618" ht="12.75"/>
    <row r="43619" ht="12.75"/>
    <row r="43620" ht="12.75"/>
    <row r="43621" ht="12.75"/>
    <row r="43622" ht="12.75"/>
    <row r="43623" ht="12.75"/>
    <row r="43624" ht="12.75"/>
    <row r="43625" ht="12.75"/>
    <row r="43626" ht="12.75"/>
    <row r="43627" ht="12.75"/>
    <row r="43628" ht="12.75"/>
    <row r="43629" ht="12.75"/>
    <row r="43630" ht="12.75"/>
    <row r="43631" ht="12.75"/>
    <row r="43632" ht="12.75"/>
    <row r="43633" ht="12.75"/>
    <row r="43634" ht="12.75"/>
    <row r="43635" ht="12.75"/>
    <row r="43636" ht="12.75"/>
    <row r="43637" ht="12.75"/>
    <row r="43638" ht="12.75"/>
    <row r="43639" ht="12.75"/>
    <row r="43640" ht="12.75"/>
    <row r="43641" ht="12.75"/>
    <row r="43642" ht="12.75"/>
    <row r="43643" ht="12.75"/>
    <row r="43644" ht="12.75"/>
    <row r="43645" ht="12.75"/>
    <row r="43646" ht="12.75"/>
    <row r="43647" ht="12.75"/>
    <row r="43648" ht="12.75"/>
    <row r="43649" ht="12.75"/>
    <row r="43650" ht="12.75"/>
    <row r="43651" ht="12.75"/>
    <row r="43652" ht="12.75"/>
    <row r="43653" ht="12.75"/>
    <row r="43654" ht="12.75"/>
    <row r="43655" ht="12.75"/>
    <row r="43656" ht="12.75"/>
    <row r="43657" ht="12.75"/>
    <row r="43658" ht="12.75"/>
    <row r="43659" ht="12.75"/>
    <row r="43660" ht="12.75"/>
    <row r="43661" ht="12.75"/>
    <row r="43662" ht="12.75"/>
    <row r="43663" ht="12.75"/>
    <row r="43664" ht="12.75"/>
    <row r="43665" ht="12.75"/>
    <row r="43666" ht="12.75"/>
    <row r="43667" ht="12.75"/>
    <row r="43668" ht="12.75"/>
    <row r="43669" ht="12.75"/>
    <row r="43670" ht="12.75"/>
    <row r="43671" ht="12.75"/>
    <row r="43672" ht="12.75"/>
    <row r="43673" ht="12.75"/>
    <row r="43674" ht="12.75"/>
    <row r="43675" ht="12.75"/>
    <row r="43676" ht="12.75"/>
    <row r="43677" ht="12.75"/>
    <row r="43678" ht="12.75"/>
    <row r="43679" ht="12.75"/>
    <row r="43680" ht="12.75"/>
    <row r="43681" ht="12.75"/>
    <row r="43682" ht="12.75"/>
    <row r="43683" ht="12.75"/>
    <row r="43684" ht="12.75"/>
    <row r="43685" ht="12.75"/>
    <row r="43686" ht="12.75"/>
    <row r="43687" ht="12.75"/>
    <row r="43688" ht="12.75"/>
    <row r="43689" ht="12.75"/>
    <row r="43690" ht="12.75"/>
    <row r="43691" ht="12.75"/>
    <row r="43692" ht="12.75"/>
    <row r="43693" ht="12.75"/>
    <row r="43694" ht="12.75"/>
    <row r="43695" ht="12.75"/>
    <row r="43696" ht="12.75"/>
    <row r="43697" ht="12.75"/>
    <row r="43698" ht="12.75"/>
    <row r="43699" ht="12.75"/>
    <row r="43700" ht="12.75"/>
    <row r="43701" ht="12.75"/>
    <row r="43702" ht="12.75"/>
    <row r="43703" ht="12.75"/>
    <row r="43704" ht="12.75"/>
    <row r="43705" ht="12.75"/>
    <row r="43706" ht="12.75"/>
    <row r="43707" ht="12.75"/>
    <row r="43708" ht="12.75"/>
    <row r="43709" ht="12.75"/>
    <row r="43710" ht="12.75"/>
    <row r="43711" ht="12.75"/>
    <row r="43712" ht="12.75"/>
    <row r="43713" ht="12.75"/>
    <row r="43714" ht="12.75"/>
    <row r="43715" ht="12.75"/>
    <row r="43716" ht="12.75"/>
    <row r="43717" ht="12.75"/>
    <row r="43718" ht="12.75"/>
    <row r="43719" ht="12.75"/>
    <row r="43720" ht="12.75"/>
    <row r="43721" ht="12.75"/>
    <row r="43722" ht="12.75"/>
    <row r="43723" ht="12.75"/>
    <row r="43724" ht="12.75"/>
    <row r="43725" ht="12.75"/>
    <row r="43726" ht="12.75"/>
    <row r="43727" ht="12.75"/>
    <row r="43728" ht="12.75"/>
    <row r="43729" ht="12.75"/>
    <row r="43730" ht="12.75"/>
    <row r="43731" ht="12.75"/>
    <row r="43732" ht="12.75"/>
    <row r="43733" ht="12.75"/>
    <row r="43734" ht="12.75"/>
    <row r="43735" ht="12.75"/>
    <row r="43736" ht="12.75"/>
    <row r="43737" ht="12.75"/>
    <row r="43738" ht="12.75"/>
    <row r="43739" ht="12.75"/>
    <row r="43740" ht="12.75"/>
    <row r="43741" ht="12.75"/>
    <row r="43742" ht="12.75"/>
    <row r="43743" ht="12.75"/>
    <row r="43744" ht="12.75"/>
    <row r="43745" ht="12.75"/>
    <row r="43746" ht="12.75"/>
    <row r="43747" ht="12.75"/>
    <row r="43748" ht="12.75"/>
    <row r="43749" ht="12.75"/>
    <row r="43750" ht="12.75"/>
    <row r="43751" ht="12.75"/>
    <row r="43752" ht="12.75"/>
    <row r="43753" ht="12.75"/>
    <row r="43754" ht="12.75"/>
    <row r="43755" ht="12.75"/>
    <row r="43756" ht="12.75"/>
    <row r="43757" ht="12.75"/>
    <row r="43758" ht="12.75"/>
    <row r="43759" ht="12.75"/>
    <row r="43760" ht="12.75"/>
    <row r="43761" ht="12.75"/>
    <row r="43762" ht="12.75"/>
    <row r="43763" ht="12.75"/>
    <row r="43764" ht="12.75"/>
    <row r="43765" ht="12.75"/>
    <row r="43766" ht="12.75"/>
    <row r="43767" ht="12.75"/>
    <row r="43768" ht="12.75"/>
    <row r="43769" ht="12.75"/>
    <row r="43770" ht="12.75"/>
    <row r="43771" ht="12.75"/>
    <row r="43772" ht="12.75"/>
    <row r="43773" ht="12.75"/>
    <row r="43774" ht="12.75"/>
    <row r="43775" ht="12.75"/>
    <row r="43776" ht="12.75"/>
    <row r="43777" ht="12.75"/>
    <row r="43778" ht="12.75"/>
    <row r="43779" ht="12.75"/>
    <row r="43780" ht="12.75"/>
    <row r="43781" ht="12.75"/>
    <row r="43782" ht="12.75"/>
    <row r="43783" ht="12.75"/>
    <row r="43784" ht="12.75"/>
    <row r="43785" ht="12.75"/>
    <row r="43786" ht="12.75"/>
    <row r="43787" ht="12.75"/>
    <row r="43788" ht="12.75"/>
    <row r="43789" ht="12.75"/>
    <row r="43790" ht="12.75"/>
    <row r="43791" ht="12.75"/>
    <row r="43792" ht="12.75"/>
    <row r="43793" ht="12.75"/>
    <row r="43794" ht="12.75"/>
    <row r="43795" ht="12.75"/>
    <row r="43796" ht="12.75"/>
    <row r="43797" ht="12.75"/>
    <row r="43798" ht="12.75"/>
    <row r="43799" ht="12.75"/>
    <row r="43800" ht="12.75"/>
    <row r="43801" ht="12.75"/>
    <row r="43802" ht="12.75"/>
    <row r="43803" ht="12.75"/>
    <row r="43804" ht="12.75"/>
    <row r="43805" ht="12.75"/>
    <row r="43806" ht="12.75"/>
    <row r="43807" ht="12.75"/>
    <row r="43808" ht="12.75"/>
    <row r="43809" ht="12.75"/>
    <row r="43810" ht="12.75"/>
    <row r="43811" ht="12.75"/>
    <row r="43812" ht="12.75"/>
    <row r="43813" ht="12.75"/>
    <row r="43814" ht="12.75"/>
    <row r="43815" ht="12.75"/>
    <row r="43816" ht="12.75"/>
    <row r="43817" ht="12.75"/>
    <row r="43818" ht="12.75"/>
    <row r="43819" ht="12.75"/>
    <row r="43820" ht="12.75"/>
    <row r="43821" ht="12.75"/>
    <row r="43822" ht="12.75"/>
    <row r="43823" ht="12.75"/>
    <row r="43824" ht="12.75"/>
    <row r="43825" ht="12.75"/>
    <row r="43826" ht="12.75"/>
    <row r="43827" ht="12.75"/>
    <row r="43828" ht="12.75"/>
    <row r="43829" ht="12.75"/>
    <row r="43830" ht="12.75"/>
    <row r="43831" ht="12.75"/>
    <row r="43832" ht="12.75"/>
    <row r="43833" ht="12.75"/>
    <row r="43834" ht="12.75"/>
    <row r="43835" ht="12.75"/>
    <row r="43836" ht="12.75"/>
    <row r="43837" ht="12.75"/>
    <row r="43838" ht="12.75"/>
    <row r="43839" ht="12.75"/>
    <row r="43840" ht="12.75"/>
    <row r="43841" ht="12.75"/>
    <row r="43842" ht="12.75"/>
    <row r="43843" ht="12.75"/>
    <row r="43844" ht="12.75"/>
    <row r="43845" ht="12.75"/>
    <row r="43846" ht="12.75"/>
    <row r="43847" ht="12.75"/>
    <row r="43848" ht="12.75"/>
    <row r="43849" ht="12.75"/>
    <row r="43850" ht="12.75"/>
    <row r="43851" ht="12.75"/>
    <row r="43852" ht="12.75"/>
    <row r="43853" ht="12.75"/>
    <row r="43854" ht="12.75"/>
    <row r="43855" ht="12.75"/>
    <row r="43856" ht="12.75"/>
    <row r="43857" ht="12.75"/>
    <row r="43858" ht="12.75"/>
    <row r="43859" ht="12.75"/>
    <row r="43860" ht="12.75"/>
    <row r="43861" ht="12.75"/>
    <row r="43862" ht="12.75"/>
    <row r="43863" ht="12.75"/>
    <row r="43864" ht="12.75"/>
    <row r="43865" ht="12.75"/>
    <row r="43866" ht="12.75"/>
    <row r="43867" ht="12.75"/>
    <row r="43868" ht="12.75"/>
    <row r="43869" ht="12.75"/>
    <row r="43870" ht="12.75"/>
    <row r="43871" ht="12.75"/>
    <row r="43872" ht="12.75"/>
    <row r="43873" ht="12.75"/>
    <row r="43874" ht="12.75"/>
    <row r="43875" ht="12.75"/>
    <row r="43876" ht="12.75"/>
    <row r="43877" ht="12.75"/>
    <row r="43878" ht="12.75"/>
    <row r="43879" ht="12.75"/>
    <row r="43880" ht="12.75"/>
    <row r="43881" ht="12.75"/>
    <row r="43882" ht="12.75"/>
    <row r="43883" ht="12.75"/>
    <row r="43884" ht="12.75"/>
    <row r="43885" ht="12.75"/>
    <row r="43886" ht="12.75"/>
    <row r="43887" ht="12.75"/>
    <row r="43888" ht="12.75"/>
    <row r="43889" ht="12.75"/>
    <row r="43890" ht="12.75"/>
    <row r="43891" ht="12.75"/>
    <row r="43892" ht="12.75"/>
    <row r="43893" ht="12.75"/>
    <row r="43894" ht="12.75"/>
    <row r="43895" ht="12.75"/>
    <row r="43896" ht="12.75"/>
    <row r="43897" ht="12.75"/>
    <row r="43898" ht="12.75"/>
    <row r="43899" ht="12.75"/>
    <row r="43900" ht="12.75"/>
    <row r="43901" ht="12.75"/>
    <row r="43902" ht="12.75"/>
    <row r="43903" ht="12.75"/>
    <row r="43904" ht="12.75"/>
    <row r="43905" ht="12.75"/>
    <row r="43906" ht="12.75"/>
    <row r="43907" ht="12.75"/>
    <row r="43908" ht="12.75"/>
    <row r="43909" ht="12.75"/>
    <row r="43910" ht="12.75"/>
    <row r="43911" ht="12.75"/>
    <row r="43912" ht="12.75"/>
    <row r="43913" ht="12.75"/>
    <row r="43914" ht="12.75"/>
    <row r="43915" ht="12.75"/>
    <row r="43916" ht="12.75"/>
    <row r="43917" ht="12.75"/>
    <row r="43918" ht="12.75"/>
    <row r="43919" ht="12.75"/>
    <row r="43920" ht="12.75"/>
    <row r="43921" ht="12.75"/>
    <row r="43922" ht="12.75"/>
    <row r="43923" ht="12.75"/>
    <row r="43924" ht="12.75"/>
    <row r="43925" ht="12.75"/>
    <row r="43926" ht="12.75"/>
    <row r="43927" ht="12.75"/>
    <row r="43928" ht="12.75"/>
    <row r="43929" ht="12.75"/>
    <row r="43930" ht="12.75"/>
    <row r="43931" ht="12.75"/>
    <row r="43932" ht="12.75"/>
    <row r="43933" ht="12.75"/>
    <row r="43934" ht="12.75"/>
    <row r="43935" ht="12.75"/>
    <row r="43936" ht="12.75"/>
    <row r="43937" ht="12.75"/>
    <row r="43938" ht="12.75"/>
    <row r="43939" ht="12.75"/>
    <row r="43940" ht="12.75"/>
    <row r="43941" ht="12.75"/>
    <row r="43942" ht="12.75"/>
    <row r="43943" ht="12.75"/>
    <row r="43944" ht="12.75"/>
    <row r="43945" ht="12.75"/>
    <row r="43946" ht="12.75"/>
    <row r="43947" ht="12.75"/>
    <row r="43948" ht="12.75"/>
    <row r="43949" ht="12.75"/>
    <row r="43950" ht="12.75"/>
    <row r="43951" ht="12.75"/>
    <row r="43952" ht="12.75"/>
    <row r="43953" ht="12.75"/>
    <row r="43954" ht="12.75"/>
    <row r="43955" ht="12.75"/>
    <row r="43956" ht="12.75"/>
    <row r="43957" ht="12.75"/>
    <row r="43958" ht="12.75"/>
    <row r="43959" ht="12.75"/>
    <row r="43960" ht="12.75"/>
    <row r="43961" ht="12.75"/>
    <row r="43962" ht="12.75"/>
    <row r="43963" ht="12.75"/>
    <row r="43964" ht="12.75"/>
    <row r="43965" ht="12.75"/>
    <row r="43966" ht="12.75"/>
    <row r="43967" ht="12.75"/>
    <row r="43968" ht="12.75"/>
    <row r="43969" ht="12.75"/>
    <row r="43970" ht="12.75"/>
    <row r="43971" ht="12.75"/>
    <row r="43972" ht="12.75"/>
    <row r="43973" ht="12.75"/>
    <row r="43974" ht="12.75"/>
    <row r="43975" ht="12.75"/>
    <row r="43976" ht="12.75"/>
    <row r="43977" ht="12.75"/>
    <row r="43978" ht="12.75"/>
    <row r="43979" ht="12.75"/>
    <row r="43980" ht="12.75"/>
    <row r="43981" ht="12.75"/>
    <row r="43982" ht="12.75"/>
    <row r="43983" ht="12.75"/>
    <row r="43984" ht="12.75"/>
    <row r="43985" ht="12.75"/>
    <row r="43986" ht="12.75"/>
    <row r="43987" ht="12.75"/>
    <row r="43988" ht="12.75"/>
    <row r="43989" ht="12.75"/>
    <row r="43990" ht="12.75"/>
    <row r="43991" ht="12.75"/>
    <row r="43992" ht="12.75"/>
    <row r="43993" ht="12.75"/>
    <row r="43994" ht="12.75"/>
    <row r="43995" ht="12.75"/>
    <row r="43996" ht="12.75"/>
    <row r="43997" ht="12.75"/>
    <row r="43998" ht="12.75"/>
    <row r="43999" ht="12.75"/>
    <row r="44000" ht="12.75"/>
    <row r="44001" ht="12.75"/>
    <row r="44002" ht="12.75"/>
    <row r="44003" ht="12.75"/>
    <row r="44004" ht="12.75"/>
    <row r="44005" ht="12.75"/>
    <row r="44006" ht="12.75"/>
    <row r="44007" ht="12.75"/>
    <row r="44008" ht="12.75"/>
    <row r="44009" ht="12.75"/>
    <row r="44010" ht="12.75"/>
    <row r="44011" ht="12.75"/>
    <row r="44012" ht="12.75"/>
    <row r="44013" ht="12.75"/>
    <row r="44014" ht="12.75"/>
    <row r="44015" ht="12.75"/>
    <row r="44016" ht="12.75"/>
    <row r="44017" ht="12.75"/>
    <row r="44018" ht="12.75"/>
    <row r="44019" ht="12.75"/>
    <row r="44020" ht="12.75"/>
    <row r="44021" ht="12.75"/>
    <row r="44022" ht="12.75"/>
    <row r="44023" ht="12.75"/>
    <row r="44024" ht="12.75"/>
    <row r="44025" ht="12.75"/>
    <row r="44026" ht="12.75"/>
    <row r="44027" ht="12.75"/>
    <row r="44028" ht="12.75"/>
    <row r="44029" ht="12.75"/>
    <row r="44030" ht="12.75"/>
    <row r="44031" ht="12.75"/>
    <row r="44032" ht="12.75"/>
    <row r="44033" ht="12.75"/>
    <row r="44034" ht="12.75"/>
    <row r="44035" ht="12.75"/>
    <row r="44036" ht="12.75"/>
    <row r="44037" ht="12.75"/>
    <row r="44038" ht="12.75"/>
    <row r="44039" ht="12.75"/>
    <row r="44040" ht="12.75"/>
    <row r="44041" ht="12.75"/>
    <row r="44042" ht="12.75"/>
    <row r="44043" ht="12.75"/>
    <row r="44044" ht="12.75"/>
    <row r="44045" ht="12.75"/>
    <row r="44046" ht="12.75"/>
    <row r="44047" ht="12.75"/>
    <row r="44048" ht="12.75"/>
    <row r="44049" ht="12.75"/>
    <row r="44050" ht="12.75"/>
    <row r="44051" ht="12.75"/>
    <row r="44052" ht="12.75"/>
    <row r="44053" ht="12.75"/>
    <row r="44054" ht="12.75"/>
    <row r="44055" ht="12.75"/>
    <row r="44056" ht="12.75"/>
    <row r="44057" ht="12.75"/>
    <row r="44058" ht="12.75"/>
    <row r="44059" ht="12.75"/>
    <row r="44060" ht="12.75"/>
    <row r="44061" ht="12.75"/>
    <row r="44062" ht="12.75"/>
    <row r="44063" ht="12.75"/>
    <row r="44064" ht="12.75"/>
    <row r="44065" ht="12.75"/>
    <row r="44066" ht="12.75"/>
    <row r="44067" ht="12.75"/>
    <row r="44068" ht="12.75"/>
    <row r="44069" ht="12.75"/>
    <row r="44070" ht="12.75"/>
    <row r="44071" ht="12.75"/>
    <row r="44072" ht="12.75"/>
    <row r="44073" ht="12.75"/>
    <row r="44074" ht="12.75"/>
    <row r="44075" ht="12.75"/>
    <row r="44076" ht="12.75"/>
    <row r="44077" ht="12.75"/>
    <row r="44078" ht="12.75"/>
    <row r="44079" ht="12.75"/>
    <row r="44080" ht="12.75"/>
    <row r="44081" ht="12.75"/>
    <row r="44082" ht="12.75"/>
    <row r="44083" ht="12.75"/>
    <row r="44084" ht="12.75"/>
    <row r="44085" ht="12.75"/>
    <row r="44086" ht="12.75"/>
    <row r="44087" ht="12.75"/>
    <row r="44088" ht="12.75"/>
    <row r="44089" ht="12.75"/>
    <row r="44090" ht="12.75"/>
    <row r="44091" ht="12.75"/>
    <row r="44092" ht="12.75"/>
    <row r="44093" ht="12.75"/>
    <row r="44094" ht="12.75"/>
    <row r="44095" ht="12.75"/>
    <row r="44096" ht="12.75"/>
    <row r="44097" ht="12.75"/>
    <row r="44098" ht="12.75"/>
    <row r="44099" ht="12.75"/>
    <row r="44100" ht="12.75"/>
    <row r="44101" ht="12.75"/>
    <row r="44102" ht="12.75"/>
    <row r="44103" ht="12.75"/>
    <row r="44104" ht="12.75"/>
    <row r="44105" ht="12.75"/>
    <row r="44106" ht="12.75"/>
    <row r="44107" ht="12.75"/>
    <row r="44108" ht="12.75"/>
    <row r="44109" ht="12.75"/>
    <row r="44110" ht="12.75"/>
    <row r="44111" ht="12.75"/>
    <row r="44112" ht="12.75"/>
    <row r="44113" ht="12.75"/>
    <row r="44114" ht="12.75"/>
    <row r="44115" ht="12.75"/>
    <row r="44116" ht="12.75"/>
    <row r="44117" ht="12.75"/>
    <row r="44118" ht="12.75"/>
    <row r="44119" ht="12.75"/>
    <row r="44120" ht="12.75"/>
    <row r="44121" ht="12.75"/>
    <row r="44122" ht="12.75"/>
    <row r="44123" ht="12.75"/>
    <row r="44124" ht="12.75"/>
    <row r="44125" ht="12.75"/>
    <row r="44126" ht="12.75"/>
    <row r="44127" ht="12.75"/>
    <row r="44128" ht="12.75"/>
    <row r="44129" ht="12.75"/>
    <row r="44130" ht="12.75"/>
    <row r="44131" ht="12.75"/>
    <row r="44132" ht="12.75"/>
    <row r="44133" ht="12.75"/>
    <row r="44134" ht="12.75"/>
    <row r="44135" ht="12.75"/>
    <row r="44136" ht="12.75"/>
    <row r="44137" ht="12.75"/>
    <row r="44138" ht="12.75"/>
    <row r="44139" ht="12.75"/>
    <row r="44140" ht="12.75"/>
    <row r="44141" ht="12.75"/>
    <row r="44142" ht="12.75"/>
    <row r="44143" ht="12.75"/>
    <row r="44144" ht="12.75"/>
    <row r="44145" ht="12.75"/>
    <row r="44146" ht="12.75"/>
    <row r="44147" ht="12.75"/>
    <row r="44148" ht="12.75"/>
    <row r="44149" ht="12.75"/>
    <row r="44150" ht="12.75"/>
    <row r="44151" ht="12.75"/>
    <row r="44152" ht="12.75"/>
    <row r="44153" ht="12.75"/>
    <row r="44154" ht="12.75"/>
    <row r="44155" ht="12.75"/>
    <row r="44156" ht="12.75"/>
    <row r="44157" ht="12.75"/>
    <row r="44158" ht="12.75"/>
    <row r="44159" ht="12.75"/>
    <row r="44160" ht="12.75"/>
    <row r="44161" ht="12.75"/>
    <row r="44162" ht="12.75"/>
    <row r="44163" ht="12.75"/>
    <row r="44164" ht="12.75"/>
    <row r="44165" ht="12.75"/>
    <row r="44166" ht="12.75"/>
    <row r="44167" ht="12.75"/>
    <row r="44168" ht="12.75"/>
    <row r="44169" ht="12.75"/>
    <row r="44170" ht="12.75"/>
    <row r="44171" ht="12.75"/>
    <row r="44172" ht="12.75"/>
    <row r="44173" ht="12.75"/>
    <row r="44174" ht="12.75"/>
    <row r="44175" ht="12.75"/>
    <row r="44176" ht="12.75"/>
    <row r="44177" ht="12.75"/>
    <row r="44178" ht="12.75"/>
    <row r="44179" ht="12.75"/>
    <row r="44180" ht="12.75"/>
    <row r="44181" ht="12.75"/>
    <row r="44182" ht="12.75"/>
    <row r="44183" ht="12.75"/>
    <row r="44184" ht="12.75"/>
    <row r="44185" ht="12.75"/>
    <row r="44186" ht="12.75"/>
    <row r="44187" ht="12.75"/>
    <row r="44188" ht="12.75"/>
    <row r="44189" ht="12.75"/>
    <row r="44190" ht="12.75"/>
    <row r="44191" ht="12.75"/>
    <row r="44192" ht="12.75"/>
    <row r="44193" ht="12.75"/>
    <row r="44194" ht="12.75"/>
    <row r="44195" ht="12.75"/>
    <row r="44196" ht="12.75"/>
    <row r="44197" ht="12.75"/>
    <row r="44198" ht="12.75"/>
    <row r="44199" ht="12.75"/>
    <row r="44200" ht="12.75"/>
    <row r="44201" ht="12.75"/>
    <row r="44202" ht="12.75"/>
    <row r="44203" ht="12.75"/>
    <row r="44204" ht="12.75"/>
    <row r="44205" ht="12.75"/>
    <row r="44206" ht="12.75"/>
    <row r="44207" ht="12.75"/>
    <row r="44208" ht="12.75"/>
    <row r="44209" ht="12.75"/>
    <row r="44210" ht="12.75"/>
    <row r="44211" ht="12.75"/>
    <row r="44212" ht="12.75"/>
    <row r="44213" ht="12.75"/>
    <row r="44214" ht="12.75"/>
    <row r="44215" ht="12.75"/>
    <row r="44216" ht="12.75"/>
    <row r="44217" ht="12.75"/>
    <row r="44218" ht="12.75"/>
    <row r="44219" ht="12.75"/>
    <row r="44220" ht="12.75"/>
    <row r="44221" ht="12.75"/>
    <row r="44222" ht="12.75"/>
    <row r="44223" ht="12.75"/>
    <row r="44224" ht="12.75"/>
    <row r="44225" ht="12.75"/>
    <row r="44226" ht="12.75"/>
    <row r="44227" ht="12.75"/>
    <row r="44228" ht="12.75"/>
    <row r="44229" ht="12.75"/>
    <row r="44230" ht="12.75"/>
    <row r="44231" ht="12.75"/>
    <row r="44232" ht="12.75"/>
    <row r="44233" ht="12.75"/>
    <row r="44234" ht="12.75"/>
    <row r="44235" ht="12.75"/>
    <row r="44236" ht="12.75"/>
    <row r="44237" ht="12.75"/>
    <row r="44238" ht="12.75"/>
    <row r="44239" ht="12.75"/>
    <row r="44240" ht="12.75"/>
    <row r="44241" ht="12.75"/>
    <row r="44242" ht="12.75"/>
    <row r="44243" ht="12.75"/>
    <row r="44244" ht="12.75"/>
    <row r="44245" ht="12.75"/>
    <row r="44246" ht="12.75"/>
    <row r="44247" ht="12.75"/>
    <row r="44248" ht="12.75"/>
    <row r="44249" ht="12.75"/>
    <row r="44250" ht="12.75"/>
    <row r="44251" ht="12.75"/>
    <row r="44252" ht="12.75"/>
    <row r="44253" ht="12.75"/>
    <row r="44254" ht="12.75"/>
    <row r="44255" ht="12.75"/>
    <row r="44256" ht="12.75"/>
    <row r="44257" ht="12.75"/>
    <row r="44258" ht="12.75"/>
    <row r="44259" ht="12.75"/>
    <row r="44260" ht="12.75"/>
    <row r="44261" ht="12.75"/>
    <row r="44262" ht="12.75"/>
    <row r="44263" ht="12.75"/>
    <row r="44264" ht="12.75"/>
    <row r="44265" ht="12.75"/>
    <row r="44266" ht="12.75"/>
    <row r="44267" ht="12.75"/>
    <row r="44268" ht="12.75"/>
    <row r="44269" ht="12.75"/>
    <row r="44270" ht="12.75"/>
    <row r="44271" ht="12.75"/>
    <row r="44272" ht="12.75"/>
    <row r="44273" ht="12.75"/>
    <row r="44274" ht="12.75"/>
    <row r="44275" ht="12.75"/>
    <row r="44276" ht="12.75"/>
    <row r="44277" ht="12.75"/>
    <row r="44278" ht="12.75"/>
    <row r="44279" ht="12.75"/>
    <row r="44280" ht="12.75"/>
    <row r="44281" ht="12.75"/>
    <row r="44282" ht="12.75"/>
    <row r="44283" ht="12.75"/>
    <row r="44284" ht="12.75"/>
    <row r="44285" ht="12.75"/>
    <row r="44286" ht="12.75"/>
    <row r="44287" ht="12.75"/>
    <row r="44288" ht="12.75"/>
    <row r="44289" ht="12.75"/>
    <row r="44290" ht="12.75"/>
    <row r="44291" ht="12.75"/>
    <row r="44292" ht="12.75"/>
    <row r="44293" ht="12.75"/>
    <row r="44294" ht="12.75"/>
    <row r="44295" ht="12.75"/>
    <row r="44296" ht="12.75"/>
    <row r="44297" ht="12.75"/>
    <row r="44298" ht="12.75"/>
    <row r="44299" ht="12.75"/>
    <row r="44300" ht="12.75"/>
    <row r="44301" ht="12.75"/>
    <row r="44302" ht="12.75"/>
    <row r="44303" ht="12.75"/>
    <row r="44304" ht="12.75"/>
    <row r="44305" ht="12.75"/>
    <row r="44306" ht="12.75"/>
    <row r="44307" ht="12.75"/>
    <row r="44308" ht="12.75"/>
    <row r="44309" ht="12.75"/>
    <row r="44310" ht="12.75"/>
    <row r="44311" ht="12.75"/>
    <row r="44312" ht="12.75"/>
    <row r="44313" ht="12.75"/>
    <row r="44314" ht="12.75"/>
    <row r="44315" ht="12.75"/>
    <row r="44316" ht="12.75"/>
    <row r="44317" ht="12.75"/>
    <row r="44318" ht="12.75"/>
    <row r="44319" ht="12.75"/>
    <row r="44320" ht="12.75"/>
    <row r="44321" ht="12.75"/>
    <row r="44322" ht="12.75"/>
    <row r="44323" ht="12.75"/>
    <row r="44324" ht="12.75"/>
    <row r="44325" ht="12.75"/>
    <row r="44326" ht="12.75"/>
    <row r="44327" ht="12.75"/>
    <row r="44328" ht="12.75"/>
    <row r="44329" ht="12.75"/>
    <row r="44330" ht="12.75"/>
    <row r="44331" ht="12.75"/>
    <row r="44332" ht="12.75"/>
    <row r="44333" ht="12.75"/>
    <row r="44334" ht="12.75"/>
    <row r="44335" ht="12.75"/>
    <row r="44336" ht="12.75"/>
    <row r="44337" ht="12.75"/>
    <row r="44338" ht="12.75"/>
    <row r="44339" ht="12.75"/>
    <row r="44340" ht="12.75"/>
    <row r="44341" ht="12.75"/>
    <row r="44342" ht="12.75"/>
    <row r="44343" ht="12.75"/>
    <row r="44344" ht="12.75"/>
    <row r="44345" ht="12.75"/>
    <row r="44346" ht="12.75"/>
    <row r="44347" ht="12.75"/>
    <row r="44348" ht="12.75"/>
    <row r="44349" ht="12.75"/>
    <row r="44350" ht="12.75"/>
    <row r="44351" ht="12.75"/>
    <row r="44352" ht="12.75"/>
    <row r="44353" ht="12.75"/>
    <row r="44354" ht="12.75"/>
    <row r="44355" ht="12.75"/>
    <row r="44356" ht="12.75"/>
    <row r="44357" ht="12.75"/>
    <row r="44358" ht="12.75"/>
    <row r="44359" ht="12.75"/>
    <row r="44360" ht="12.75"/>
    <row r="44361" ht="12.75"/>
    <row r="44362" ht="12.75"/>
    <row r="44363" ht="12.75"/>
    <row r="44364" ht="12.75"/>
    <row r="44365" ht="12.75"/>
    <row r="44366" ht="12.75"/>
    <row r="44367" ht="12.75"/>
    <row r="44368" ht="12.75"/>
    <row r="44369" ht="12.75"/>
    <row r="44370" ht="12.75"/>
    <row r="44371" ht="12.75"/>
    <row r="44372" ht="12.75"/>
    <row r="44373" ht="12.75"/>
    <row r="44374" ht="12.75"/>
    <row r="44375" ht="12.75"/>
    <row r="44376" ht="12.75"/>
    <row r="44377" ht="12.75"/>
    <row r="44378" ht="12.75"/>
    <row r="44379" ht="12.75"/>
    <row r="44380" ht="12.75"/>
    <row r="44381" ht="12.75"/>
    <row r="44382" ht="12.75"/>
    <row r="44383" ht="12.75"/>
    <row r="44384" ht="12.75"/>
    <row r="44385" ht="12.75"/>
    <row r="44386" ht="12.75"/>
    <row r="44387" ht="12.75"/>
    <row r="44388" ht="12.75"/>
    <row r="44389" ht="12.75"/>
    <row r="44390" ht="12.75"/>
    <row r="44391" ht="12.75"/>
    <row r="44392" ht="12.75"/>
    <row r="44393" ht="12.75"/>
    <row r="44394" ht="12.75"/>
    <row r="44395" ht="12.75"/>
    <row r="44396" ht="12.75"/>
    <row r="44397" ht="12.75"/>
    <row r="44398" ht="12.75"/>
    <row r="44399" ht="12.75"/>
    <row r="44400" ht="12.75"/>
    <row r="44401" ht="12.75"/>
    <row r="44402" ht="12.75"/>
    <row r="44403" ht="12.75"/>
    <row r="44404" ht="12.75"/>
    <row r="44405" ht="12.75"/>
    <row r="44406" ht="12.75"/>
    <row r="44407" ht="12.75"/>
    <row r="44408" ht="12.75"/>
    <row r="44409" ht="12.75"/>
    <row r="44410" ht="12.75"/>
    <row r="44411" ht="12.75"/>
    <row r="44412" ht="12.75"/>
    <row r="44413" ht="12.75"/>
    <row r="44414" ht="12.75"/>
    <row r="44415" ht="12.75"/>
    <row r="44416" ht="12.75"/>
    <row r="44417" ht="12.75"/>
    <row r="44418" ht="12.75"/>
    <row r="44419" ht="12.75"/>
    <row r="44420" ht="12.75"/>
    <row r="44421" ht="12.75"/>
    <row r="44422" ht="12.75"/>
    <row r="44423" ht="12.75"/>
    <row r="44424" ht="12.75"/>
    <row r="44425" ht="12.75"/>
    <row r="44426" ht="12.75"/>
    <row r="44427" ht="12.75"/>
    <row r="44428" ht="12.75"/>
    <row r="44429" ht="12.75"/>
    <row r="44430" ht="12.75"/>
    <row r="44431" ht="12.75"/>
    <row r="44432" ht="12.75"/>
    <row r="44433" ht="12.75"/>
    <row r="44434" ht="12.75"/>
    <row r="44435" ht="12.75"/>
    <row r="44436" ht="12.75"/>
    <row r="44437" ht="12.75"/>
    <row r="44438" ht="12.75"/>
    <row r="44439" ht="12.75"/>
    <row r="44440" ht="12.75"/>
    <row r="44441" ht="12.75"/>
    <row r="44442" ht="12.75"/>
    <row r="44443" ht="12.75"/>
    <row r="44444" ht="12.75"/>
    <row r="44445" ht="12.75"/>
    <row r="44446" ht="12.75"/>
    <row r="44447" ht="12.75"/>
    <row r="44448" ht="12.75"/>
    <row r="44449" ht="12.75"/>
    <row r="44450" ht="12.75"/>
    <row r="44451" ht="12.75"/>
    <row r="44452" ht="12.75"/>
    <row r="44453" ht="12.75"/>
    <row r="44454" ht="12.75"/>
    <row r="44455" ht="12.75"/>
    <row r="44456" ht="12.75"/>
    <row r="44457" ht="12.75"/>
    <row r="44458" ht="12.75"/>
    <row r="44459" ht="12.75"/>
    <row r="44460" ht="12.75"/>
    <row r="44461" ht="12.75"/>
    <row r="44462" ht="12.75"/>
    <row r="44463" ht="12.75"/>
    <row r="44464" ht="12.75"/>
    <row r="44465" ht="12.75"/>
    <row r="44466" ht="12.75"/>
    <row r="44467" ht="12.75"/>
    <row r="44468" ht="12.75"/>
    <row r="44469" ht="12.75"/>
    <row r="44470" ht="12.75"/>
    <row r="44471" ht="12.75"/>
    <row r="44472" ht="12.75"/>
    <row r="44473" ht="12.75"/>
    <row r="44474" ht="12.75"/>
    <row r="44475" ht="12.75"/>
    <row r="44476" ht="12.75"/>
    <row r="44477" ht="12.75"/>
    <row r="44478" ht="12.75"/>
    <row r="44479" ht="12.75"/>
    <row r="44480" ht="12.75"/>
    <row r="44481" ht="12.75"/>
    <row r="44482" ht="12.75"/>
    <row r="44483" ht="12.75"/>
    <row r="44484" ht="12.75"/>
    <row r="44485" ht="12.75"/>
    <row r="44486" ht="12.75"/>
    <row r="44487" ht="12.75"/>
    <row r="44488" ht="12.75"/>
    <row r="44489" ht="12.75"/>
    <row r="44490" ht="12.75"/>
    <row r="44491" ht="12.75"/>
    <row r="44492" ht="12.75"/>
    <row r="44493" ht="12.75"/>
    <row r="44494" ht="12.75"/>
    <row r="44495" ht="12.75"/>
    <row r="44496" ht="12.75"/>
    <row r="44497" ht="12.75"/>
    <row r="44498" ht="12.75"/>
    <row r="44499" ht="12.75"/>
    <row r="44500" ht="12.75"/>
    <row r="44501" ht="12.75"/>
    <row r="44502" ht="12.75"/>
    <row r="44503" ht="12.75"/>
    <row r="44504" ht="12.75"/>
    <row r="44505" ht="12.75"/>
    <row r="44506" ht="12.75"/>
    <row r="44507" ht="12.75"/>
    <row r="44508" ht="12.75"/>
    <row r="44509" ht="12.75"/>
    <row r="44510" ht="12.75"/>
    <row r="44511" ht="12.75"/>
    <row r="44512" ht="12.75"/>
    <row r="44513" ht="12.75"/>
    <row r="44514" ht="12.75"/>
    <row r="44515" ht="12.75"/>
    <row r="44516" ht="12.75"/>
    <row r="44517" ht="12.75"/>
    <row r="44518" ht="12.75"/>
    <row r="44519" ht="12.75"/>
    <row r="44520" ht="12.75"/>
    <row r="44521" ht="12.75"/>
    <row r="44522" ht="12.75"/>
    <row r="44523" ht="12.75"/>
    <row r="44524" ht="12.75"/>
    <row r="44525" ht="12.75"/>
    <row r="44526" ht="12.75"/>
    <row r="44527" ht="12.75"/>
    <row r="44528" ht="12.75"/>
    <row r="44529" ht="12.75"/>
    <row r="44530" ht="12.75"/>
    <row r="44531" ht="12.75"/>
    <row r="44532" ht="12.75"/>
    <row r="44533" ht="12.75"/>
    <row r="44534" ht="12.75"/>
    <row r="44535" ht="12.75"/>
    <row r="44536" ht="12.75"/>
    <row r="44537" ht="12.75"/>
    <row r="44538" ht="12.75"/>
    <row r="44539" ht="12.75"/>
    <row r="44540" ht="12.75"/>
    <row r="44541" ht="12.75"/>
    <row r="44542" ht="12.75"/>
    <row r="44543" ht="12.75"/>
    <row r="44544" ht="12.75"/>
    <row r="44545" ht="12.75"/>
    <row r="44546" ht="12.75"/>
    <row r="44547" ht="12.75"/>
    <row r="44548" ht="12.75"/>
    <row r="44549" ht="12.75"/>
    <row r="44550" ht="12.75"/>
    <row r="44551" ht="12.75"/>
    <row r="44552" ht="12.75"/>
    <row r="44553" ht="12.75"/>
    <row r="44554" ht="12.75"/>
    <row r="44555" ht="12.75"/>
    <row r="44556" ht="12.75"/>
    <row r="44557" ht="12.75"/>
    <row r="44558" ht="12.75"/>
    <row r="44559" ht="12.75"/>
    <row r="44560" ht="12.75"/>
    <row r="44561" ht="12.75"/>
    <row r="44562" ht="12.75"/>
    <row r="44563" ht="12.75"/>
    <row r="44564" ht="12.75"/>
    <row r="44565" ht="12.75"/>
    <row r="44566" ht="12.75"/>
    <row r="44567" ht="12.75"/>
    <row r="44568" ht="12.75"/>
    <row r="44569" ht="12.75"/>
    <row r="44570" ht="12.75"/>
    <row r="44571" ht="12.75"/>
    <row r="44572" ht="12.75"/>
    <row r="44573" ht="12.75"/>
    <row r="44574" ht="12.75"/>
    <row r="44575" ht="12.75"/>
    <row r="44576" ht="12.75"/>
    <row r="44577" ht="12.75"/>
    <row r="44578" ht="12.75"/>
    <row r="44579" ht="12.75"/>
    <row r="44580" ht="12.75"/>
    <row r="44581" ht="12.75"/>
    <row r="44582" ht="12.75"/>
    <row r="44583" ht="12.75"/>
    <row r="44584" ht="12.75"/>
    <row r="44585" ht="12.75"/>
    <row r="44586" ht="12.75"/>
    <row r="44587" ht="12.75"/>
    <row r="44588" ht="12.75"/>
    <row r="44589" ht="12.75"/>
    <row r="44590" ht="12.75"/>
    <row r="44591" ht="12.75"/>
    <row r="44592" ht="12.75"/>
    <row r="44593" ht="12.75"/>
    <row r="44594" ht="12.75"/>
    <row r="44595" ht="12.75"/>
    <row r="44596" ht="12.75"/>
    <row r="44597" ht="12.75"/>
    <row r="44598" ht="12.75"/>
    <row r="44599" ht="12.75"/>
    <row r="44600" ht="12.75"/>
    <row r="44601" ht="12.75"/>
    <row r="44602" ht="12.75"/>
    <row r="44603" ht="12.75"/>
    <row r="44604" ht="12.75"/>
    <row r="44605" ht="12.75"/>
    <row r="44606" ht="12.75"/>
    <row r="44607" ht="12.75"/>
    <row r="44608" ht="12.75"/>
    <row r="44609" ht="12.75"/>
    <row r="44610" ht="12.75"/>
    <row r="44611" ht="12.75"/>
    <row r="44612" ht="12.75"/>
    <row r="44613" ht="12.75"/>
    <row r="44614" ht="12.75"/>
    <row r="44615" ht="12.75"/>
    <row r="44616" ht="12.75"/>
    <row r="44617" ht="12.75"/>
    <row r="44618" ht="12.75"/>
    <row r="44619" ht="12.75"/>
    <row r="44620" ht="12.75"/>
    <row r="44621" ht="12.75"/>
    <row r="44622" ht="12.75"/>
    <row r="44623" ht="12.75"/>
    <row r="44624" ht="12.75"/>
    <row r="44625" ht="12.75"/>
    <row r="44626" ht="12.75"/>
    <row r="44627" ht="12.75"/>
    <row r="44628" ht="12.75"/>
    <row r="44629" ht="12.75"/>
    <row r="44630" ht="12.75"/>
    <row r="44631" ht="12.75"/>
    <row r="44632" ht="12.75"/>
    <row r="44633" ht="12.75"/>
    <row r="44634" ht="12.75"/>
    <row r="44635" ht="12.75"/>
    <row r="44636" ht="12.75"/>
    <row r="44637" ht="12.75"/>
    <row r="44638" ht="12.75"/>
    <row r="44639" ht="12.75"/>
    <row r="44640" ht="12.75"/>
    <row r="44641" ht="12.75"/>
    <row r="44642" ht="12.75"/>
    <row r="44643" ht="12.75"/>
    <row r="44644" ht="12.75"/>
    <row r="44645" ht="12.75"/>
    <row r="44646" ht="12.75"/>
    <row r="44647" ht="12.75"/>
    <row r="44648" ht="12.75"/>
    <row r="44649" ht="12.75"/>
    <row r="44650" ht="12.75"/>
    <row r="44651" ht="12.75"/>
    <row r="44652" ht="12.75"/>
    <row r="44653" ht="12.75"/>
    <row r="44654" ht="12.75"/>
    <row r="44655" ht="12.75"/>
    <row r="44656" ht="12.75"/>
    <row r="44657" ht="12.75"/>
    <row r="44658" ht="12.75"/>
    <row r="44659" ht="12.75"/>
    <row r="44660" ht="12.75"/>
    <row r="44661" ht="12.75"/>
    <row r="44662" ht="12.75"/>
    <row r="44663" ht="12.75"/>
    <row r="44664" ht="12.75"/>
    <row r="44665" ht="12.75"/>
    <row r="44666" ht="12.75"/>
    <row r="44667" ht="12.75"/>
    <row r="44668" ht="12.75"/>
    <row r="44669" ht="12.75"/>
    <row r="44670" ht="12.75"/>
    <row r="44671" ht="12.75"/>
    <row r="44672" ht="12.75"/>
    <row r="44673" ht="12.75"/>
    <row r="44674" ht="12.75"/>
    <row r="44675" ht="12.75"/>
    <row r="44676" ht="12.75"/>
    <row r="44677" ht="12.75"/>
    <row r="44678" ht="12.75"/>
    <row r="44679" ht="12.75"/>
    <row r="44680" ht="12.75"/>
    <row r="44681" ht="12.75"/>
    <row r="44682" ht="12.75"/>
    <row r="44683" ht="12.75"/>
    <row r="44684" ht="12.75"/>
    <row r="44685" ht="12.75"/>
    <row r="44686" ht="12.75"/>
    <row r="44687" ht="12.75"/>
    <row r="44688" ht="12.75"/>
    <row r="44689" ht="12.75"/>
    <row r="44690" ht="12.75"/>
    <row r="44691" ht="12.75"/>
    <row r="44692" ht="12.75"/>
    <row r="44693" ht="12.75"/>
    <row r="44694" ht="12.75"/>
    <row r="44695" ht="12.75"/>
    <row r="44696" ht="12.75"/>
    <row r="44697" ht="12.75"/>
    <row r="44698" ht="12.75"/>
    <row r="44699" ht="12.75"/>
    <row r="44700" ht="12.75"/>
    <row r="44701" ht="12.75"/>
    <row r="44702" ht="12.75"/>
    <row r="44703" ht="12.75"/>
    <row r="44704" ht="12.75"/>
    <row r="44705" ht="12.75"/>
    <row r="44706" ht="12.75"/>
    <row r="44707" ht="12.75"/>
    <row r="44708" ht="12.75"/>
    <row r="44709" ht="12.75"/>
    <row r="44710" ht="12.75"/>
    <row r="44711" ht="12.75"/>
    <row r="44712" ht="12.75"/>
    <row r="44713" ht="12.75"/>
    <row r="44714" ht="12.75"/>
    <row r="44715" ht="12.75"/>
    <row r="44716" ht="12.75"/>
    <row r="44717" ht="12.75"/>
    <row r="44718" ht="12.75"/>
    <row r="44719" ht="12.75"/>
    <row r="44720" ht="12.75"/>
    <row r="44721" ht="12.75"/>
    <row r="44722" ht="12.75"/>
    <row r="44723" ht="12.75"/>
    <row r="44724" ht="12.75"/>
    <row r="44725" ht="12.75"/>
    <row r="44726" ht="12.75"/>
    <row r="44727" ht="12.75"/>
    <row r="44728" ht="12.75"/>
    <row r="44729" ht="12.75"/>
    <row r="44730" ht="12.75"/>
    <row r="44731" ht="12.75"/>
    <row r="44732" ht="12.75"/>
    <row r="44733" ht="12.75"/>
    <row r="44734" ht="12.75"/>
    <row r="44735" ht="12.75"/>
    <row r="44736" ht="12.75"/>
    <row r="44737" ht="12.75"/>
    <row r="44738" ht="12.75"/>
    <row r="44739" ht="12.75"/>
    <row r="44740" ht="12.75"/>
    <row r="44741" ht="12.75"/>
    <row r="44742" ht="12.75"/>
    <row r="44743" ht="12.75"/>
    <row r="44744" ht="12.75"/>
    <row r="44745" ht="12.75"/>
    <row r="44746" ht="12.75"/>
    <row r="44747" ht="12.75"/>
    <row r="44748" ht="12.75"/>
    <row r="44749" ht="12.75"/>
    <row r="44750" ht="12.75"/>
    <row r="44751" ht="12.75"/>
    <row r="44752" ht="12.75"/>
    <row r="44753" ht="12.75"/>
    <row r="44754" ht="12.75"/>
    <row r="44755" ht="12.75"/>
    <row r="44756" ht="12.75"/>
    <row r="44757" ht="12.75"/>
    <row r="44758" ht="12.75"/>
    <row r="44759" ht="12.75"/>
    <row r="44760" ht="12.75"/>
    <row r="44761" ht="12.75"/>
    <row r="44762" ht="12.75"/>
    <row r="44763" ht="12.75"/>
    <row r="44764" ht="12.75"/>
    <row r="44765" ht="12.75"/>
    <row r="44766" ht="12.75"/>
    <row r="44767" ht="12.75"/>
    <row r="44768" ht="12.75"/>
    <row r="44769" ht="12.75"/>
    <row r="44770" ht="12.75"/>
    <row r="44771" ht="12.75"/>
    <row r="44772" ht="12.75"/>
    <row r="44773" ht="12.75"/>
    <row r="44774" ht="12.75"/>
    <row r="44775" ht="12.75"/>
    <row r="44776" ht="12.75"/>
    <row r="44777" ht="12.75"/>
    <row r="44778" ht="12.75"/>
    <row r="44779" ht="12.75"/>
    <row r="44780" ht="12.75"/>
    <row r="44781" ht="12.75"/>
    <row r="44782" ht="12.75"/>
    <row r="44783" ht="12.75"/>
    <row r="44784" ht="12.75"/>
    <row r="44785" ht="12.75"/>
    <row r="44786" ht="12.75"/>
    <row r="44787" ht="12.75"/>
    <row r="44788" ht="12.75"/>
    <row r="44789" ht="12.75"/>
    <row r="44790" ht="12.75"/>
    <row r="44791" ht="12.75"/>
    <row r="44792" ht="12.75"/>
    <row r="44793" ht="12.75"/>
    <row r="44794" ht="12.75"/>
    <row r="44795" ht="12.75"/>
    <row r="44796" ht="12.75"/>
    <row r="44797" ht="12.75"/>
    <row r="44798" ht="12.75"/>
    <row r="44799" ht="12.75"/>
    <row r="44800" ht="12.75"/>
    <row r="44801" ht="12.75"/>
    <row r="44802" ht="12.75"/>
    <row r="44803" ht="12.75"/>
    <row r="44804" ht="12.75"/>
    <row r="44805" ht="12.75"/>
    <row r="44806" ht="12.75"/>
    <row r="44807" ht="12.75"/>
    <row r="44808" ht="12.75"/>
    <row r="44809" ht="12.75"/>
    <row r="44810" ht="12.75"/>
    <row r="44811" ht="12.75"/>
    <row r="44812" ht="12.75"/>
    <row r="44813" ht="12.75"/>
    <row r="44814" ht="12.75"/>
    <row r="44815" ht="12.75"/>
    <row r="44816" ht="12.75"/>
    <row r="44817" ht="12.75"/>
    <row r="44818" ht="12.75"/>
    <row r="44819" ht="12.75"/>
    <row r="44820" ht="12.75"/>
    <row r="44821" ht="12.75"/>
    <row r="44822" ht="12.75"/>
    <row r="44823" ht="12.75"/>
    <row r="44824" ht="12.75"/>
    <row r="44825" ht="12.75"/>
    <row r="44826" ht="12.75"/>
    <row r="44827" ht="12.75"/>
    <row r="44828" ht="12.75"/>
    <row r="44829" ht="12.75"/>
    <row r="44830" ht="12.75"/>
    <row r="44831" ht="12.75"/>
    <row r="44832" ht="12.75"/>
    <row r="44833" ht="12.75"/>
    <row r="44834" ht="12.75"/>
    <row r="44835" ht="12.75"/>
    <row r="44836" ht="12.75"/>
    <row r="44837" ht="12.75"/>
    <row r="44838" ht="12.75"/>
    <row r="44839" ht="12.75"/>
    <row r="44840" ht="12.75"/>
    <row r="44841" ht="12.75"/>
    <row r="44842" ht="12.75"/>
    <row r="44843" ht="12.75"/>
    <row r="44844" ht="12.75"/>
    <row r="44845" ht="12.75"/>
    <row r="44846" ht="12.75"/>
    <row r="44847" ht="12.75"/>
    <row r="44848" ht="12.75"/>
    <row r="44849" ht="12.75"/>
    <row r="44850" ht="12.75"/>
    <row r="44851" ht="12.75"/>
    <row r="44852" ht="12.75"/>
    <row r="44853" ht="12.75"/>
    <row r="44854" ht="12.75"/>
    <row r="44855" ht="12.75"/>
    <row r="44856" ht="12.75"/>
    <row r="44857" ht="12.75"/>
    <row r="44858" ht="12.75"/>
    <row r="44859" ht="12.75"/>
    <row r="44860" ht="12.75"/>
    <row r="44861" ht="12.75"/>
    <row r="44862" ht="12.75"/>
    <row r="44863" ht="12.75"/>
    <row r="44864" ht="12.75"/>
    <row r="44865" ht="12.75"/>
    <row r="44866" ht="12.75"/>
    <row r="44867" ht="12.75"/>
    <row r="44868" ht="12.75"/>
    <row r="44869" ht="12.75"/>
    <row r="44870" ht="12.75"/>
    <row r="44871" ht="12.75"/>
    <row r="44872" ht="12.75"/>
    <row r="44873" ht="12.75"/>
    <row r="44874" ht="12.75"/>
    <row r="44875" ht="12.75"/>
    <row r="44876" ht="12.75"/>
    <row r="44877" ht="12.75"/>
    <row r="44878" ht="12.75"/>
    <row r="44879" ht="12.75"/>
    <row r="44880" ht="12.75"/>
    <row r="44881" ht="12.75"/>
    <row r="44882" ht="12.75"/>
    <row r="44883" ht="12.75"/>
    <row r="44884" ht="12.75"/>
    <row r="44885" ht="12.75"/>
    <row r="44886" ht="12.75"/>
    <row r="44887" ht="12.75"/>
    <row r="44888" ht="12.75"/>
    <row r="44889" ht="12.75"/>
    <row r="44890" ht="12.75"/>
    <row r="44891" ht="12.75"/>
    <row r="44892" ht="12.75"/>
    <row r="44893" ht="12.75"/>
    <row r="44894" ht="12.75"/>
    <row r="44895" ht="12.75"/>
    <row r="44896" ht="12.75"/>
    <row r="44897" ht="12.75"/>
    <row r="44898" ht="12.75"/>
    <row r="44899" ht="12.75"/>
    <row r="44900" ht="12.75"/>
    <row r="44901" ht="12.75"/>
    <row r="44902" ht="12.75"/>
    <row r="44903" ht="12.75"/>
    <row r="44904" ht="12.75"/>
    <row r="44905" ht="12.75"/>
    <row r="44906" ht="12.75"/>
    <row r="44907" ht="12.75"/>
    <row r="44908" ht="12.75"/>
    <row r="44909" ht="12.75"/>
    <row r="44910" ht="12.75"/>
    <row r="44911" ht="12.75"/>
    <row r="44912" ht="12.75"/>
    <row r="44913" ht="12.75"/>
    <row r="44914" ht="12.75"/>
    <row r="44915" ht="12.75"/>
    <row r="44916" ht="12.75"/>
    <row r="44917" ht="12.75"/>
    <row r="44918" ht="12.75"/>
    <row r="44919" ht="12.75"/>
    <row r="44920" ht="12.75"/>
    <row r="44921" ht="12.75"/>
    <row r="44922" ht="12.75"/>
    <row r="44923" ht="12.75"/>
    <row r="44924" ht="12.75"/>
    <row r="44925" ht="12.75"/>
    <row r="44926" ht="12.75"/>
    <row r="44927" ht="12.75"/>
    <row r="44928" ht="12.75"/>
    <row r="44929" ht="12.75"/>
    <row r="44930" ht="12.75"/>
    <row r="44931" ht="12.75"/>
    <row r="44932" ht="12.75"/>
    <row r="44933" ht="12.75"/>
    <row r="44934" ht="12.75"/>
    <row r="44935" ht="12.75"/>
    <row r="44936" ht="12.75"/>
    <row r="44937" ht="12.75"/>
    <row r="44938" ht="12.75"/>
    <row r="44939" ht="12.75"/>
    <row r="44940" ht="12.75"/>
    <row r="44941" ht="12.75"/>
    <row r="44942" ht="12.75"/>
    <row r="44943" ht="12.75"/>
    <row r="44944" ht="12.75"/>
    <row r="44945" ht="12.75"/>
    <row r="44946" ht="12.75"/>
    <row r="44947" ht="12.75"/>
    <row r="44948" ht="12.75"/>
    <row r="44949" ht="12.75"/>
    <row r="44950" ht="12.75"/>
    <row r="44951" ht="12.75"/>
    <row r="44952" ht="12.75"/>
    <row r="44953" ht="12.75"/>
    <row r="44954" ht="12.75"/>
    <row r="44955" ht="12.75"/>
    <row r="44956" ht="12.75"/>
    <row r="44957" ht="12.75"/>
    <row r="44958" ht="12.75"/>
    <row r="44959" ht="12.75"/>
    <row r="44960" ht="12.75"/>
    <row r="44961" ht="12.75"/>
    <row r="44962" ht="12.75"/>
    <row r="44963" ht="12.75"/>
    <row r="44964" ht="12.75"/>
    <row r="44965" ht="12.75"/>
    <row r="44966" ht="12.75"/>
    <row r="44967" ht="12.75"/>
    <row r="44968" ht="12.75"/>
    <row r="44969" ht="12.75"/>
    <row r="44970" ht="12.75"/>
    <row r="44971" ht="12.75"/>
    <row r="44972" ht="12.75"/>
    <row r="44973" ht="12.75"/>
    <row r="44974" ht="12.75"/>
    <row r="44975" ht="12.75"/>
    <row r="44976" ht="12.75"/>
    <row r="44977" ht="12.75"/>
    <row r="44978" ht="12.75"/>
    <row r="44979" ht="12.75"/>
    <row r="44980" ht="12.75"/>
    <row r="44981" ht="12.75"/>
    <row r="44982" ht="12.75"/>
    <row r="44983" ht="12.75"/>
    <row r="44984" ht="12.75"/>
    <row r="44985" ht="12.75"/>
    <row r="44986" ht="12.75"/>
    <row r="44987" ht="12.75"/>
    <row r="44988" ht="12.75"/>
    <row r="44989" ht="12.75"/>
    <row r="44990" ht="12.75"/>
    <row r="44991" ht="12.75"/>
    <row r="44992" ht="12.75"/>
    <row r="44993" ht="12.75"/>
    <row r="44994" ht="12.75"/>
    <row r="44995" ht="12.75"/>
    <row r="44996" ht="12.75"/>
    <row r="44997" ht="12.75"/>
    <row r="44998" ht="12.75"/>
    <row r="44999" ht="12.75"/>
    <row r="45000" ht="12.75"/>
    <row r="45001" ht="12.75"/>
    <row r="45002" ht="12.75"/>
    <row r="45003" ht="12.75"/>
    <row r="45004" ht="12.75"/>
    <row r="45005" ht="12.75"/>
    <row r="45006" ht="12.75"/>
    <row r="45007" ht="12.75"/>
    <row r="45008" ht="12.75"/>
    <row r="45009" ht="12.75"/>
    <row r="45010" ht="12.75"/>
    <row r="45011" ht="12.75"/>
    <row r="45012" ht="12.75"/>
    <row r="45013" ht="12.75"/>
    <row r="45014" ht="12.75"/>
    <row r="45015" ht="12.75"/>
    <row r="45016" ht="12.75"/>
    <row r="45017" ht="12.75"/>
    <row r="45018" ht="12.75"/>
    <row r="45019" ht="12.75"/>
    <row r="45020" ht="12.75"/>
    <row r="45021" ht="12.75"/>
    <row r="45022" ht="12.75"/>
    <row r="45023" ht="12.75"/>
    <row r="45024" ht="12.75"/>
    <row r="45025" ht="12.75"/>
    <row r="45026" ht="12.75"/>
    <row r="45027" ht="12.75"/>
    <row r="45028" ht="12.75"/>
    <row r="45029" ht="12.75"/>
    <row r="45030" ht="12.75"/>
    <row r="45031" ht="12.75"/>
    <row r="45032" ht="12.75"/>
    <row r="45033" ht="12.75"/>
    <row r="45034" ht="12.75"/>
    <row r="45035" ht="12.75"/>
    <row r="45036" ht="12.75"/>
    <row r="45037" ht="12.75"/>
    <row r="45038" ht="12.75"/>
    <row r="45039" ht="12.75"/>
    <row r="45040" ht="12.75"/>
    <row r="45041" ht="12.75"/>
    <row r="45042" ht="12.75"/>
    <row r="45043" ht="12.75"/>
    <row r="45044" ht="12.75"/>
    <row r="45045" ht="12.75"/>
    <row r="45046" ht="12.75"/>
    <row r="45047" ht="12.75"/>
    <row r="45048" ht="12.75"/>
    <row r="45049" ht="12.75"/>
    <row r="45050" ht="12.75"/>
    <row r="45051" ht="12.75"/>
    <row r="45052" ht="12.75"/>
    <row r="45053" ht="12.75"/>
    <row r="45054" ht="12.75"/>
    <row r="45055" ht="12.75"/>
    <row r="45056" ht="12.75"/>
    <row r="45057" ht="12.75"/>
    <row r="45058" ht="12.75"/>
    <row r="45059" ht="12.75"/>
    <row r="45060" ht="12.75"/>
    <row r="45061" ht="12.75"/>
    <row r="45062" ht="12.75"/>
    <row r="45063" ht="12.75"/>
    <row r="45064" ht="12.75"/>
    <row r="45065" ht="12.75"/>
    <row r="45066" ht="12.75"/>
    <row r="45067" ht="12.75"/>
    <row r="45068" ht="12.75"/>
    <row r="45069" ht="12.75"/>
    <row r="45070" ht="12.75"/>
    <row r="45071" ht="12.75"/>
    <row r="45072" ht="12.75"/>
    <row r="45073" ht="12.75"/>
    <row r="45074" ht="12.75"/>
    <row r="45075" ht="12.75"/>
    <row r="45076" ht="12.75"/>
    <row r="45077" ht="12.75"/>
    <row r="45078" ht="12.75"/>
    <row r="45079" ht="12.75"/>
    <row r="45080" ht="12.75"/>
    <row r="45081" ht="12.75"/>
    <row r="45082" ht="12.75"/>
    <row r="45083" ht="12.75"/>
    <row r="45084" ht="12.75"/>
    <row r="45085" ht="12.75"/>
    <row r="45086" ht="12.75"/>
    <row r="45087" ht="12.75"/>
    <row r="45088" ht="12.75"/>
    <row r="45089" ht="12.75"/>
    <row r="45090" ht="12.75"/>
    <row r="45091" ht="12.75"/>
    <row r="45092" ht="12.75"/>
    <row r="45093" ht="12.75"/>
    <row r="45094" ht="12.75"/>
    <row r="45095" ht="12.75"/>
    <row r="45096" ht="12.75"/>
    <row r="45097" ht="12.75"/>
    <row r="45098" ht="12.75"/>
    <row r="45099" ht="12.75"/>
    <row r="45100" ht="12.75"/>
    <row r="45101" ht="12.75"/>
    <row r="45102" ht="12.75"/>
    <row r="45103" ht="12.75"/>
    <row r="45104" ht="12.75"/>
    <row r="45105" ht="12.75"/>
    <row r="45106" ht="12.75"/>
    <row r="45107" ht="12.75"/>
    <row r="45108" ht="12.75"/>
    <row r="45109" ht="12.75"/>
    <row r="45110" ht="12.75"/>
    <row r="45111" ht="12.75"/>
    <row r="45112" ht="12.75"/>
    <row r="45113" ht="12.75"/>
    <row r="45114" ht="12.75"/>
    <row r="45115" ht="12.75"/>
    <row r="45116" ht="12.75"/>
    <row r="45117" ht="12.75"/>
    <row r="45118" ht="12.75"/>
    <row r="45119" ht="12.75"/>
    <row r="45120" ht="12.75"/>
    <row r="45121" ht="12.75"/>
    <row r="45122" ht="12.75"/>
    <row r="45123" ht="12.75"/>
    <row r="45124" ht="12.75"/>
    <row r="45125" ht="12.75"/>
    <row r="45126" ht="12.75"/>
    <row r="45127" ht="12.75"/>
    <row r="45128" ht="12.75"/>
    <row r="45129" ht="12.75"/>
    <row r="45130" ht="12.75"/>
    <row r="45131" ht="12.75"/>
    <row r="45132" ht="12.75"/>
    <row r="45133" ht="12.75"/>
    <row r="45134" ht="12.75"/>
    <row r="45135" ht="12.75"/>
    <row r="45136" ht="12.75"/>
    <row r="45137" ht="12.75"/>
    <row r="45138" ht="12.75"/>
    <row r="45139" ht="12.75"/>
    <row r="45140" ht="12.75"/>
    <row r="45141" ht="12.75"/>
    <row r="45142" ht="12.75"/>
    <row r="45143" ht="12.75"/>
    <row r="45144" ht="12.75"/>
    <row r="45145" ht="12.75"/>
    <row r="45146" ht="12.75"/>
    <row r="45147" ht="12.75"/>
    <row r="45148" ht="12.75"/>
    <row r="45149" ht="12.75"/>
    <row r="45150" ht="12.75"/>
    <row r="45151" ht="12.75"/>
    <row r="45152" ht="12.75"/>
    <row r="45153" ht="12.75"/>
    <row r="45154" ht="12.75"/>
    <row r="45155" ht="12.75"/>
    <row r="45156" ht="12.75"/>
    <row r="45157" ht="12.75"/>
    <row r="45158" ht="12.75"/>
    <row r="45159" ht="12.75"/>
    <row r="45160" ht="12.75"/>
    <row r="45161" ht="12.75"/>
    <row r="45162" ht="12.75"/>
    <row r="45163" ht="12.75"/>
    <row r="45164" ht="12.75"/>
    <row r="45165" ht="12.75"/>
    <row r="45166" ht="12.75"/>
    <row r="45167" ht="12.75"/>
    <row r="45168" ht="12.75"/>
    <row r="45169" ht="12.75"/>
    <row r="45170" ht="12.75"/>
    <row r="45171" ht="12.75"/>
    <row r="45172" ht="12.75"/>
    <row r="45173" ht="12.75"/>
    <row r="45174" ht="12.75"/>
    <row r="45175" ht="12.75"/>
    <row r="45176" ht="12.75"/>
    <row r="45177" ht="12.75"/>
    <row r="45178" ht="12.75"/>
    <row r="45179" ht="12.75"/>
    <row r="45180" ht="12.75"/>
    <row r="45181" ht="12.75"/>
    <row r="45182" ht="12.75"/>
    <row r="45183" ht="12.75"/>
    <row r="45184" ht="12.75"/>
    <row r="45185" ht="12.75"/>
    <row r="45186" ht="12.75"/>
    <row r="45187" ht="12.75"/>
    <row r="45188" ht="12.75"/>
    <row r="45189" ht="12.75"/>
    <row r="45190" ht="12.75"/>
    <row r="45191" ht="12.75"/>
    <row r="45192" ht="12.75"/>
    <row r="45193" ht="12.75"/>
    <row r="45194" ht="12.75"/>
    <row r="45195" ht="12.75"/>
    <row r="45196" ht="12.75"/>
    <row r="45197" ht="12.75"/>
    <row r="45198" ht="12.75"/>
    <row r="45199" ht="12.75"/>
    <row r="45200" ht="12.75"/>
    <row r="45201" ht="12.75"/>
    <row r="45202" ht="12.75"/>
    <row r="45203" ht="12.75"/>
    <row r="45204" ht="12.75"/>
    <row r="45205" ht="12.75"/>
    <row r="45206" ht="12.75"/>
    <row r="45207" ht="12.75"/>
    <row r="45208" ht="12.75"/>
    <row r="45209" ht="12.75"/>
    <row r="45210" ht="12.75"/>
    <row r="45211" ht="12.75"/>
    <row r="45212" ht="12.75"/>
    <row r="45213" ht="12.75"/>
    <row r="45214" ht="12.75"/>
    <row r="45215" ht="12.75"/>
    <row r="45216" ht="12.75"/>
    <row r="45217" ht="12.75"/>
    <row r="45218" ht="12.75"/>
    <row r="45219" ht="12.75"/>
    <row r="45220" ht="12.75"/>
    <row r="45221" ht="12.75"/>
    <row r="45222" ht="12.75"/>
    <row r="45223" ht="12.75"/>
    <row r="45224" ht="12.75"/>
    <row r="45225" ht="12.75"/>
    <row r="45226" ht="12.75"/>
    <row r="45227" ht="12.75"/>
    <row r="45228" ht="12.75"/>
    <row r="45229" ht="12.75"/>
    <row r="45230" ht="12.75"/>
    <row r="45231" ht="12.75"/>
    <row r="45232" ht="12.75"/>
    <row r="45233" ht="12.75"/>
    <row r="45234" ht="12.75"/>
    <row r="45235" ht="12.75"/>
    <row r="45236" ht="12.75"/>
    <row r="45237" ht="12.75"/>
    <row r="45238" ht="12.75"/>
    <row r="45239" ht="12.75"/>
    <row r="45240" ht="12.75"/>
    <row r="45241" ht="12.75"/>
    <row r="45242" ht="12.75"/>
    <row r="45243" ht="12.75"/>
    <row r="45244" ht="12.75"/>
    <row r="45245" ht="12.75"/>
    <row r="45246" ht="12.75"/>
    <row r="45247" ht="12.75"/>
    <row r="45248" ht="12.75"/>
    <row r="45249" ht="12.75"/>
    <row r="45250" ht="12.75"/>
    <row r="45251" ht="12.75"/>
    <row r="45252" ht="12.75"/>
    <row r="45253" ht="12.75"/>
    <row r="45254" ht="12.75"/>
    <row r="45255" ht="12.75"/>
    <row r="45256" ht="12.75"/>
    <row r="45257" ht="12.75"/>
    <row r="45258" ht="12.75"/>
    <row r="45259" ht="12.75"/>
    <row r="45260" ht="12.75"/>
    <row r="45261" ht="12.75"/>
    <row r="45262" ht="12.75"/>
    <row r="45263" ht="12.75"/>
    <row r="45264" ht="12.75"/>
    <row r="45265" ht="12.75"/>
    <row r="45266" ht="12.75"/>
    <row r="45267" ht="12.75"/>
    <row r="45268" ht="12.75"/>
    <row r="45269" ht="12.75"/>
    <row r="45270" ht="12.75"/>
    <row r="45271" ht="12.75"/>
    <row r="45272" ht="12.75"/>
    <row r="45273" ht="12.75"/>
    <row r="45274" ht="12.75"/>
    <row r="45275" ht="12.75"/>
    <row r="45276" ht="12.75"/>
    <row r="45277" ht="12.75"/>
    <row r="45278" ht="12.75"/>
    <row r="45279" ht="12.75"/>
    <row r="45280" ht="12.75"/>
    <row r="45281" ht="12.75"/>
    <row r="45282" ht="12.75"/>
    <row r="45283" ht="12.75"/>
    <row r="45284" ht="12.75"/>
    <row r="45285" ht="12.75"/>
    <row r="45286" ht="12.75"/>
    <row r="45287" ht="12.75"/>
    <row r="45288" ht="12.75"/>
    <row r="45289" ht="12.75"/>
    <row r="45290" ht="12.75"/>
    <row r="45291" ht="12.75"/>
    <row r="45292" ht="12.75"/>
    <row r="45293" ht="12.75"/>
    <row r="45294" ht="12.75"/>
    <row r="45295" ht="12.75"/>
    <row r="45296" ht="12.75"/>
    <row r="45297" ht="12.75"/>
    <row r="45298" ht="12.75"/>
    <row r="45299" ht="12.75"/>
    <row r="45300" ht="12.75"/>
    <row r="45301" ht="12.75"/>
    <row r="45302" ht="12.75"/>
    <row r="45303" ht="12.75"/>
    <row r="45304" ht="12.75"/>
    <row r="45305" ht="12.75"/>
    <row r="45306" ht="12.75"/>
    <row r="45307" ht="12.75"/>
    <row r="45308" ht="12.75"/>
    <row r="45309" ht="12.75"/>
    <row r="45310" ht="12.75"/>
    <row r="45311" ht="12.75"/>
    <row r="45312" ht="12.75"/>
    <row r="45313" ht="12.75"/>
    <row r="45314" ht="12.75"/>
    <row r="45315" ht="12.75"/>
    <row r="45316" ht="12.75"/>
    <row r="45317" ht="12.75"/>
    <row r="45318" ht="12.75"/>
    <row r="45319" ht="12.75"/>
    <row r="45320" ht="12.75"/>
    <row r="45321" ht="12.75"/>
    <row r="45322" ht="12.75"/>
    <row r="45323" ht="12.75"/>
    <row r="45324" ht="12.75"/>
    <row r="45325" ht="12.75"/>
    <row r="45326" ht="12.75"/>
    <row r="45327" ht="12.75"/>
    <row r="45328" ht="12.75"/>
    <row r="45329" ht="12.75"/>
    <row r="45330" ht="12.75"/>
    <row r="45331" ht="12.75"/>
    <row r="45332" ht="12.75"/>
    <row r="45333" ht="12.75"/>
    <row r="45334" ht="12.75"/>
    <row r="45335" ht="12.75"/>
    <row r="45336" ht="12.75"/>
    <row r="45337" ht="12.75"/>
    <row r="45338" ht="12.75"/>
    <row r="45339" ht="12.75"/>
    <row r="45340" ht="12.75"/>
    <row r="45341" ht="12.75"/>
    <row r="45342" ht="12.75"/>
    <row r="45343" ht="12.75"/>
    <row r="45344" ht="12.75"/>
    <row r="45345" ht="12.75"/>
    <row r="45346" ht="12.75"/>
    <row r="45347" ht="12.75"/>
    <row r="45348" ht="12.75"/>
    <row r="45349" ht="12.75"/>
    <row r="45350" ht="12.75"/>
    <row r="45351" ht="12.75"/>
    <row r="45352" ht="12.75"/>
    <row r="45353" ht="12.75"/>
    <row r="45354" ht="12.75"/>
    <row r="45355" ht="12.75"/>
    <row r="45356" ht="12.75"/>
    <row r="45357" ht="12.75"/>
    <row r="45358" ht="12.75"/>
    <row r="45359" ht="12.75"/>
    <row r="45360" ht="12.75"/>
    <row r="45361" ht="12.75"/>
    <row r="45362" ht="12.75"/>
    <row r="45363" ht="12.75"/>
    <row r="45364" ht="12.75"/>
    <row r="45365" ht="12.75"/>
    <row r="45366" ht="12.75"/>
    <row r="45367" ht="12.75"/>
    <row r="45368" ht="12.75"/>
    <row r="45369" ht="12.75"/>
    <row r="45370" ht="12.75"/>
    <row r="45371" ht="12.75"/>
    <row r="45372" ht="12.75"/>
    <row r="45373" ht="12.75"/>
    <row r="45374" ht="12.75"/>
    <row r="45375" ht="12.75"/>
    <row r="45376" ht="12.75"/>
    <row r="45377" ht="12.75"/>
    <row r="45378" ht="12.75"/>
    <row r="45379" ht="12.75"/>
    <row r="45380" ht="12.75"/>
    <row r="45381" ht="12.75"/>
    <row r="45382" ht="12.75"/>
    <row r="45383" ht="12.75"/>
    <row r="45384" ht="12.75"/>
    <row r="45385" ht="12.75"/>
    <row r="45386" ht="12.75"/>
    <row r="45387" ht="12.75"/>
    <row r="45388" ht="12.75"/>
    <row r="45389" ht="12.75"/>
    <row r="45390" ht="12.75"/>
    <row r="45391" ht="12.75"/>
    <row r="45392" ht="12.75"/>
    <row r="45393" ht="12.75"/>
    <row r="45394" ht="12.75"/>
    <row r="45395" ht="12.75"/>
    <row r="45396" ht="12.75"/>
    <row r="45397" ht="12.75"/>
    <row r="45398" ht="12.75"/>
    <row r="45399" ht="12.75"/>
    <row r="45400" ht="12.75"/>
    <row r="45401" ht="12.75"/>
    <row r="45402" ht="12.75"/>
    <row r="45403" ht="12.75"/>
    <row r="45404" ht="12.75"/>
    <row r="45405" ht="12.75"/>
    <row r="45406" ht="12.75"/>
    <row r="45407" ht="12.75"/>
    <row r="45408" ht="12.75"/>
    <row r="45409" ht="12.75"/>
    <row r="45410" ht="12.75"/>
    <row r="45411" ht="12.75"/>
    <row r="45412" ht="12.75"/>
    <row r="45413" ht="12.75"/>
    <row r="45414" ht="12.75"/>
    <row r="45415" ht="12.75"/>
    <row r="45416" ht="12.75"/>
    <row r="45417" ht="12.75"/>
    <row r="45418" ht="12.75"/>
    <row r="45419" ht="12.75"/>
    <row r="45420" ht="12.75"/>
    <row r="45421" ht="12.75"/>
    <row r="45422" ht="12.75"/>
    <row r="45423" ht="12.75"/>
    <row r="45424" ht="12.75"/>
    <row r="45425" ht="12.75"/>
    <row r="45426" ht="12.75"/>
    <row r="45427" ht="12.75"/>
    <row r="45428" ht="12.75"/>
    <row r="45429" ht="12.75"/>
    <row r="45430" ht="12.75"/>
    <row r="45431" ht="12.75"/>
    <row r="45432" ht="12.75"/>
    <row r="45433" ht="12.75"/>
    <row r="45434" ht="12.75"/>
    <row r="45435" ht="12.75"/>
    <row r="45436" ht="12.75"/>
    <row r="45437" ht="12.75"/>
    <row r="45438" ht="12.75"/>
    <row r="45439" ht="12.75"/>
    <row r="45440" ht="12.75"/>
    <row r="45441" ht="12.75"/>
    <row r="45442" ht="12.75"/>
    <row r="45443" ht="12.75"/>
    <row r="45444" ht="12.75"/>
    <row r="45445" ht="12.75"/>
    <row r="45446" ht="12.75"/>
    <row r="45447" ht="12.75"/>
    <row r="45448" ht="12.75"/>
    <row r="45449" ht="12.75"/>
    <row r="45450" ht="12.75"/>
    <row r="45451" ht="12.75"/>
    <row r="45452" ht="12.75"/>
    <row r="45453" ht="12.75"/>
    <row r="45454" ht="12.75"/>
    <row r="45455" ht="12.75"/>
    <row r="45456" ht="12.75"/>
    <row r="45457" ht="12.75"/>
    <row r="45458" ht="12.75"/>
    <row r="45459" ht="12.75"/>
    <row r="45460" ht="12.75"/>
    <row r="45461" ht="12.75"/>
    <row r="45462" ht="12.75"/>
    <row r="45463" ht="12.75"/>
    <row r="45464" ht="12.75"/>
    <row r="45465" ht="12.75"/>
    <row r="45466" ht="12.75"/>
    <row r="45467" ht="12.75"/>
    <row r="45468" ht="12.75"/>
    <row r="45469" ht="12.75"/>
    <row r="45470" ht="12.75"/>
    <row r="45471" ht="12.75"/>
    <row r="45472" ht="12.75"/>
    <row r="45473" ht="12.75"/>
    <row r="45474" ht="12.75"/>
    <row r="45475" ht="12.75"/>
    <row r="45476" ht="12.75"/>
    <row r="45477" ht="12.75"/>
    <row r="45478" ht="12.75"/>
    <row r="45479" ht="12.75"/>
    <row r="45480" ht="12.75"/>
    <row r="45481" ht="12.75"/>
    <row r="45482" ht="12.75"/>
    <row r="45483" ht="12.75"/>
    <row r="45484" ht="12.75"/>
    <row r="45485" ht="12.75"/>
    <row r="45486" ht="12.75"/>
    <row r="45487" ht="12.75"/>
    <row r="45488" ht="12.75"/>
    <row r="45489" ht="12.75"/>
    <row r="45490" ht="12.75"/>
    <row r="45491" ht="12.75"/>
    <row r="45492" ht="12.75"/>
    <row r="45493" ht="12.75"/>
    <row r="45494" ht="12.75"/>
    <row r="45495" ht="12.75"/>
    <row r="45496" ht="12.75"/>
    <row r="45497" ht="12.75"/>
    <row r="45498" ht="12.75"/>
    <row r="45499" ht="12.75"/>
    <row r="45500" ht="12.75"/>
    <row r="45501" ht="12.75"/>
    <row r="45502" ht="12.75"/>
    <row r="45503" ht="12.75"/>
    <row r="45504" ht="12.75"/>
    <row r="45505" ht="12.75"/>
    <row r="45506" ht="12.75"/>
    <row r="45507" ht="12.75"/>
    <row r="45508" ht="12.75"/>
    <row r="45509" ht="12.75"/>
    <row r="45510" ht="12.75"/>
    <row r="45511" ht="12.75"/>
    <row r="45512" ht="12.75"/>
    <row r="45513" ht="12.75"/>
    <row r="45514" ht="12.75"/>
    <row r="45515" ht="12.75"/>
    <row r="45516" ht="12.75"/>
    <row r="45517" ht="12.75"/>
    <row r="45518" ht="12.75"/>
    <row r="45519" ht="12.75"/>
    <row r="45520" ht="12.75"/>
    <row r="45521" ht="12.75"/>
    <row r="45522" ht="12.75"/>
    <row r="45523" ht="12.75"/>
    <row r="45524" ht="12.75"/>
    <row r="45525" ht="12.75"/>
    <row r="45526" ht="12.75"/>
    <row r="45527" ht="12.75"/>
    <row r="45528" ht="12.75"/>
    <row r="45529" ht="12.75"/>
    <row r="45530" ht="12.75"/>
    <row r="45531" ht="12.75"/>
    <row r="45532" ht="12.75"/>
    <row r="45533" ht="12.75"/>
    <row r="45534" ht="12.75"/>
    <row r="45535" ht="12.75"/>
    <row r="45536" ht="12.75"/>
    <row r="45537" ht="12.75"/>
    <row r="45538" ht="12.75"/>
    <row r="45539" ht="12.75"/>
    <row r="45540" ht="12.75"/>
    <row r="45541" ht="12.75"/>
    <row r="45542" ht="12.75"/>
    <row r="45543" ht="12.75"/>
    <row r="45544" ht="12.75"/>
    <row r="45545" ht="12.75"/>
    <row r="45546" ht="12.75"/>
    <row r="45547" ht="12.75"/>
    <row r="45548" ht="12.75"/>
    <row r="45549" ht="12.75"/>
    <row r="45550" ht="12.75"/>
    <row r="45551" ht="12.75"/>
    <row r="45552" ht="12.75"/>
    <row r="45553" ht="12.75"/>
    <row r="45554" ht="12.75"/>
    <row r="45555" ht="12.75"/>
    <row r="45556" ht="12.75"/>
    <row r="45557" ht="12.75"/>
    <row r="45558" ht="12.75"/>
    <row r="45559" ht="12.75"/>
    <row r="45560" ht="12.75"/>
    <row r="45561" ht="12.75"/>
    <row r="45562" ht="12.75"/>
    <row r="45563" ht="12.75"/>
    <row r="45564" ht="12.75"/>
    <row r="45565" ht="12.75"/>
    <row r="45566" ht="12.75"/>
    <row r="45567" ht="12.75"/>
    <row r="45568" ht="12.75"/>
    <row r="45569" ht="12.75"/>
    <row r="45570" ht="12.75"/>
    <row r="45571" ht="12.75"/>
    <row r="45572" ht="12.75"/>
    <row r="45573" ht="12.75"/>
    <row r="45574" ht="12.75"/>
    <row r="45575" ht="12.75"/>
    <row r="45576" ht="12.75"/>
    <row r="45577" ht="12.75"/>
    <row r="45578" ht="12.75"/>
    <row r="45579" ht="12.75"/>
    <row r="45580" ht="12.75"/>
    <row r="45581" ht="12.75"/>
    <row r="45582" ht="12.75"/>
    <row r="45583" ht="12.75"/>
    <row r="45584" ht="12.75"/>
    <row r="45585" ht="12.75"/>
    <row r="45586" ht="12.75"/>
    <row r="45587" ht="12.75"/>
    <row r="45588" ht="12.75"/>
    <row r="45589" ht="12.75"/>
    <row r="45590" ht="12.75"/>
    <row r="45591" ht="12.75"/>
    <row r="45592" ht="12.75"/>
    <row r="45593" ht="12.75"/>
    <row r="45594" ht="12.75"/>
    <row r="45595" ht="12.75"/>
    <row r="45596" ht="12.75"/>
    <row r="45597" ht="12.75"/>
    <row r="45598" ht="12.75"/>
    <row r="45599" ht="12.75"/>
    <row r="45600" ht="12.75"/>
    <row r="45601" ht="12.75"/>
    <row r="45602" ht="12.75"/>
    <row r="45603" ht="12.75"/>
    <row r="45604" ht="12.75"/>
    <row r="45605" ht="12.75"/>
    <row r="45606" ht="12.75"/>
    <row r="45607" ht="12.75"/>
    <row r="45608" ht="12.75"/>
    <row r="45609" ht="12.75"/>
    <row r="45610" ht="12.75"/>
    <row r="45611" ht="12.75"/>
    <row r="45612" ht="12.75"/>
    <row r="45613" ht="12.75"/>
    <row r="45614" ht="12.75"/>
    <row r="45615" ht="12.75"/>
    <row r="45616" ht="12.75"/>
    <row r="45617" ht="12.75"/>
    <row r="45618" ht="12.75"/>
    <row r="45619" ht="12.75"/>
    <row r="45620" ht="12.75"/>
    <row r="45621" ht="12.75"/>
    <row r="45622" ht="12.75"/>
    <row r="45623" ht="12.75"/>
    <row r="45624" ht="12.75"/>
    <row r="45625" ht="12.75"/>
    <row r="45626" ht="12.75"/>
    <row r="45627" ht="12.75"/>
    <row r="45628" ht="12.75"/>
    <row r="45629" ht="12.75"/>
    <row r="45630" ht="12.75"/>
    <row r="45631" ht="12.75"/>
    <row r="45632" ht="12.75"/>
    <row r="45633" ht="12.75"/>
    <row r="45634" ht="12.75"/>
    <row r="45635" ht="12.75"/>
    <row r="45636" ht="12.75"/>
    <row r="45637" ht="12.75"/>
    <row r="45638" ht="12.75"/>
    <row r="45639" ht="12.75"/>
    <row r="45640" ht="12.75"/>
    <row r="45641" ht="12.75"/>
    <row r="45642" ht="12.75"/>
    <row r="45643" ht="12.75"/>
    <row r="45644" ht="12.75"/>
    <row r="45645" ht="12.75"/>
    <row r="45646" ht="12.75"/>
    <row r="45647" ht="12.75"/>
    <row r="45648" ht="12.75"/>
    <row r="45649" ht="12.75"/>
    <row r="45650" ht="12.75"/>
    <row r="45651" ht="12.75"/>
    <row r="45652" ht="12.75"/>
    <row r="45653" ht="12.75"/>
    <row r="45654" ht="12.75"/>
    <row r="45655" ht="12.75"/>
    <row r="45656" ht="12.75"/>
    <row r="45657" ht="12.75"/>
    <row r="45658" ht="12.75"/>
    <row r="45659" ht="12.75"/>
    <row r="45660" ht="12.75"/>
    <row r="45661" ht="12.75"/>
    <row r="45662" ht="12.75"/>
    <row r="45663" ht="12.75"/>
    <row r="45664" ht="12.75"/>
    <row r="45665" ht="12.75"/>
    <row r="45666" ht="12.75"/>
    <row r="45667" ht="12.75"/>
    <row r="45668" ht="12.75"/>
    <row r="45669" ht="12.75"/>
    <row r="45670" ht="12.75"/>
    <row r="45671" ht="12.75"/>
    <row r="45672" ht="12.75"/>
    <row r="45673" ht="12.75"/>
    <row r="45674" ht="12.75"/>
    <row r="45675" ht="12.75"/>
    <row r="45676" ht="12.75"/>
    <row r="45677" ht="12.75"/>
    <row r="45678" ht="12.75"/>
    <row r="45679" ht="12.75"/>
    <row r="45680" ht="12.75"/>
    <row r="45681" ht="12.75"/>
    <row r="45682" ht="12.75"/>
    <row r="45683" ht="12.75"/>
    <row r="45684" ht="12.75"/>
    <row r="45685" ht="12.75"/>
    <row r="45686" ht="12.75"/>
    <row r="45687" ht="12.75"/>
    <row r="45688" ht="12.75"/>
    <row r="45689" ht="12.75"/>
    <row r="45690" ht="12.75"/>
    <row r="45691" ht="12.75"/>
    <row r="45692" ht="12.75"/>
    <row r="45693" ht="12.75"/>
    <row r="45694" ht="12.75"/>
    <row r="45695" ht="12.75"/>
    <row r="45696" ht="12.75"/>
    <row r="45697" ht="12.75"/>
    <row r="45698" ht="12.75"/>
    <row r="45699" ht="12.75"/>
    <row r="45700" ht="12.75"/>
    <row r="45701" ht="12.75"/>
    <row r="45702" ht="12.75"/>
    <row r="45703" ht="12.75"/>
    <row r="45704" ht="12.75"/>
    <row r="45705" ht="12.75"/>
    <row r="45706" ht="12.75"/>
    <row r="45707" ht="12.75"/>
    <row r="45708" ht="12.75"/>
    <row r="45709" ht="12.75"/>
    <row r="45710" ht="12.75"/>
    <row r="45711" ht="12.75"/>
    <row r="45712" ht="12.75"/>
    <row r="45713" ht="12.75"/>
    <row r="45714" ht="12.75"/>
    <row r="45715" ht="12.75"/>
    <row r="45716" ht="12.75"/>
    <row r="45717" ht="12.75"/>
    <row r="45718" ht="12.75"/>
    <row r="45719" ht="12.75"/>
    <row r="45720" ht="12.75"/>
    <row r="45721" ht="12.75"/>
    <row r="45722" ht="12.75"/>
    <row r="45723" ht="12.75"/>
    <row r="45724" ht="12.75"/>
    <row r="45725" ht="12.75"/>
    <row r="45726" ht="12.75"/>
    <row r="45727" ht="12.75"/>
    <row r="45728" ht="12.75"/>
    <row r="45729" ht="12.75"/>
    <row r="45730" ht="12.75"/>
    <row r="45731" ht="12.75"/>
    <row r="45732" ht="12.75"/>
    <row r="45733" ht="12.75"/>
    <row r="45734" ht="12.75"/>
    <row r="45735" ht="12.75"/>
    <row r="45736" ht="12.75"/>
    <row r="45737" ht="12.75"/>
    <row r="45738" ht="12.75"/>
    <row r="45739" ht="12.75"/>
    <row r="45740" ht="12.75"/>
    <row r="45741" ht="12.75"/>
    <row r="45742" ht="12.75"/>
    <row r="45743" ht="12.75"/>
    <row r="45744" ht="12.75"/>
    <row r="45745" ht="12.75"/>
    <row r="45746" ht="12.75"/>
    <row r="45747" ht="12.75"/>
    <row r="45748" ht="12.75"/>
    <row r="45749" ht="12.75"/>
    <row r="45750" ht="12.75"/>
    <row r="45751" ht="12.75"/>
    <row r="45752" ht="12.75"/>
    <row r="45753" ht="12.75"/>
    <row r="45754" ht="12.75"/>
    <row r="45755" ht="12.75"/>
    <row r="45756" ht="12.75"/>
    <row r="45757" ht="12.75"/>
    <row r="45758" ht="12.75"/>
    <row r="45759" ht="12.75"/>
    <row r="45760" ht="12.75"/>
    <row r="45761" ht="12.75"/>
    <row r="45762" ht="12.75"/>
    <row r="45763" ht="12.75"/>
    <row r="45764" ht="12.75"/>
    <row r="45765" ht="12.75"/>
    <row r="45766" ht="12.75"/>
    <row r="45767" ht="12.75"/>
    <row r="45768" ht="12.75"/>
    <row r="45769" ht="12.75"/>
    <row r="45770" ht="12.75"/>
    <row r="45771" ht="12.75"/>
    <row r="45772" ht="12.75"/>
    <row r="45773" ht="12.75"/>
    <row r="45774" ht="12.75"/>
    <row r="45775" ht="12.75"/>
    <row r="45776" ht="12.75"/>
    <row r="45777" ht="12.75"/>
    <row r="45778" ht="12.75"/>
    <row r="45779" ht="12.75"/>
    <row r="45780" ht="12.75"/>
    <row r="45781" ht="12.75"/>
    <row r="45782" ht="12.75"/>
    <row r="45783" ht="12.75"/>
    <row r="45784" ht="12.75"/>
    <row r="45785" ht="12.75"/>
    <row r="45786" ht="12.75"/>
    <row r="45787" ht="12.75"/>
    <row r="45788" ht="12.75"/>
    <row r="45789" ht="12.75"/>
    <row r="45790" ht="12.75"/>
    <row r="45791" ht="12.75"/>
    <row r="45792" ht="12.75"/>
    <row r="45793" ht="12.75"/>
    <row r="45794" ht="12.75"/>
    <row r="45795" ht="12.75"/>
    <row r="45796" ht="12.75"/>
    <row r="45797" ht="12.75"/>
    <row r="45798" ht="12.75"/>
    <row r="45799" ht="12.75"/>
    <row r="45800" ht="12.75"/>
    <row r="45801" ht="12.75"/>
    <row r="45802" ht="12.75"/>
    <row r="45803" ht="12.75"/>
    <row r="45804" ht="12.75"/>
    <row r="45805" ht="12.75"/>
    <row r="45806" ht="12.75"/>
    <row r="45807" ht="12.75"/>
    <row r="45808" ht="12.75"/>
    <row r="45809" ht="12.75"/>
    <row r="45810" ht="12.75"/>
    <row r="45811" ht="12.75"/>
    <row r="45812" ht="12.75"/>
    <row r="45813" ht="12.75"/>
    <row r="45814" ht="12.75"/>
    <row r="45815" ht="12.75"/>
    <row r="45816" ht="12.75"/>
    <row r="45817" ht="12.75"/>
    <row r="45818" ht="12.75"/>
    <row r="45819" ht="12.75"/>
    <row r="45820" ht="12.75"/>
    <row r="45821" ht="12.75"/>
    <row r="45822" ht="12.75"/>
    <row r="45823" ht="12.75"/>
    <row r="45824" ht="12.75"/>
    <row r="45825" ht="12.75"/>
    <row r="45826" ht="12.75"/>
    <row r="45827" ht="12.75"/>
    <row r="45828" ht="12.75"/>
    <row r="45829" ht="12.75"/>
    <row r="45830" ht="12.75"/>
    <row r="45831" ht="12.75"/>
    <row r="45832" ht="12.75"/>
    <row r="45833" ht="12.75"/>
    <row r="45834" ht="12.75"/>
    <row r="45835" ht="12.75"/>
    <row r="45836" ht="12.75"/>
    <row r="45837" ht="12.75"/>
    <row r="45838" ht="12.75"/>
    <row r="45839" ht="12.75"/>
    <row r="45840" ht="12.75"/>
    <row r="45841" ht="12.75"/>
    <row r="45842" ht="12.75"/>
    <row r="45843" ht="12.75"/>
    <row r="45844" ht="12.75"/>
    <row r="45845" ht="12.75"/>
    <row r="45846" ht="12.75"/>
    <row r="45847" ht="12.75"/>
    <row r="45848" ht="12.75"/>
    <row r="45849" ht="12.75"/>
    <row r="45850" ht="12.75"/>
    <row r="45851" ht="12.75"/>
    <row r="45852" ht="12.75"/>
    <row r="45853" ht="12.75"/>
    <row r="45854" ht="12.75"/>
    <row r="45855" ht="12.75"/>
    <row r="45856" ht="12.75"/>
    <row r="45857" ht="12.75"/>
    <row r="45858" ht="12.75"/>
    <row r="45859" ht="12.75"/>
    <row r="45860" ht="12.75"/>
    <row r="45861" ht="12.75"/>
    <row r="45862" ht="12.75"/>
    <row r="45863" ht="12.75"/>
    <row r="45864" ht="12.75"/>
    <row r="45865" ht="12.75"/>
    <row r="45866" ht="12.75"/>
    <row r="45867" ht="12.75"/>
    <row r="45868" ht="12.75"/>
    <row r="45869" ht="12.75"/>
    <row r="45870" ht="12.75"/>
    <row r="45871" ht="12.75"/>
    <row r="45872" ht="12.75"/>
    <row r="45873" ht="12.75"/>
    <row r="45874" ht="12.75"/>
    <row r="45875" ht="12.75"/>
    <row r="45876" ht="12.75"/>
    <row r="45877" ht="12.75"/>
    <row r="45878" ht="12.75"/>
    <row r="45879" ht="12.75"/>
    <row r="45880" ht="12.75"/>
    <row r="45881" ht="12.75"/>
    <row r="45882" ht="12.75"/>
    <row r="45883" ht="12.75"/>
    <row r="45884" ht="12.75"/>
    <row r="45885" ht="12.75"/>
    <row r="45886" ht="12.75"/>
    <row r="45887" ht="12.75"/>
    <row r="45888" ht="12.75"/>
    <row r="45889" ht="12.75"/>
    <row r="45890" ht="12.75"/>
    <row r="45891" ht="12.75"/>
    <row r="45892" ht="12.75"/>
    <row r="45893" ht="12.75"/>
    <row r="45894" ht="12.75"/>
    <row r="45895" ht="12.75"/>
    <row r="45896" ht="12.75"/>
    <row r="45897" ht="12.75"/>
    <row r="45898" ht="12.75"/>
    <row r="45899" ht="12.75"/>
    <row r="45900" ht="12.75"/>
    <row r="45901" ht="12.75"/>
    <row r="45902" ht="12.75"/>
    <row r="45903" ht="12.75"/>
    <row r="45904" ht="12.75"/>
    <row r="45905" ht="12.75"/>
    <row r="45906" ht="12.75"/>
    <row r="45907" ht="12.75"/>
    <row r="45908" ht="12.75"/>
    <row r="45909" ht="12.75"/>
    <row r="45910" ht="12.75"/>
    <row r="45911" ht="12.75"/>
    <row r="45912" ht="12.75"/>
    <row r="45913" ht="12.75"/>
    <row r="45914" ht="12.75"/>
    <row r="45915" ht="12.75"/>
    <row r="45916" ht="12.75"/>
    <row r="45917" ht="12.75"/>
    <row r="45918" ht="12.75"/>
    <row r="45919" ht="12.75"/>
    <row r="45920" ht="12.75"/>
    <row r="45921" ht="12.75"/>
    <row r="45922" ht="12.75"/>
    <row r="45923" ht="12.75"/>
    <row r="45924" ht="12.75"/>
    <row r="45925" ht="12.75"/>
    <row r="45926" ht="12.75"/>
    <row r="45927" ht="12.75"/>
    <row r="45928" ht="12.75"/>
    <row r="45929" ht="12.75"/>
    <row r="45930" ht="12.75"/>
    <row r="45931" ht="12.75"/>
    <row r="45932" ht="12.75"/>
    <row r="45933" ht="12.75"/>
    <row r="45934" ht="12.75"/>
    <row r="45935" ht="12.75"/>
    <row r="45936" ht="12.75"/>
    <row r="45937" ht="12.75"/>
    <row r="45938" ht="12.75"/>
    <row r="45939" ht="12.75"/>
    <row r="45940" ht="12.75"/>
    <row r="45941" ht="12.75"/>
    <row r="45942" ht="12.75"/>
    <row r="45943" ht="12.75"/>
    <row r="45944" ht="12.75"/>
    <row r="45945" ht="12.75"/>
    <row r="45946" ht="12.75"/>
    <row r="45947" ht="12.75"/>
    <row r="45948" ht="12.75"/>
    <row r="45949" ht="12.75"/>
    <row r="45950" ht="12.75"/>
    <row r="45951" ht="12.75"/>
    <row r="45952" ht="12.75"/>
    <row r="45953" ht="12.75"/>
    <row r="45954" ht="12.75"/>
    <row r="45955" ht="12.75"/>
    <row r="45956" ht="12.75"/>
    <row r="45957" ht="12.75"/>
    <row r="45958" ht="12.75"/>
    <row r="45959" ht="12.75"/>
    <row r="45960" ht="12.75"/>
    <row r="45961" ht="12.75"/>
    <row r="45962" ht="12.75"/>
    <row r="45963" ht="12.75"/>
    <row r="45964" ht="12.75"/>
    <row r="45965" ht="12.75"/>
    <row r="45966" ht="12.75"/>
    <row r="45967" ht="12.75"/>
    <row r="45968" ht="12.75"/>
    <row r="45969" ht="12.75"/>
    <row r="45970" ht="12.75"/>
    <row r="45971" ht="12.75"/>
    <row r="45972" ht="12.75"/>
    <row r="45973" ht="12.75"/>
    <row r="45974" ht="12.75"/>
    <row r="45975" ht="12.75"/>
    <row r="45976" ht="12.75"/>
    <row r="45977" ht="12.75"/>
    <row r="45978" ht="12.75"/>
    <row r="45979" ht="12.75"/>
    <row r="45980" ht="12.75"/>
    <row r="45981" ht="12.75"/>
    <row r="45982" ht="12.75"/>
    <row r="45983" ht="12.75"/>
    <row r="45984" ht="12.75"/>
    <row r="45985" ht="12.75"/>
    <row r="45986" ht="12.75"/>
    <row r="45987" ht="12.75"/>
    <row r="45988" ht="12.75"/>
    <row r="45989" ht="12.75"/>
    <row r="45990" ht="12.75"/>
    <row r="45991" ht="12.75"/>
    <row r="45992" ht="12.75"/>
    <row r="45993" ht="12.75"/>
    <row r="45994" ht="12.75"/>
    <row r="45995" ht="12.75"/>
    <row r="45996" ht="12.75"/>
    <row r="45997" ht="12.75"/>
    <row r="45998" ht="12.75"/>
    <row r="45999" ht="12.75"/>
    <row r="46000" ht="12.75"/>
    <row r="46001" ht="12.75"/>
    <row r="46002" ht="12.75"/>
    <row r="46003" ht="12.75"/>
    <row r="46004" ht="12.75"/>
    <row r="46005" ht="12.75"/>
    <row r="46006" ht="12.75"/>
    <row r="46007" ht="12.75"/>
    <row r="46008" ht="12.75"/>
    <row r="46009" ht="12.75"/>
    <row r="46010" ht="12.75"/>
    <row r="46011" ht="12.75"/>
    <row r="46012" ht="12.75"/>
    <row r="46013" ht="12.75"/>
    <row r="46014" ht="12.75"/>
    <row r="46015" ht="12.75"/>
    <row r="46016" ht="12.75"/>
    <row r="46017" ht="12.75"/>
    <row r="46018" ht="12.75"/>
    <row r="46019" ht="12.75"/>
    <row r="46020" ht="12.75"/>
    <row r="46021" ht="12.75"/>
    <row r="46022" ht="12.75"/>
    <row r="46023" ht="12.75"/>
    <row r="46024" ht="12.75"/>
    <row r="46025" ht="12.75"/>
    <row r="46026" ht="12.75"/>
    <row r="46027" ht="12.75"/>
    <row r="46028" ht="12.75"/>
    <row r="46029" ht="12.75"/>
    <row r="46030" ht="12.75"/>
    <row r="46031" ht="12.75"/>
    <row r="46032" ht="12.75"/>
    <row r="46033" ht="12.75"/>
    <row r="46034" ht="12.75"/>
    <row r="46035" ht="12.75"/>
    <row r="46036" ht="12.75"/>
    <row r="46037" ht="12.75"/>
    <row r="46038" ht="12.75"/>
    <row r="46039" ht="12.75"/>
    <row r="46040" ht="12.75"/>
    <row r="46041" ht="12.75"/>
    <row r="46042" ht="12.75"/>
    <row r="46043" ht="12.75"/>
    <row r="46044" ht="12.75"/>
    <row r="46045" ht="12.75"/>
    <row r="46046" ht="12.75"/>
    <row r="46047" ht="12.75"/>
    <row r="46048" ht="12.75"/>
    <row r="46049" ht="12.75"/>
    <row r="46050" ht="12.75"/>
    <row r="46051" ht="12.75"/>
    <row r="46052" ht="12.75"/>
    <row r="46053" ht="12.75"/>
    <row r="46054" ht="12.75"/>
    <row r="46055" ht="12.75"/>
    <row r="46056" ht="12.75"/>
    <row r="46057" ht="12.75"/>
    <row r="46058" ht="12.75"/>
    <row r="46059" ht="12.75"/>
    <row r="46060" ht="12.75"/>
    <row r="46061" ht="12.75"/>
    <row r="46062" ht="12.75"/>
    <row r="46063" ht="12.75"/>
    <row r="46064" ht="12.75"/>
    <row r="46065" ht="12.75"/>
    <row r="46066" ht="12.75"/>
    <row r="46067" ht="12.75"/>
    <row r="46068" ht="12.75"/>
    <row r="46069" ht="12.75"/>
    <row r="46070" ht="12.75"/>
    <row r="46071" ht="12.75"/>
    <row r="46072" ht="12.75"/>
    <row r="46073" ht="12.75"/>
    <row r="46074" ht="12.75"/>
    <row r="46075" ht="12.75"/>
    <row r="46076" ht="12.75"/>
    <row r="46077" ht="12.75"/>
    <row r="46078" ht="12.75"/>
    <row r="46079" ht="12.75"/>
    <row r="46080" ht="12.75"/>
    <row r="46081" ht="12.75"/>
    <row r="46082" ht="12.75"/>
    <row r="46083" ht="12.75"/>
    <row r="46084" ht="12.75"/>
    <row r="46085" ht="12.75"/>
    <row r="46086" ht="12.75"/>
    <row r="46087" ht="12.75"/>
    <row r="46088" ht="12.75"/>
    <row r="46089" ht="12.75"/>
    <row r="46090" ht="12.75"/>
    <row r="46091" ht="12.75"/>
    <row r="46092" ht="12.75"/>
    <row r="46093" ht="12.75"/>
    <row r="46094" ht="12.75"/>
    <row r="46095" ht="12.75"/>
    <row r="46096" ht="12.75"/>
    <row r="46097" ht="12.75"/>
    <row r="46098" ht="12.75"/>
    <row r="46099" ht="12.75"/>
    <row r="46100" ht="12.75"/>
    <row r="46101" ht="12.75"/>
    <row r="46102" ht="12.75"/>
    <row r="46103" ht="12.75"/>
    <row r="46104" ht="12.75"/>
    <row r="46105" ht="12.75"/>
    <row r="46106" ht="12.75"/>
    <row r="46107" ht="12.75"/>
    <row r="46108" ht="12.75"/>
    <row r="46109" ht="12.75"/>
    <row r="46110" ht="12.75"/>
    <row r="46111" ht="12.75"/>
    <row r="46112" ht="12.75"/>
    <row r="46113" ht="12.75"/>
    <row r="46114" ht="12.75"/>
    <row r="46115" ht="12.75"/>
    <row r="46116" ht="12.75"/>
    <row r="46117" ht="12.75"/>
    <row r="46118" ht="12.75"/>
    <row r="46119" ht="12.75"/>
    <row r="46120" ht="12.75"/>
    <row r="46121" ht="12.75"/>
    <row r="46122" ht="12.75"/>
    <row r="46123" ht="12.75"/>
    <row r="46124" ht="12.75"/>
    <row r="46125" ht="12.75"/>
    <row r="46126" ht="12.75"/>
    <row r="46127" ht="12.75"/>
    <row r="46128" ht="12.75"/>
    <row r="46129" ht="12.75"/>
    <row r="46130" ht="12.75"/>
    <row r="46131" ht="12.75"/>
    <row r="46132" ht="12.75"/>
    <row r="46133" ht="12.75"/>
    <row r="46134" ht="12.75"/>
    <row r="46135" ht="12.75"/>
    <row r="46136" ht="12.75"/>
    <row r="46137" ht="12.75"/>
    <row r="46138" ht="12.75"/>
    <row r="46139" ht="12.75"/>
    <row r="46140" ht="12.75"/>
    <row r="46141" ht="12.75"/>
    <row r="46142" ht="12.75"/>
    <row r="46143" ht="12.75"/>
    <row r="46144" ht="12.75"/>
    <row r="46145" ht="12.75"/>
    <row r="46146" ht="12.75"/>
    <row r="46147" ht="12.75"/>
    <row r="46148" ht="12.75"/>
    <row r="46149" ht="12.75"/>
    <row r="46150" ht="12.75"/>
    <row r="46151" ht="12.75"/>
    <row r="46152" ht="12.75"/>
    <row r="46153" ht="12.75"/>
    <row r="46154" ht="12.75"/>
    <row r="46155" ht="12.75"/>
    <row r="46156" ht="12.75"/>
    <row r="46157" ht="12.75"/>
    <row r="46158" ht="12.75"/>
    <row r="46159" ht="12.75"/>
    <row r="46160" ht="12.75"/>
    <row r="46161" ht="12.75"/>
    <row r="46162" ht="12.75"/>
    <row r="46163" ht="12.75"/>
    <row r="46164" ht="12.75"/>
    <row r="46165" ht="12.75"/>
    <row r="46166" ht="12.75"/>
    <row r="46167" ht="12.75"/>
    <row r="46168" ht="12.75"/>
    <row r="46169" ht="12.75"/>
    <row r="46170" ht="12.75"/>
    <row r="46171" ht="12.75"/>
    <row r="46172" ht="12.75"/>
    <row r="46173" ht="12.75"/>
    <row r="46174" ht="12.75"/>
    <row r="46175" ht="12.75"/>
    <row r="46176" ht="12.75"/>
    <row r="46177" ht="12.75"/>
    <row r="46178" ht="12.75"/>
    <row r="46179" ht="12.75"/>
    <row r="46180" ht="12.75"/>
    <row r="46181" ht="12.75"/>
    <row r="46182" ht="12.75"/>
    <row r="46183" ht="12.75"/>
    <row r="46184" ht="12.75"/>
    <row r="46185" ht="12.75"/>
    <row r="46186" ht="12.75"/>
    <row r="46187" ht="12.75"/>
    <row r="46188" ht="12.75"/>
    <row r="46189" ht="12.75"/>
    <row r="46190" ht="12.75"/>
    <row r="46191" ht="12.75"/>
    <row r="46192" ht="12.75"/>
    <row r="46193" ht="12.75"/>
    <row r="46194" ht="12.75"/>
    <row r="46195" ht="12.75"/>
    <row r="46196" ht="12.75"/>
    <row r="46197" ht="12.75"/>
    <row r="46198" ht="12.75"/>
    <row r="46199" ht="12.75"/>
    <row r="46200" ht="12.75"/>
    <row r="46201" ht="12.75"/>
    <row r="46202" ht="12.75"/>
    <row r="46203" ht="12.75"/>
    <row r="46204" ht="12.75"/>
    <row r="46205" ht="12.75"/>
    <row r="46206" ht="12.75"/>
    <row r="46207" ht="12.75"/>
    <row r="46208" ht="12.75"/>
    <row r="46209" ht="12.75"/>
    <row r="46210" ht="12.75"/>
    <row r="46211" ht="12.75"/>
    <row r="46212" ht="12.75"/>
    <row r="46213" ht="12.75"/>
    <row r="46214" ht="12.75"/>
    <row r="46215" ht="12.75"/>
    <row r="46216" ht="12.75"/>
    <row r="46217" ht="12.75"/>
    <row r="46218" ht="12.75"/>
    <row r="46219" ht="12.75"/>
    <row r="46220" ht="12.75"/>
    <row r="46221" ht="12.75"/>
    <row r="46222" ht="12.75"/>
    <row r="46223" ht="12.75"/>
    <row r="46224" ht="12.75"/>
    <row r="46225" ht="12.75"/>
    <row r="46226" ht="12.75"/>
    <row r="46227" ht="12.75"/>
    <row r="46228" ht="12.75"/>
    <row r="46229" ht="12.75"/>
    <row r="46230" ht="12.75"/>
    <row r="46231" ht="12.75"/>
    <row r="46232" ht="12.75"/>
    <row r="46233" ht="12.75"/>
    <row r="46234" ht="12.75"/>
    <row r="46235" ht="12.75"/>
    <row r="46236" ht="12.75"/>
    <row r="46237" ht="12.75"/>
    <row r="46238" ht="12.75"/>
    <row r="46239" ht="12.75"/>
    <row r="46240" ht="12.75"/>
    <row r="46241" ht="12.75"/>
    <row r="46242" ht="12.75"/>
    <row r="46243" ht="12.75"/>
    <row r="46244" ht="12.75"/>
    <row r="46245" ht="12.75"/>
    <row r="46246" ht="12.75"/>
    <row r="46247" ht="12.75"/>
    <row r="46248" ht="12.75"/>
    <row r="46249" ht="12.75"/>
    <row r="46250" ht="12.75"/>
    <row r="46251" ht="12.75"/>
    <row r="46252" ht="12.75"/>
    <row r="46253" ht="12.75"/>
    <row r="46254" ht="12.75"/>
    <row r="46255" ht="12.75"/>
    <row r="46256" ht="12.75"/>
    <row r="46257" ht="12.75"/>
    <row r="46258" ht="12.75"/>
    <row r="46259" ht="12.75"/>
    <row r="46260" ht="12.75"/>
    <row r="46261" ht="12.75"/>
    <row r="46262" ht="12.75"/>
    <row r="46263" ht="12.75"/>
    <row r="46264" ht="12.75"/>
    <row r="46265" ht="12.75"/>
    <row r="46266" ht="12.75"/>
    <row r="46267" ht="12.75"/>
    <row r="46268" ht="12.75"/>
    <row r="46269" ht="12.75"/>
    <row r="46270" ht="12.75"/>
    <row r="46271" ht="12.75"/>
    <row r="46272" ht="12.75"/>
    <row r="46273" ht="12.75"/>
    <row r="46274" ht="12.75"/>
    <row r="46275" ht="12.75"/>
    <row r="46276" ht="12.75"/>
    <row r="46277" ht="12.75"/>
    <row r="46278" ht="12.75"/>
    <row r="46279" ht="12.75"/>
    <row r="46280" ht="12.75"/>
    <row r="46281" ht="12.75"/>
    <row r="46282" ht="12.75"/>
    <row r="46283" ht="12.75"/>
    <row r="46284" ht="12.75"/>
    <row r="46285" ht="12.75"/>
    <row r="46286" ht="12.75"/>
    <row r="46287" ht="12.75"/>
    <row r="46288" ht="12.75"/>
    <row r="46289" ht="12.75"/>
    <row r="46290" ht="12.75"/>
    <row r="46291" ht="12.75"/>
    <row r="46292" ht="12.75"/>
    <row r="46293" ht="12.75"/>
    <row r="46294" ht="12.75"/>
    <row r="46295" ht="12.75"/>
    <row r="46296" ht="12.75"/>
    <row r="46297" ht="12.75"/>
    <row r="46298" ht="12.75"/>
    <row r="46299" ht="12.75"/>
    <row r="46300" ht="12.75"/>
    <row r="46301" ht="12.75"/>
    <row r="46302" ht="12.75"/>
    <row r="46303" ht="12.75"/>
    <row r="46304" ht="12.75"/>
    <row r="46305" ht="12.75"/>
    <row r="46306" ht="12.75"/>
    <row r="46307" ht="12.75"/>
    <row r="46308" ht="12.75"/>
    <row r="46309" ht="12.75"/>
    <row r="46310" ht="12.75"/>
    <row r="46311" ht="12.75"/>
    <row r="46312" ht="12.75"/>
    <row r="46313" ht="12.75"/>
    <row r="46314" ht="12.75"/>
    <row r="46315" ht="12.75"/>
    <row r="46316" ht="12.75"/>
    <row r="46317" ht="12.75"/>
    <row r="46318" ht="12.75"/>
    <row r="46319" ht="12.75"/>
    <row r="46320" ht="12.75"/>
    <row r="46321" ht="12.75"/>
    <row r="46322" ht="12.75"/>
    <row r="46323" ht="12.75"/>
    <row r="46324" ht="12.75"/>
    <row r="46325" ht="12.75"/>
    <row r="46326" ht="12.75"/>
    <row r="46327" ht="12.75"/>
    <row r="46328" ht="12.75"/>
    <row r="46329" ht="12.75"/>
    <row r="46330" ht="12.75"/>
    <row r="46331" ht="12.75"/>
    <row r="46332" ht="12.75"/>
    <row r="46333" ht="12.75"/>
    <row r="46334" ht="12.75"/>
    <row r="46335" ht="12.75"/>
    <row r="46336" ht="12.75"/>
    <row r="46337" ht="12.75"/>
    <row r="46338" ht="12.75"/>
    <row r="46339" ht="12.75"/>
    <row r="46340" ht="12.75"/>
    <row r="46341" ht="12.75"/>
    <row r="46342" ht="12.75"/>
    <row r="46343" ht="12.75"/>
    <row r="46344" ht="12.75"/>
    <row r="46345" ht="12.75"/>
    <row r="46346" ht="12.75"/>
    <row r="46347" ht="12.75"/>
    <row r="46348" ht="12.75"/>
    <row r="46349" ht="12.75"/>
    <row r="46350" ht="12.75"/>
    <row r="46351" ht="12.75"/>
    <row r="46352" ht="12.75"/>
    <row r="46353" ht="12.75"/>
    <row r="46354" ht="12.75"/>
    <row r="46355" ht="12.75"/>
    <row r="46356" ht="12.75"/>
    <row r="46357" ht="12.75"/>
    <row r="46358" ht="12.75"/>
    <row r="46359" ht="12.75"/>
    <row r="46360" ht="12.75"/>
    <row r="46361" ht="12.75"/>
    <row r="46362" ht="12.75"/>
    <row r="46363" ht="12.75"/>
    <row r="46364" ht="12.75"/>
    <row r="46365" ht="12.75"/>
    <row r="46366" ht="12.75"/>
    <row r="46367" ht="12.75"/>
    <row r="46368" ht="12.75"/>
    <row r="46369" ht="12.75"/>
    <row r="46370" ht="12.75"/>
    <row r="46371" ht="12.75"/>
    <row r="46372" ht="12.75"/>
    <row r="46373" ht="12.75"/>
    <row r="46374" ht="12.75"/>
    <row r="46375" ht="12.75"/>
    <row r="46376" ht="12.75"/>
    <row r="46377" ht="12.75"/>
    <row r="46378" ht="12.75"/>
    <row r="46379" ht="12.75"/>
    <row r="46380" ht="12.75"/>
    <row r="46381" ht="12.75"/>
    <row r="46382" ht="12.75"/>
    <row r="46383" ht="12.75"/>
    <row r="46384" ht="12.75"/>
    <row r="46385" ht="12.75"/>
    <row r="46386" ht="12.75"/>
    <row r="46387" ht="12.75"/>
    <row r="46388" ht="12.75"/>
    <row r="46389" ht="12.75"/>
    <row r="46390" ht="12.75"/>
    <row r="46391" ht="12.75"/>
    <row r="46392" ht="12.75"/>
    <row r="46393" ht="12.75"/>
    <row r="46394" ht="12.75"/>
    <row r="46395" ht="12.75"/>
    <row r="46396" ht="12.75"/>
    <row r="46397" ht="12.75"/>
    <row r="46398" ht="12.75"/>
    <row r="46399" ht="12.75"/>
    <row r="46400" ht="12.75"/>
    <row r="46401" ht="12.75"/>
    <row r="46402" ht="12.75"/>
    <row r="46403" ht="12.75"/>
    <row r="46404" ht="12.75"/>
    <row r="46405" ht="12.75"/>
    <row r="46406" ht="12.75"/>
    <row r="46407" ht="12.75"/>
    <row r="46408" ht="12.75"/>
    <row r="46409" ht="12.75"/>
    <row r="46410" ht="12.75"/>
    <row r="46411" ht="12.75"/>
    <row r="46412" ht="12.75"/>
    <row r="46413" ht="12.75"/>
    <row r="46414" ht="12.75"/>
    <row r="46415" ht="12.75"/>
    <row r="46416" ht="12.75"/>
    <row r="46417" ht="12.75"/>
    <row r="46418" ht="12.75"/>
    <row r="46419" ht="12.75"/>
    <row r="46420" ht="12.75"/>
    <row r="46421" ht="12.75"/>
    <row r="46422" ht="12.75"/>
    <row r="46423" ht="12.75"/>
    <row r="46424" ht="12.75"/>
    <row r="46425" ht="12.75"/>
    <row r="46426" ht="12.75"/>
    <row r="46427" ht="12.75"/>
    <row r="46428" ht="12.75"/>
    <row r="46429" ht="12.75"/>
    <row r="46430" ht="12.75"/>
    <row r="46431" ht="12.75"/>
    <row r="46432" ht="12.75"/>
    <row r="46433" ht="12.75"/>
    <row r="46434" ht="12.75"/>
    <row r="46435" ht="12.75"/>
    <row r="46436" ht="12.75"/>
    <row r="46437" ht="12.75"/>
    <row r="46438" ht="12.75"/>
    <row r="46439" ht="12.75"/>
    <row r="46440" ht="12.75"/>
    <row r="46441" ht="12.75"/>
    <row r="46442" ht="12.75"/>
    <row r="46443" ht="12.75"/>
    <row r="46444" ht="12.75"/>
    <row r="46445" ht="12.75"/>
    <row r="46446" ht="12.75"/>
    <row r="46447" ht="12.75"/>
    <row r="46448" ht="12.75"/>
    <row r="46449" ht="12.75"/>
    <row r="46450" ht="12.75"/>
    <row r="46451" ht="12.75"/>
    <row r="46452" ht="12.75"/>
    <row r="46453" ht="12.75"/>
    <row r="46454" ht="12.75"/>
    <row r="46455" ht="12.75"/>
    <row r="46456" ht="12.75"/>
    <row r="46457" ht="12.75"/>
    <row r="46458" ht="12.75"/>
    <row r="46459" ht="12.75"/>
    <row r="46460" ht="12.75"/>
    <row r="46461" ht="12.75"/>
    <row r="46462" ht="12.75"/>
    <row r="46463" ht="12.75"/>
    <row r="46464" ht="12.75"/>
    <row r="46465" ht="12.75"/>
    <row r="46466" ht="12.75"/>
    <row r="46467" ht="12.75"/>
    <row r="46468" ht="12.75"/>
    <row r="46469" ht="12.75"/>
    <row r="46470" ht="12.75"/>
    <row r="46471" ht="12.75"/>
    <row r="46472" ht="12.75"/>
    <row r="46473" ht="12.75"/>
    <row r="46474" ht="12.75"/>
    <row r="46475" ht="12.75"/>
    <row r="46476" ht="12.75"/>
    <row r="46477" ht="12.75"/>
    <row r="46478" ht="12.75"/>
    <row r="46479" ht="12.75"/>
    <row r="46480" ht="12.75"/>
    <row r="46481" ht="12.75"/>
    <row r="46482" ht="12.75"/>
    <row r="46483" ht="12.75"/>
    <row r="46484" ht="12.75"/>
    <row r="46485" ht="12.75"/>
    <row r="46486" ht="12.75"/>
    <row r="46487" ht="12.75"/>
    <row r="46488" ht="12.75"/>
    <row r="46489" ht="12.75"/>
    <row r="46490" ht="12.75"/>
    <row r="46491" ht="12.75"/>
    <row r="46492" ht="12.75"/>
    <row r="46493" ht="12.75"/>
    <row r="46494" ht="12.75"/>
    <row r="46495" ht="12.75"/>
    <row r="46496" ht="12.75"/>
    <row r="46497" ht="12.75"/>
    <row r="46498" ht="12.75"/>
    <row r="46499" ht="12.75"/>
    <row r="46500" ht="12.75"/>
    <row r="46501" ht="12.75"/>
    <row r="46502" ht="12.75"/>
    <row r="46503" ht="12.75"/>
    <row r="46504" ht="12.75"/>
    <row r="46505" ht="12.75"/>
    <row r="46506" ht="12.75"/>
    <row r="46507" ht="12.75"/>
    <row r="46508" ht="12.75"/>
    <row r="46509" ht="12.75"/>
    <row r="46510" ht="12.75"/>
    <row r="46511" ht="12.75"/>
    <row r="46512" ht="12.75"/>
    <row r="46513" ht="12.75"/>
    <row r="46514" ht="12.75"/>
    <row r="46515" ht="12.75"/>
    <row r="46516" ht="12.75"/>
    <row r="46517" ht="12.75"/>
    <row r="46518" ht="12.75"/>
    <row r="46519" ht="12.75"/>
    <row r="46520" ht="12.75"/>
    <row r="46521" ht="12.75"/>
    <row r="46522" ht="12.75"/>
    <row r="46523" ht="12.75"/>
    <row r="46524" ht="12.75"/>
    <row r="46525" ht="12.75"/>
    <row r="46526" ht="12.75"/>
    <row r="46527" ht="12.75"/>
    <row r="46528" ht="12.75"/>
    <row r="46529" ht="12.75"/>
    <row r="46530" ht="12.75"/>
    <row r="46531" ht="12.75"/>
    <row r="46532" ht="12.75"/>
    <row r="46533" ht="12.75"/>
    <row r="46534" ht="12.75"/>
    <row r="46535" ht="12.75"/>
    <row r="46536" ht="12.75"/>
    <row r="46537" ht="12.75"/>
    <row r="46538" ht="12.75"/>
    <row r="46539" ht="12.75"/>
    <row r="46540" ht="12.75"/>
    <row r="46541" ht="12.75"/>
    <row r="46542" ht="12.75"/>
    <row r="46543" ht="12.75"/>
    <row r="46544" ht="12.75"/>
    <row r="46545" ht="12.75"/>
    <row r="46546" ht="12.75"/>
    <row r="46547" ht="12.75"/>
    <row r="46548" ht="12.75"/>
    <row r="46549" ht="12.75"/>
    <row r="46550" ht="12.75"/>
    <row r="46551" ht="12.75"/>
    <row r="46552" ht="12.75"/>
    <row r="46553" ht="12.75"/>
    <row r="46554" ht="12.75"/>
    <row r="46555" ht="12.75"/>
    <row r="46556" ht="12.75"/>
    <row r="46557" ht="12.75"/>
    <row r="46558" ht="12.75"/>
    <row r="46559" ht="12.75"/>
    <row r="46560" ht="12.75"/>
    <row r="46561" ht="12.75"/>
    <row r="46562" ht="12.75"/>
    <row r="46563" ht="12.75"/>
    <row r="46564" ht="12.75"/>
    <row r="46565" ht="12.75"/>
    <row r="46566" ht="12.75"/>
    <row r="46567" ht="12.75"/>
    <row r="46568" ht="12.75"/>
    <row r="46569" ht="12.75"/>
    <row r="46570" ht="12.75"/>
    <row r="46571" ht="12.75"/>
    <row r="46572" ht="12.75"/>
    <row r="46573" ht="12.75"/>
    <row r="46574" ht="12.75"/>
    <row r="46575" ht="12.75"/>
    <row r="46576" ht="12.75"/>
    <row r="46577" ht="12.75"/>
    <row r="46578" ht="12.75"/>
    <row r="46579" ht="12.75"/>
    <row r="46580" ht="12.75"/>
    <row r="46581" ht="12.75"/>
    <row r="46582" ht="12.75"/>
    <row r="46583" ht="12.75"/>
    <row r="46584" ht="12.75"/>
    <row r="46585" ht="12.75"/>
    <row r="46586" ht="12.75"/>
    <row r="46587" ht="12.75"/>
    <row r="46588" ht="12.75"/>
    <row r="46589" ht="12.75"/>
    <row r="46590" ht="12.75"/>
    <row r="46591" ht="12.75"/>
    <row r="46592" ht="12.75"/>
    <row r="46593" ht="12.75"/>
    <row r="46594" ht="12.75"/>
    <row r="46595" ht="12.75"/>
    <row r="46596" ht="12.75"/>
    <row r="46597" ht="12.75"/>
    <row r="46598" ht="12.75"/>
    <row r="46599" ht="12.75"/>
    <row r="46600" ht="12.75"/>
    <row r="46601" ht="12.75"/>
    <row r="46602" ht="12.75"/>
    <row r="46603" ht="12.75"/>
    <row r="46604" ht="12.75"/>
    <row r="46605" ht="12.75"/>
    <row r="46606" ht="12.75"/>
    <row r="46607" ht="12.75"/>
    <row r="46608" ht="12.75"/>
    <row r="46609" ht="12.75"/>
    <row r="46610" ht="12.75"/>
    <row r="46611" ht="12.75"/>
    <row r="46612" ht="12.75"/>
    <row r="46613" ht="12.75"/>
    <row r="46614" ht="12.75"/>
    <row r="46615" ht="12.75"/>
    <row r="46616" ht="12.75"/>
    <row r="46617" ht="12.75"/>
    <row r="46618" ht="12.75"/>
    <row r="46619" ht="12.75"/>
    <row r="46620" ht="12.75"/>
    <row r="46621" ht="12.75"/>
    <row r="46622" ht="12.75"/>
    <row r="46623" ht="12.75"/>
    <row r="46624" ht="12.75"/>
    <row r="46625" ht="12.75"/>
    <row r="46626" ht="12.75"/>
    <row r="46627" ht="12.75"/>
    <row r="46628" ht="12.75"/>
    <row r="46629" ht="12.75"/>
    <row r="46630" ht="12.75"/>
    <row r="46631" ht="12.75"/>
    <row r="46632" ht="12.75"/>
    <row r="46633" ht="12.75"/>
    <row r="46634" ht="12.75"/>
    <row r="46635" ht="12.75"/>
    <row r="46636" ht="12.75"/>
    <row r="46637" ht="12.75"/>
    <row r="46638" ht="12.75"/>
    <row r="46639" ht="12.75"/>
    <row r="46640" ht="12.75"/>
    <row r="46641" ht="12.75"/>
    <row r="46642" ht="12.75"/>
    <row r="46643" ht="12.75"/>
    <row r="46644" ht="12.75"/>
    <row r="46645" ht="12.75"/>
    <row r="46646" ht="12.75"/>
    <row r="46647" ht="12.75"/>
    <row r="46648" ht="12.75"/>
    <row r="46649" ht="12.75"/>
    <row r="46650" ht="12.75"/>
    <row r="46651" ht="12.75"/>
    <row r="46652" ht="12.75"/>
    <row r="46653" ht="12.75"/>
    <row r="46654" ht="12.75"/>
    <row r="46655" ht="12.75"/>
    <row r="46656" ht="12.75"/>
    <row r="46657" ht="12.75"/>
    <row r="46658" ht="12.75"/>
    <row r="46659" ht="12.75"/>
    <row r="46660" ht="12.75"/>
    <row r="46661" ht="12.75"/>
    <row r="46662" ht="12.75"/>
    <row r="46663" ht="12.75"/>
    <row r="46664" ht="12.75"/>
    <row r="46665" ht="12.75"/>
    <row r="46666" ht="12.75"/>
    <row r="46667" ht="12.75"/>
    <row r="46668" ht="12.75"/>
    <row r="46669" ht="12.75"/>
    <row r="46670" ht="12.75"/>
    <row r="46671" ht="12.75"/>
    <row r="46672" ht="12.75"/>
    <row r="46673" ht="12.75"/>
    <row r="46674" ht="12.75"/>
    <row r="46675" ht="12.75"/>
    <row r="46676" ht="12.75"/>
    <row r="46677" ht="12.75"/>
    <row r="46678" ht="12.75"/>
    <row r="46679" ht="12.75"/>
    <row r="46680" ht="12.75"/>
    <row r="46681" ht="12.75"/>
    <row r="46682" ht="12.75"/>
    <row r="46683" ht="12.75"/>
    <row r="46684" ht="12.75"/>
    <row r="46685" ht="12.75"/>
    <row r="46686" ht="12.75"/>
    <row r="46687" ht="12.75"/>
    <row r="46688" ht="12.75"/>
    <row r="46689" ht="12.75"/>
    <row r="46690" ht="12.75"/>
    <row r="46691" ht="12.75"/>
    <row r="46692" ht="12.75"/>
    <row r="46693" ht="12.75"/>
    <row r="46694" ht="12.75"/>
    <row r="46695" ht="12.75"/>
    <row r="46696" ht="12.75"/>
    <row r="46697" ht="12.75"/>
    <row r="46698" ht="12.75"/>
    <row r="46699" ht="12.75"/>
    <row r="46700" ht="12.75"/>
    <row r="46701" ht="12.75"/>
    <row r="46702" ht="12.75"/>
    <row r="46703" ht="12.75"/>
    <row r="46704" ht="12.75"/>
    <row r="46705" ht="12.75"/>
    <row r="46706" ht="12.75"/>
    <row r="46707" ht="12.75"/>
    <row r="46708" ht="12.75"/>
    <row r="46709" ht="12.75"/>
    <row r="46710" ht="12.75"/>
    <row r="46711" ht="12.75"/>
    <row r="46712" ht="12.75"/>
    <row r="46713" ht="12.75"/>
    <row r="46714" ht="12.75"/>
    <row r="46715" ht="12.75"/>
    <row r="46716" ht="12.75"/>
    <row r="46717" ht="12.75"/>
    <row r="46718" ht="12.75"/>
    <row r="46719" ht="12.75"/>
    <row r="46720" ht="12.75"/>
    <row r="46721" ht="12.75"/>
    <row r="46722" ht="12.75"/>
    <row r="46723" ht="12.75"/>
    <row r="46724" ht="12.75"/>
    <row r="46725" ht="12.75"/>
    <row r="46726" ht="12.75"/>
    <row r="46727" ht="12.75"/>
    <row r="46728" ht="12.75"/>
    <row r="46729" ht="12.75"/>
    <row r="46730" ht="12.75"/>
    <row r="46731" ht="12.75"/>
    <row r="46732" ht="12.75"/>
    <row r="46733" ht="12.75"/>
    <row r="46734" ht="12.75"/>
    <row r="46735" ht="12.75"/>
    <row r="46736" ht="12.75"/>
    <row r="46737" ht="12.75"/>
    <row r="46738" ht="12.75"/>
    <row r="46739" ht="12.75"/>
    <row r="46740" ht="12.75"/>
    <row r="46741" ht="12.75"/>
    <row r="46742" ht="12.75"/>
    <row r="46743" ht="12.75"/>
    <row r="46744" ht="12.75"/>
    <row r="46745" ht="12.75"/>
    <row r="46746" ht="12.75"/>
    <row r="46747" ht="12.75"/>
    <row r="46748" ht="12.75"/>
    <row r="46749" ht="12.75"/>
    <row r="46750" ht="12.75"/>
    <row r="46751" ht="12.75"/>
    <row r="46752" ht="12.75"/>
    <row r="46753" ht="12.75"/>
    <row r="46754" ht="12.75"/>
    <row r="46755" ht="12.75"/>
    <row r="46756" ht="12.75"/>
    <row r="46757" ht="12.75"/>
    <row r="46758" ht="12.75"/>
    <row r="46759" ht="12.75"/>
    <row r="46760" ht="12.75"/>
    <row r="46761" ht="12.75"/>
    <row r="46762" ht="12.75"/>
    <row r="46763" ht="12.75"/>
    <row r="46764" ht="12.75"/>
    <row r="46765" ht="12.75"/>
    <row r="46766" ht="12.75"/>
    <row r="46767" ht="12.75"/>
    <row r="46768" ht="12.75"/>
    <row r="46769" ht="12.75"/>
    <row r="46770" ht="12.75"/>
    <row r="46771" ht="12.75"/>
    <row r="46772" ht="12.75"/>
    <row r="46773" ht="12.75"/>
    <row r="46774" ht="12.75"/>
    <row r="46775" ht="12.75"/>
    <row r="46776" ht="12.75"/>
    <row r="46777" ht="12.75"/>
    <row r="46778" ht="12.75"/>
    <row r="46779" ht="12.75"/>
    <row r="46780" ht="12.75"/>
    <row r="46781" ht="12.75"/>
    <row r="46782" ht="12.75"/>
    <row r="46783" ht="12.75"/>
    <row r="46784" ht="12.75"/>
    <row r="46785" ht="12.75"/>
    <row r="46786" ht="12.75"/>
    <row r="46787" ht="12.75"/>
    <row r="46788" ht="12.75"/>
    <row r="46789" ht="12.75"/>
    <row r="46790" ht="12.75"/>
    <row r="46791" ht="12.75"/>
    <row r="46792" ht="12.75"/>
    <row r="46793" ht="12.75"/>
    <row r="46794" ht="12.75"/>
    <row r="46795" ht="12.75"/>
    <row r="46796" ht="12.75"/>
    <row r="46797" ht="12.75"/>
    <row r="46798" ht="12.75"/>
    <row r="46799" ht="12.75"/>
    <row r="46800" ht="12.75"/>
    <row r="46801" ht="12.75"/>
    <row r="46802" ht="12.75"/>
    <row r="46803" ht="12.75"/>
    <row r="46804" ht="12.75"/>
    <row r="46805" ht="12.75"/>
    <row r="46806" ht="12.75"/>
    <row r="46807" ht="12.75"/>
    <row r="46808" ht="12.75"/>
    <row r="46809" ht="12.75"/>
    <row r="46810" ht="12.75"/>
    <row r="46811" ht="12.75"/>
    <row r="46812" ht="12.75"/>
    <row r="46813" ht="12.75"/>
    <row r="46814" ht="12.75"/>
    <row r="46815" ht="12.75"/>
    <row r="46816" ht="12.75"/>
    <row r="46817" ht="12.75"/>
    <row r="46818" ht="12.75"/>
    <row r="46819" ht="12.75"/>
    <row r="46820" ht="12.75"/>
    <row r="46821" ht="12.75"/>
    <row r="46822" ht="12.75"/>
    <row r="46823" ht="12.75"/>
    <row r="46824" ht="12.75"/>
    <row r="46825" ht="12.75"/>
    <row r="46826" ht="12.75"/>
    <row r="46827" ht="12.75"/>
    <row r="46828" ht="12.75"/>
    <row r="46829" ht="12.75"/>
    <row r="46830" ht="12.75"/>
    <row r="46831" ht="12.75"/>
    <row r="46832" ht="12.75"/>
    <row r="46833" ht="12.75"/>
    <row r="46834" ht="12.75"/>
    <row r="46835" ht="12.75"/>
    <row r="46836" ht="12.75"/>
    <row r="46837" ht="12.75"/>
    <row r="46838" ht="12.75"/>
    <row r="46839" ht="12.75"/>
    <row r="46840" ht="12.75"/>
    <row r="46841" ht="12.75"/>
    <row r="46842" ht="12.75"/>
    <row r="46843" ht="12.75"/>
    <row r="46844" ht="12.75"/>
    <row r="46845" ht="12.75"/>
    <row r="46846" ht="12.75"/>
    <row r="46847" ht="12.75"/>
    <row r="46848" ht="12.75"/>
    <row r="46849" ht="12.75"/>
    <row r="46850" ht="12.75"/>
    <row r="46851" ht="12.75"/>
    <row r="46852" ht="12.75"/>
    <row r="46853" ht="12.75"/>
    <row r="46854" ht="12.75"/>
    <row r="46855" ht="12.75"/>
    <row r="46856" ht="12.75"/>
    <row r="46857" ht="12.75"/>
    <row r="46858" ht="12.75"/>
    <row r="46859" ht="12.75"/>
    <row r="46860" ht="12.75"/>
    <row r="46861" ht="12.75"/>
    <row r="46862" ht="12.75"/>
    <row r="46863" ht="12.75"/>
    <row r="46864" ht="12.75"/>
    <row r="46865" ht="12.75"/>
    <row r="46866" ht="12.75"/>
    <row r="46867" ht="12.75"/>
    <row r="46868" ht="12.75"/>
    <row r="46869" ht="12.75"/>
    <row r="46870" ht="12.75"/>
    <row r="46871" ht="12.75"/>
    <row r="46872" ht="12.75"/>
    <row r="46873" ht="12.75"/>
    <row r="46874" ht="12.75"/>
    <row r="46875" ht="12.75"/>
    <row r="46876" ht="12.75"/>
    <row r="46877" ht="12.75"/>
    <row r="46878" ht="12.75"/>
    <row r="46879" ht="12.75"/>
    <row r="46880" ht="12.75"/>
    <row r="46881" ht="12.75"/>
    <row r="46882" ht="12.75"/>
    <row r="46883" ht="12.75"/>
    <row r="46884" ht="12.75"/>
    <row r="46885" ht="12.75"/>
    <row r="46886" ht="12.75"/>
    <row r="46887" ht="12.75"/>
    <row r="46888" ht="12.75"/>
    <row r="46889" ht="12.75"/>
    <row r="46890" ht="12.75"/>
    <row r="46891" ht="12.75"/>
    <row r="46892" ht="12.75"/>
    <row r="46893" ht="12.75"/>
    <row r="46894" ht="12.75"/>
    <row r="46895" ht="12.75"/>
    <row r="46896" ht="12.75"/>
    <row r="46897" ht="12.75"/>
    <row r="46898" ht="12.75"/>
    <row r="46899" ht="12.75"/>
    <row r="46900" ht="12.75"/>
    <row r="46901" ht="12.75"/>
    <row r="46902" ht="12.75"/>
    <row r="46903" ht="12.75"/>
    <row r="46904" ht="12.75"/>
    <row r="46905" ht="12.75"/>
    <row r="46906" ht="12.75"/>
    <row r="46907" ht="12.75"/>
    <row r="46908" ht="12.75"/>
    <row r="46909" ht="12.75"/>
    <row r="46910" ht="12.75"/>
    <row r="46911" ht="12.75"/>
    <row r="46912" ht="12.75"/>
    <row r="46913" ht="12.75"/>
    <row r="46914" ht="12.75"/>
    <row r="46915" ht="12.75"/>
    <row r="46916" ht="12.75"/>
    <row r="46917" ht="12.75"/>
    <row r="46918" ht="12.75"/>
    <row r="46919" ht="12.75"/>
    <row r="46920" ht="12.75"/>
    <row r="46921" ht="12.75"/>
    <row r="46922" ht="12.75"/>
    <row r="46923" ht="12.75"/>
    <row r="46924" ht="12.75"/>
    <row r="46925" ht="12.75"/>
    <row r="46926" ht="12.75"/>
    <row r="46927" ht="12.75"/>
    <row r="46928" ht="12.75"/>
    <row r="46929" ht="12.75"/>
    <row r="46930" ht="12.75"/>
    <row r="46931" ht="12.75"/>
    <row r="46932" ht="12.75"/>
    <row r="46933" ht="12.75"/>
    <row r="46934" ht="12.75"/>
    <row r="46935" ht="12.75"/>
    <row r="46936" ht="12.75"/>
    <row r="46937" ht="12.75"/>
    <row r="46938" ht="12.75"/>
    <row r="46939" ht="12.75"/>
    <row r="46940" ht="12.75"/>
    <row r="46941" ht="12.75"/>
    <row r="46942" ht="12.75"/>
    <row r="46943" ht="12.75"/>
    <row r="46944" ht="12.75"/>
    <row r="46945" ht="12.75"/>
    <row r="46946" ht="12.75"/>
    <row r="46947" ht="12.75"/>
    <row r="46948" ht="12.75"/>
    <row r="46949" ht="12.75"/>
    <row r="46950" ht="12.75"/>
    <row r="46951" ht="12.75"/>
    <row r="46952" ht="12.75"/>
    <row r="46953" ht="12.75"/>
    <row r="46954" ht="12.75"/>
    <row r="46955" ht="12.75"/>
    <row r="46956" ht="12.75"/>
    <row r="46957" ht="12.75"/>
    <row r="46958" ht="12.75"/>
    <row r="46959" ht="12.75"/>
    <row r="46960" ht="12.75"/>
    <row r="46961" ht="12.75"/>
    <row r="46962" ht="12.75"/>
    <row r="46963" ht="12.75"/>
    <row r="46964" ht="12.75"/>
    <row r="46965" ht="12.75"/>
    <row r="46966" ht="12.75"/>
    <row r="46967" ht="12.75"/>
    <row r="46968" ht="12.75"/>
    <row r="46969" ht="12.75"/>
    <row r="46970" ht="12.75"/>
    <row r="46971" ht="12.75"/>
    <row r="46972" ht="12.75"/>
    <row r="46973" ht="12.75"/>
    <row r="46974" ht="12.75"/>
    <row r="46975" ht="12.75"/>
    <row r="46976" ht="12.75"/>
    <row r="46977" ht="12.75"/>
    <row r="46978" ht="12.75"/>
    <row r="46979" ht="12.75"/>
    <row r="46980" ht="12.75"/>
    <row r="46981" ht="12.75"/>
    <row r="46982" ht="12.75"/>
    <row r="46983" ht="12.75"/>
    <row r="46984" ht="12.75"/>
    <row r="46985" ht="12.75"/>
    <row r="46986" ht="12.75"/>
    <row r="46987" ht="12.75"/>
    <row r="46988" ht="12.75"/>
    <row r="46989" ht="12.75"/>
    <row r="46990" ht="12.75"/>
    <row r="46991" ht="12.75"/>
    <row r="46992" ht="12.75"/>
    <row r="46993" ht="12.75"/>
    <row r="46994" ht="12.75"/>
    <row r="46995" ht="12.75"/>
    <row r="46996" ht="12.75"/>
    <row r="46997" ht="12.75"/>
    <row r="46998" ht="12.75"/>
    <row r="46999" ht="12.75"/>
    <row r="47000" ht="12.75"/>
    <row r="47001" ht="12.75"/>
    <row r="47002" ht="12.75"/>
    <row r="47003" ht="12.75"/>
    <row r="47004" ht="12.75"/>
    <row r="47005" ht="12.75"/>
    <row r="47006" ht="12.75"/>
    <row r="47007" ht="12.75"/>
    <row r="47008" ht="12.75"/>
    <row r="47009" ht="12.75"/>
    <row r="47010" ht="12.75"/>
    <row r="47011" ht="12.75"/>
    <row r="47012" ht="12.75"/>
    <row r="47013" ht="12.75"/>
    <row r="47014" ht="12.75"/>
    <row r="47015" ht="12.75"/>
    <row r="47016" ht="12.75"/>
    <row r="47017" ht="12.75"/>
    <row r="47018" ht="12.75"/>
    <row r="47019" ht="12.75"/>
    <row r="47020" ht="12.75"/>
    <row r="47021" ht="12.75"/>
    <row r="47022" ht="12.75"/>
    <row r="47023" ht="12.75"/>
    <row r="47024" ht="12.75"/>
    <row r="47025" ht="12.75"/>
    <row r="47026" ht="12.75"/>
    <row r="47027" ht="12.75"/>
    <row r="47028" ht="12.75"/>
    <row r="47029" ht="12.75"/>
    <row r="47030" ht="12.75"/>
    <row r="47031" ht="12.75"/>
    <row r="47032" ht="12.75"/>
    <row r="47033" ht="12.75"/>
    <row r="47034" ht="12.75"/>
    <row r="47035" ht="12.75"/>
    <row r="47036" ht="12.75"/>
    <row r="47037" ht="12.75"/>
    <row r="47038" ht="12.75"/>
    <row r="47039" ht="12.75"/>
    <row r="47040" ht="12.75"/>
    <row r="47041" ht="12.75"/>
    <row r="47042" ht="12.75"/>
    <row r="47043" ht="12.75"/>
    <row r="47044" ht="12.75"/>
    <row r="47045" ht="12.75"/>
    <row r="47046" ht="12.75"/>
    <row r="47047" ht="12.75"/>
    <row r="47048" ht="12.75"/>
    <row r="47049" ht="12.75"/>
    <row r="47050" ht="12.75"/>
    <row r="47051" ht="12.75"/>
    <row r="47052" ht="12.75"/>
    <row r="47053" ht="12.75"/>
    <row r="47054" ht="12.75"/>
    <row r="47055" ht="12.75"/>
    <row r="47056" ht="12.75"/>
    <row r="47057" ht="12.75"/>
    <row r="47058" ht="12.75"/>
    <row r="47059" ht="12.75"/>
    <row r="47060" ht="12.75"/>
    <row r="47061" ht="12.75"/>
    <row r="47062" ht="12.75"/>
    <row r="47063" ht="12.75"/>
    <row r="47064" ht="12.75"/>
    <row r="47065" ht="12.75"/>
    <row r="47066" ht="12.75"/>
    <row r="47067" ht="12.75"/>
    <row r="47068" ht="12.75"/>
    <row r="47069" ht="12.75"/>
    <row r="47070" ht="12.75"/>
    <row r="47071" ht="12.75"/>
    <row r="47072" ht="12.75"/>
    <row r="47073" ht="12.75"/>
    <row r="47074" ht="12.75"/>
    <row r="47075" ht="12.75"/>
    <row r="47076" ht="12.75"/>
    <row r="47077" ht="12.75"/>
    <row r="47078" ht="12.75"/>
    <row r="47079" ht="12.75"/>
    <row r="47080" ht="12.75"/>
    <row r="47081" ht="12.75"/>
    <row r="47082" ht="12.75"/>
    <row r="47083" ht="12.75"/>
    <row r="47084" ht="12.75"/>
    <row r="47085" ht="12.75"/>
    <row r="47086" ht="12.75"/>
    <row r="47087" ht="12.75"/>
    <row r="47088" ht="12.75"/>
    <row r="47089" ht="12.75"/>
    <row r="47090" ht="12.75"/>
    <row r="47091" ht="12.75"/>
    <row r="47092" ht="12.75"/>
    <row r="47093" ht="12.75"/>
    <row r="47094" ht="12.75"/>
    <row r="47095" ht="12.75"/>
    <row r="47096" ht="12.75"/>
    <row r="47097" ht="12.75"/>
    <row r="47098" ht="12.75"/>
    <row r="47099" ht="12.75"/>
    <row r="47100" ht="12.75"/>
    <row r="47101" ht="12.75"/>
    <row r="47102" ht="12.75"/>
    <row r="47103" ht="12.75"/>
    <row r="47104" ht="12.75"/>
    <row r="47105" ht="12.75"/>
    <row r="47106" ht="12.75"/>
    <row r="47107" ht="12.75"/>
    <row r="47108" ht="12.75"/>
    <row r="47109" ht="12.75"/>
    <row r="47110" ht="12.75"/>
    <row r="47111" ht="12.75"/>
    <row r="47112" ht="12.75"/>
    <row r="47113" ht="12.75"/>
    <row r="47114" ht="12.75"/>
    <row r="47115" ht="12.75"/>
    <row r="47116" ht="12.75"/>
    <row r="47117" ht="12.75"/>
    <row r="47118" ht="12.75"/>
    <row r="47119" ht="12.75"/>
    <row r="47120" ht="12.75"/>
    <row r="47121" ht="12.75"/>
    <row r="47122" ht="12.75"/>
    <row r="47123" ht="12.75"/>
    <row r="47124" ht="12.75"/>
    <row r="47125" ht="12.75"/>
    <row r="47126" ht="12.75"/>
    <row r="47127" ht="12.75"/>
    <row r="47128" ht="12.75"/>
    <row r="47129" ht="12.75"/>
    <row r="47130" ht="12.75"/>
    <row r="47131" ht="12.75"/>
    <row r="47132" ht="12.75"/>
    <row r="47133" ht="12.75"/>
    <row r="47134" ht="12.75"/>
    <row r="47135" ht="12.75"/>
    <row r="47136" ht="12.75"/>
    <row r="47137" ht="12.75"/>
    <row r="47138" ht="12.75"/>
    <row r="47139" ht="12.75"/>
    <row r="47140" ht="12.75"/>
    <row r="47141" ht="12.75"/>
    <row r="47142" ht="12.75"/>
    <row r="47143" ht="12.75"/>
    <row r="47144" ht="12.75"/>
    <row r="47145" ht="12.75"/>
    <row r="47146" ht="12.75"/>
    <row r="47147" ht="12.75"/>
    <row r="47148" ht="12.75"/>
    <row r="47149" ht="12.75"/>
    <row r="47150" ht="12.75"/>
    <row r="47151" ht="12.75"/>
    <row r="47152" ht="12.75"/>
    <row r="47153" ht="12.75"/>
    <row r="47154" ht="12.75"/>
    <row r="47155" ht="12.75"/>
    <row r="47156" ht="12.75"/>
    <row r="47157" ht="12.75"/>
    <row r="47158" ht="12.75"/>
    <row r="47159" ht="12.75"/>
    <row r="47160" ht="12.75"/>
    <row r="47161" ht="12.75"/>
    <row r="47162" ht="12.75"/>
    <row r="47163" ht="12.75"/>
    <row r="47164" ht="12.75"/>
    <row r="47165" ht="12.75"/>
    <row r="47166" ht="12.75"/>
    <row r="47167" ht="12.75"/>
    <row r="47168" ht="12.75"/>
    <row r="47169" ht="12.75"/>
    <row r="47170" ht="12.75"/>
    <row r="47171" ht="12.75"/>
    <row r="47172" ht="12.75"/>
    <row r="47173" ht="12.75"/>
    <row r="47174" ht="12.75"/>
    <row r="47175" ht="12.75"/>
    <row r="47176" ht="12.75"/>
    <row r="47177" ht="12.75"/>
    <row r="47178" ht="12.75"/>
    <row r="47179" ht="12.75"/>
    <row r="47180" ht="12.75"/>
    <row r="47181" ht="12.75"/>
    <row r="47182" ht="12.75"/>
    <row r="47183" ht="12.75"/>
    <row r="47184" ht="12.75"/>
    <row r="47185" ht="12.75"/>
    <row r="47186" ht="12.75"/>
    <row r="47187" ht="12.75"/>
    <row r="47188" ht="12.75"/>
    <row r="47189" ht="12.75"/>
    <row r="47190" ht="12.75"/>
    <row r="47191" ht="12.75"/>
    <row r="47192" ht="12.75"/>
    <row r="47193" ht="12.75"/>
    <row r="47194" ht="12.75"/>
    <row r="47195" ht="12.75"/>
    <row r="47196" ht="12.75"/>
    <row r="47197" ht="12.75"/>
    <row r="47198" ht="12.75"/>
    <row r="47199" ht="12.75"/>
    <row r="47200" ht="12.75"/>
    <row r="47201" ht="12.75"/>
    <row r="47202" ht="12.75"/>
    <row r="47203" ht="12.75"/>
    <row r="47204" ht="12.75"/>
    <row r="47205" ht="12.75"/>
    <row r="47206" ht="12.75"/>
    <row r="47207" ht="12.75"/>
    <row r="47208" ht="12.75"/>
    <row r="47209" ht="12.75"/>
    <row r="47210" ht="12.75"/>
    <row r="47211" ht="12.75"/>
    <row r="47212" ht="12.75"/>
    <row r="47213" ht="12.75"/>
    <row r="47214" ht="12.75"/>
    <row r="47215" ht="12.75"/>
    <row r="47216" ht="12.75"/>
    <row r="47217" ht="12.75"/>
    <row r="47218" ht="12.75"/>
    <row r="47219" ht="12.75"/>
    <row r="47220" ht="12.75"/>
    <row r="47221" ht="12.75"/>
    <row r="47222" ht="12.75"/>
    <row r="47223" ht="12.75"/>
    <row r="47224" ht="12.75"/>
    <row r="47225" ht="12.75"/>
    <row r="47226" ht="12.75"/>
    <row r="47227" ht="12.75"/>
    <row r="47228" ht="12.75"/>
    <row r="47229" ht="12.75"/>
    <row r="47230" ht="12.75"/>
    <row r="47231" ht="12.75"/>
    <row r="47232" ht="12.75"/>
    <row r="47233" ht="12.75"/>
    <row r="47234" ht="12.75"/>
    <row r="47235" ht="12.75"/>
    <row r="47236" ht="12.75"/>
    <row r="47237" ht="12.75"/>
    <row r="47238" ht="12.75"/>
    <row r="47239" ht="12.75"/>
    <row r="47240" ht="12.75"/>
    <row r="47241" ht="12.75"/>
    <row r="47242" ht="12.75"/>
    <row r="47243" ht="12.75"/>
    <row r="47244" ht="12.75"/>
    <row r="47245" ht="12.75"/>
    <row r="47246" ht="12.75"/>
    <row r="47247" ht="12.75"/>
    <row r="47248" ht="12.75"/>
    <row r="47249" ht="12.75"/>
    <row r="47250" ht="12.75"/>
    <row r="47251" ht="12.75"/>
    <row r="47252" ht="12.75"/>
    <row r="47253" ht="12.75"/>
    <row r="47254" ht="12.75"/>
    <row r="47255" ht="12.75"/>
    <row r="47256" ht="12.75"/>
    <row r="47257" ht="12.75"/>
    <row r="47258" ht="12.75"/>
    <row r="47259" ht="12.75"/>
    <row r="47260" ht="12.75"/>
    <row r="47261" ht="12.75"/>
    <row r="47262" ht="12.75"/>
    <row r="47263" ht="12.75"/>
    <row r="47264" ht="12.75"/>
    <row r="47265" ht="12.75"/>
    <row r="47266" ht="12.75"/>
    <row r="47267" ht="12.75"/>
    <row r="47268" ht="12.75"/>
    <row r="47269" ht="12.75"/>
    <row r="47270" ht="12.75"/>
    <row r="47271" ht="12.75"/>
    <row r="47272" ht="12.75"/>
    <row r="47273" ht="12.75"/>
    <row r="47274" ht="12.75"/>
    <row r="47275" ht="12.75"/>
    <row r="47276" ht="12.75"/>
    <row r="47277" ht="12.75"/>
    <row r="47278" ht="12.75"/>
    <row r="47279" ht="12.75"/>
    <row r="47280" ht="12.75"/>
    <row r="47281" ht="12.75"/>
    <row r="47282" ht="12.75"/>
    <row r="47283" ht="12.75"/>
    <row r="47284" ht="12.75"/>
    <row r="47285" ht="12.75"/>
    <row r="47286" ht="12.75"/>
    <row r="47287" ht="12.75"/>
    <row r="47288" ht="12.75"/>
    <row r="47289" ht="12.75"/>
    <row r="47290" ht="12.75"/>
    <row r="47291" ht="12.75"/>
    <row r="47292" ht="12.75"/>
    <row r="47293" ht="12.75"/>
    <row r="47294" ht="12.75"/>
    <row r="47295" ht="12.75"/>
    <row r="47296" ht="12.75"/>
    <row r="47297" ht="12.75"/>
    <row r="47298" ht="12.75"/>
    <row r="47299" ht="12.75"/>
    <row r="47300" ht="12.75"/>
    <row r="47301" ht="12.75"/>
    <row r="47302" ht="12.75"/>
    <row r="47303" ht="12.75"/>
    <row r="47304" ht="12.75"/>
    <row r="47305" ht="12.75"/>
    <row r="47306" ht="12.75"/>
    <row r="47307" ht="12.75"/>
    <row r="47308" ht="12.75"/>
    <row r="47309" ht="12.75"/>
    <row r="47310" ht="12.75"/>
    <row r="47311" ht="12.75"/>
    <row r="47312" ht="12.75"/>
    <row r="47313" ht="12.75"/>
    <row r="47314" ht="12.75"/>
    <row r="47315" ht="12.75"/>
    <row r="47316" ht="12.75"/>
    <row r="47317" ht="12.75"/>
    <row r="47318" ht="12.75"/>
    <row r="47319" ht="12.75"/>
    <row r="47320" ht="12.75"/>
    <row r="47321" ht="12.75"/>
    <row r="47322" ht="12.75"/>
    <row r="47323" ht="12.75"/>
    <row r="47324" ht="12.75"/>
    <row r="47325" ht="12.75"/>
    <row r="47326" ht="12.75"/>
    <row r="47327" ht="12.75"/>
    <row r="47328" ht="12.75"/>
    <row r="47329" ht="12.75"/>
    <row r="47330" ht="12.75"/>
    <row r="47331" ht="12.75"/>
    <row r="47332" ht="12.75"/>
    <row r="47333" ht="12.75"/>
    <row r="47334" ht="12.75"/>
    <row r="47335" ht="12.75"/>
    <row r="47336" ht="12.75"/>
    <row r="47337" ht="12.75"/>
    <row r="47338" ht="12.75"/>
    <row r="47339" ht="12.75"/>
    <row r="47340" ht="12.75"/>
    <row r="47341" ht="12.75"/>
    <row r="47342" ht="12.75"/>
    <row r="47343" ht="12.75"/>
    <row r="47344" ht="12.75"/>
    <row r="47345" ht="12.75"/>
    <row r="47346" ht="12.75"/>
    <row r="47347" ht="12.75"/>
    <row r="47348" ht="12.75"/>
    <row r="47349" ht="12.75"/>
    <row r="47350" ht="12.75"/>
    <row r="47351" ht="12.75"/>
    <row r="47352" ht="12.75"/>
    <row r="47353" ht="12.75"/>
    <row r="47354" ht="12.75"/>
    <row r="47355" ht="12.75"/>
    <row r="47356" ht="12.75"/>
    <row r="47357" ht="12.75"/>
    <row r="47358" ht="12.75"/>
    <row r="47359" ht="12.75"/>
    <row r="47360" ht="12.75"/>
    <row r="47361" ht="12.75"/>
    <row r="47362" ht="12.75"/>
    <row r="47363" ht="12.75"/>
    <row r="47364" ht="12.75"/>
    <row r="47365" ht="12.75"/>
    <row r="47366" ht="12.75"/>
    <row r="47367" ht="12.75"/>
    <row r="47368" ht="12.75"/>
    <row r="47369" ht="12.75"/>
    <row r="47370" ht="12.75"/>
    <row r="47371" ht="12.75"/>
    <row r="47372" ht="12.75"/>
    <row r="47373" ht="12.75"/>
    <row r="47374" ht="12.75"/>
    <row r="47375" ht="12.75"/>
    <row r="47376" ht="12.75"/>
    <row r="47377" ht="12.75"/>
    <row r="47378" ht="12.75"/>
    <row r="47379" ht="12.75"/>
    <row r="47380" ht="12.75"/>
    <row r="47381" ht="12.75"/>
    <row r="47382" ht="12.75"/>
    <row r="47383" ht="12.75"/>
    <row r="47384" ht="12.75"/>
    <row r="47385" ht="12.75"/>
    <row r="47386" ht="12.75"/>
    <row r="47387" ht="12.75"/>
    <row r="47388" ht="12.75"/>
    <row r="47389" ht="12.75"/>
    <row r="47390" ht="12.75"/>
    <row r="47391" ht="12.75"/>
    <row r="47392" ht="12.75"/>
    <row r="47393" ht="12.75"/>
    <row r="47394" ht="12.75"/>
    <row r="47395" ht="12.75"/>
    <row r="47396" ht="12.75"/>
    <row r="47397" ht="12.75"/>
    <row r="47398" ht="12.75"/>
    <row r="47399" ht="12.75"/>
    <row r="47400" ht="12.75"/>
    <row r="47401" ht="12.75"/>
    <row r="47402" ht="12.75"/>
    <row r="47403" ht="12.75"/>
    <row r="47404" ht="12.75"/>
    <row r="47405" ht="12.75"/>
    <row r="47406" ht="12.75"/>
    <row r="47407" ht="12.75"/>
    <row r="47408" ht="12.75"/>
    <row r="47409" ht="12.75"/>
    <row r="47410" ht="12.75"/>
    <row r="47411" ht="12.75"/>
    <row r="47412" ht="12.75"/>
    <row r="47413" ht="12.75"/>
    <row r="47414" ht="12.75"/>
    <row r="47415" ht="12.75"/>
    <row r="47416" ht="12.75"/>
    <row r="47417" ht="12.75"/>
    <row r="47418" ht="12.75"/>
    <row r="47419" ht="12.75"/>
    <row r="47420" ht="12.75"/>
    <row r="47421" ht="12.75"/>
    <row r="47422" ht="12.75"/>
    <row r="47423" ht="12.75"/>
    <row r="47424" ht="12.75"/>
    <row r="47425" ht="12.75"/>
    <row r="47426" ht="12.75"/>
    <row r="47427" ht="12.75"/>
    <row r="47428" ht="12.75"/>
    <row r="47429" ht="12.75"/>
    <row r="47430" ht="12.75"/>
    <row r="47431" ht="12.75"/>
    <row r="47432" ht="12.75"/>
    <row r="47433" ht="12.75"/>
    <row r="47434" ht="12.75"/>
    <row r="47435" ht="12.75"/>
    <row r="47436" ht="12.75"/>
    <row r="47437" ht="12.75"/>
    <row r="47438" ht="12.75"/>
    <row r="47439" ht="12.75"/>
    <row r="47440" ht="12.75"/>
    <row r="47441" ht="12.75"/>
    <row r="47442" ht="12.75"/>
    <row r="47443" ht="12.75"/>
    <row r="47444" ht="12.75"/>
    <row r="47445" ht="12.75"/>
    <row r="47446" ht="12.75"/>
    <row r="47447" ht="12.75"/>
    <row r="47448" ht="12.75"/>
    <row r="47449" ht="12.75"/>
    <row r="47450" ht="12.75"/>
    <row r="47451" ht="12.75"/>
    <row r="47452" ht="12.75"/>
    <row r="47453" ht="12.75"/>
    <row r="47454" ht="12.75"/>
    <row r="47455" ht="12.75"/>
    <row r="47456" ht="12.75"/>
    <row r="47457" ht="12.75"/>
    <row r="47458" ht="12.75"/>
    <row r="47459" ht="12.75"/>
    <row r="47460" ht="12.75"/>
    <row r="47461" ht="12.75"/>
    <row r="47462" ht="12.75"/>
    <row r="47463" ht="12.75"/>
    <row r="47464" ht="12.75"/>
    <row r="47465" ht="12.75"/>
    <row r="47466" ht="12.75"/>
    <row r="47467" ht="12.75"/>
    <row r="47468" ht="12.75"/>
    <row r="47469" ht="12.75"/>
    <row r="47470" ht="12.75"/>
    <row r="47471" ht="12.75"/>
    <row r="47472" ht="12.75"/>
    <row r="47473" ht="12.75"/>
    <row r="47474" ht="12.75"/>
    <row r="47475" ht="12.75"/>
    <row r="47476" ht="12.75"/>
    <row r="47477" ht="12.75"/>
    <row r="47478" ht="12.75"/>
    <row r="47479" ht="12.75"/>
    <row r="47480" ht="12.75"/>
    <row r="47481" ht="12.75"/>
    <row r="47482" ht="12.75"/>
    <row r="47483" ht="12.75"/>
    <row r="47484" ht="12.75"/>
    <row r="47485" ht="12.75"/>
    <row r="47486" ht="12.75"/>
    <row r="47487" ht="12.75"/>
    <row r="47488" ht="12.75"/>
    <row r="47489" ht="12.75"/>
    <row r="47490" ht="12.75"/>
    <row r="47491" ht="12.75"/>
    <row r="47492" ht="12.75"/>
    <row r="47493" ht="12.75"/>
    <row r="47494" ht="12.75"/>
    <row r="47495" ht="12.75"/>
    <row r="47496" ht="12.75"/>
    <row r="47497" ht="12.75"/>
    <row r="47498" ht="12.75"/>
    <row r="47499" ht="12.75"/>
    <row r="47500" ht="12.75"/>
    <row r="47501" ht="12.75"/>
    <row r="47502" ht="12.75"/>
    <row r="47503" ht="12.75"/>
    <row r="47504" ht="12.75"/>
    <row r="47505" ht="12.75"/>
    <row r="47506" ht="12.75"/>
    <row r="47507" ht="12.75"/>
    <row r="47508" ht="12.75"/>
    <row r="47509" ht="12.75"/>
    <row r="47510" ht="12.75"/>
    <row r="47511" ht="12.75"/>
    <row r="47512" ht="12.75"/>
    <row r="47513" ht="12.75"/>
    <row r="47514" ht="12.75"/>
    <row r="47515" ht="12.75"/>
    <row r="47516" ht="12.75"/>
    <row r="47517" ht="12.75"/>
    <row r="47518" ht="12.75"/>
    <row r="47519" ht="12.75"/>
    <row r="47520" ht="12.75"/>
    <row r="47521" ht="12.75"/>
    <row r="47522" ht="12.75"/>
    <row r="47523" ht="12.75"/>
    <row r="47524" ht="12.75"/>
    <row r="47525" ht="12.75"/>
    <row r="47526" ht="12.75"/>
    <row r="47527" ht="12.75"/>
    <row r="47528" ht="12.75"/>
    <row r="47529" ht="12.75"/>
    <row r="47530" ht="12.75"/>
    <row r="47531" ht="12.75"/>
    <row r="47532" ht="12.75"/>
    <row r="47533" ht="12.75"/>
    <row r="47534" ht="12.75"/>
    <row r="47535" ht="12.75"/>
    <row r="47536" ht="12.75"/>
    <row r="47537" ht="12.75"/>
    <row r="47538" ht="12.75"/>
    <row r="47539" ht="12.75"/>
    <row r="47540" ht="12.75"/>
    <row r="47541" ht="12.75"/>
    <row r="47542" ht="12.75"/>
    <row r="47543" ht="12.75"/>
    <row r="47544" ht="12.75"/>
    <row r="47545" ht="12.75"/>
    <row r="47546" ht="12.75"/>
    <row r="47547" ht="12.75"/>
    <row r="47548" ht="12.75"/>
    <row r="47549" ht="12.75"/>
    <row r="47550" ht="12.75"/>
    <row r="47551" ht="12.75"/>
    <row r="47552" ht="12.75"/>
    <row r="47553" ht="12.75"/>
    <row r="47554" ht="12.75"/>
    <row r="47555" ht="12.75"/>
    <row r="47556" ht="12.75"/>
    <row r="47557" ht="12.75"/>
    <row r="47558" ht="12.75"/>
    <row r="47559" ht="12.75"/>
    <row r="47560" ht="12.75"/>
    <row r="47561" ht="12.75"/>
    <row r="47562" ht="12.75"/>
    <row r="47563" ht="12.75"/>
    <row r="47564" ht="12.75"/>
    <row r="47565" ht="12.75"/>
    <row r="47566" ht="12.75"/>
    <row r="47567" ht="12.75"/>
    <row r="47568" ht="12.75"/>
    <row r="47569" ht="12.75"/>
    <row r="47570" ht="12.75"/>
    <row r="47571" ht="12.75"/>
    <row r="47572" ht="12.75"/>
    <row r="47573" ht="12.75"/>
    <row r="47574" ht="12.75"/>
    <row r="47575" ht="12.75"/>
    <row r="47576" ht="12.75"/>
    <row r="47577" ht="12.75"/>
    <row r="47578" ht="12.75"/>
    <row r="47579" ht="12.75"/>
    <row r="47580" ht="12.75"/>
    <row r="47581" ht="12.75"/>
    <row r="47582" ht="12.75"/>
    <row r="47583" ht="12.75"/>
    <row r="47584" ht="12.75"/>
    <row r="47585" ht="12.75"/>
    <row r="47586" ht="12.75"/>
    <row r="47587" ht="12.75"/>
    <row r="47588" ht="12.75"/>
    <row r="47589" ht="12.75"/>
    <row r="47590" ht="12.75"/>
    <row r="47591" ht="12.75"/>
    <row r="47592" ht="12.75"/>
    <row r="47593" ht="12.75"/>
    <row r="47594" ht="12.75"/>
    <row r="47595" ht="12.75"/>
    <row r="47596" ht="12.75"/>
    <row r="47597" ht="12.75"/>
    <row r="47598" ht="12.75"/>
    <row r="47599" ht="12.75"/>
    <row r="47600" ht="12.75"/>
    <row r="47601" ht="12.75"/>
    <row r="47602" ht="12.75"/>
    <row r="47603" ht="12.75"/>
    <row r="47604" ht="12.75"/>
    <row r="47605" ht="12.75"/>
    <row r="47606" ht="12.75"/>
    <row r="47607" ht="12.75"/>
    <row r="47608" ht="12.75"/>
    <row r="47609" ht="12.75"/>
    <row r="47610" ht="12.75"/>
    <row r="47611" ht="12.75"/>
    <row r="47612" ht="12.75"/>
    <row r="47613" ht="12.75"/>
    <row r="47614" ht="12.75"/>
    <row r="47615" ht="12.75"/>
    <row r="47616" ht="12.75"/>
    <row r="47617" ht="12.75"/>
    <row r="47618" ht="12.75"/>
    <row r="47619" ht="12.75"/>
    <row r="47620" ht="12.75"/>
    <row r="47621" ht="12.75"/>
    <row r="47622" ht="12.75"/>
    <row r="47623" ht="12.75"/>
    <row r="47624" ht="12.75"/>
    <row r="47625" ht="12.75"/>
    <row r="47626" ht="12.75"/>
    <row r="47627" ht="12.75"/>
    <row r="47628" ht="12.75"/>
    <row r="47629" ht="12.75"/>
    <row r="47630" ht="12.75"/>
    <row r="47631" ht="12.75"/>
    <row r="47632" ht="12.75"/>
    <row r="47633" ht="12.75"/>
    <row r="47634" ht="12.75"/>
    <row r="47635" ht="12.75"/>
    <row r="47636" ht="12.75"/>
    <row r="47637" ht="12.75"/>
    <row r="47638" ht="12.75"/>
    <row r="47639" ht="12.75"/>
    <row r="47640" ht="12.75"/>
    <row r="47641" ht="12.75"/>
    <row r="47642" ht="12.75"/>
    <row r="47643" ht="12.75"/>
    <row r="47644" ht="12.75"/>
    <row r="47645" ht="12.75"/>
    <row r="47646" ht="12.75"/>
    <row r="47647" ht="12.75"/>
    <row r="47648" ht="12.75"/>
    <row r="47649" ht="12.75"/>
    <row r="47650" ht="12.75"/>
    <row r="47651" ht="12.75"/>
    <row r="47652" ht="12.75"/>
    <row r="47653" ht="12.75"/>
    <row r="47654" ht="12.75"/>
    <row r="47655" ht="12.75"/>
    <row r="47656" ht="12.75"/>
    <row r="47657" ht="12.75"/>
    <row r="47658" ht="12.75"/>
    <row r="47659" ht="12.75"/>
    <row r="47660" ht="12.75"/>
    <row r="47661" ht="12.75"/>
    <row r="47662" ht="12.75"/>
    <row r="47663" ht="12.75"/>
    <row r="47664" ht="12.75"/>
    <row r="47665" ht="12.75"/>
    <row r="47666" ht="12.75"/>
    <row r="47667" ht="12.75"/>
    <row r="47668" ht="12.75"/>
    <row r="47669" ht="12.75"/>
    <row r="47670" ht="12.75"/>
    <row r="47671" ht="12.75"/>
    <row r="47672" ht="12.75"/>
    <row r="47673" ht="12.75"/>
    <row r="47674" ht="12.75"/>
    <row r="47675" ht="12.75"/>
    <row r="47676" ht="12.75"/>
    <row r="47677" ht="12.75"/>
    <row r="47678" ht="12.75"/>
    <row r="47679" ht="12.75"/>
    <row r="47680" ht="12.75"/>
    <row r="47681" ht="12.75"/>
    <row r="47682" ht="12.75"/>
    <row r="47683" ht="12.75"/>
    <row r="47684" ht="12.75"/>
    <row r="47685" ht="12.75"/>
    <row r="47686" ht="12.75"/>
    <row r="47687" ht="12.75"/>
    <row r="47688" ht="12.75"/>
    <row r="47689" ht="12.75"/>
    <row r="47690" ht="12.75"/>
    <row r="47691" ht="12.75"/>
    <row r="47692" ht="12.75"/>
    <row r="47693" ht="12.75"/>
    <row r="47694" ht="12.75"/>
    <row r="47695" ht="12.75"/>
    <row r="47696" ht="12.75"/>
    <row r="47697" ht="12.75"/>
    <row r="47698" ht="12.75"/>
    <row r="47699" ht="12.75"/>
    <row r="47700" ht="12.75"/>
    <row r="47701" ht="12.75"/>
    <row r="47702" ht="12.75"/>
    <row r="47703" ht="12.75"/>
    <row r="47704" ht="12.75"/>
    <row r="47705" ht="12.75"/>
    <row r="47706" ht="12.75"/>
    <row r="47707" ht="12.75"/>
    <row r="47708" ht="12.75"/>
    <row r="47709" ht="12.75"/>
    <row r="47710" ht="12.75"/>
    <row r="47711" ht="12.75"/>
    <row r="47712" ht="12.75"/>
    <row r="47713" ht="12.75"/>
    <row r="47714" ht="12.75"/>
    <row r="47715" ht="12.75"/>
    <row r="47716" ht="12.75"/>
    <row r="47717" ht="12.75"/>
    <row r="47718" ht="12.75"/>
    <row r="47719" ht="12.75"/>
    <row r="47720" ht="12.75"/>
    <row r="47721" ht="12.75"/>
    <row r="47722" ht="12.75"/>
    <row r="47723" ht="12.75"/>
    <row r="47724" ht="12.75"/>
    <row r="47725" ht="12.75"/>
    <row r="47726" ht="12.75"/>
    <row r="47727" ht="12.75"/>
    <row r="47728" ht="12.75"/>
    <row r="47729" ht="12.75"/>
    <row r="47730" ht="12.75"/>
    <row r="47731" ht="12.75"/>
    <row r="47732" ht="12.75"/>
    <row r="47733" ht="12.75"/>
    <row r="47734" ht="12.75"/>
    <row r="47735" ht="12.75"/>
    <row r="47736" ht="12.75"/>
    <row r="47737" ht="12.75"/>
    <row r="47738" ht="12.75"/>
    <row r="47739" ht="12.75"/>
    <row r="47740" ht="12.75"/>
    <row r="47741" ht="12.75"/>
    <row r="47742" ht="12.75"/>
    <row r="47743" ht="12.75"/>
    <row r="47744" ht="12.75"/>
    <row r="47745" ht="12.75"/>
    <row r="47746" ht="12.75"/>
    <row r="47747" ht="12.75"/>
    <row r="47748" ht="12.75"/>
    <row r="47749" ht="12.75"/>
    <row r="47750" ht="12.75"/>
    <row r="47751" ht="12.75"/>
    <row r="47752" ht="12.75"/>
    <row r="47753" ht="12.75"/>
    <row r="47754" ht="12.75"/>
    <row r="47755" ht="12.75"/>
    <row r="47756" ht="12.75"/>
    <row r="47757" ht="12.75"/>
    <row r="47758" ht="12.75"/>
    <row r="47759" ht="12.75"/>
    <row r="47760" ht="12.75"/>
    <row r="47761" ht="12.75"/>
    <row r="47762" ht="12.75"/>
    <row r="47763" ht="12.75"/>
    <row r="47764" ht="12.75"/>
    <row r="47765" ht="12.75"/>
    <row r="47766" ht="12.75"/>
    <row r="47767" ht="12.75"/>
    <row r="47768" ht="12.75"/>
    <row r="47769" ht="12.75"/>
    <row r="47770" ht="12.75"/>
    <row r="47771" ht="12.75"/>
    <row r="47772" ht="12.75"/>
    <row r="47773" ht="12.75"/>
    <row r="47774" ht="12.75"/>
    <row r="47775" ht="12.75"/>
    <row r="47776" ht="12.75"/>
    <row r="47777" ht="12.75"/>
    <row r="47778" ht="12.75"/>
    <row r="47779" ht="12.75"/>
    <row r="47780" ht="12.75"/>
    <row r="47781" ht="12.75"/>
    <row r="47782" ht="12.75"/>
    <row r="47783" ht="12.75"/>
    <row r="47784" ht="12.75"/>
    <row r="47785" ht="12.75"/>
    <row r="47786" ht="12.75"/>
    <row r="47787" ht="12.75"/>
    <row r="47788" ht="12.75"/>
    <row r="47789" ht="12.75"/>
    <row r="47790" ht="12.75"/>
    <row r="47791" ht="12.75"/>
    <row r="47792" ht="12.75"/>
    <row r="47793" ht="12.75"/>
    <row r="47794" ht="12.75"/>
    <row r="47795" ht="12.75"/>
    <row r="47796" ht="12.75"/>
    <row r="47797" ht="12.75"/>
    <row r="47798" ht="12.75"/>
    <row r="47799" ht="12.75"/>
    <row r="47800" ht="12.75"/>
    <row r="47801" ht="12.75"/>
    <row r="47802" ht="12.75"/>
    <row r="47803" ht="12.75"/>
    <row r="47804" ht="12.75"/>
    <row r="47805" ht="12.75"/>
    <row r="47806" ht="12.75"/>
    <row r="47807" ht="12.75"/>
    <row r="47808" ht="12.75"/>
    <row r="47809" ht="12.75"/>
    <row r="47810" ht="12.75"/>
    <row r="47811" ht="12.75"/>
    <row r="47812" ht="12.75"/>
    <row r="47813" ht="12.75"/>
    <row r="47814" ht="12.75"/>
    <row r="47815" ht="12.75"/>
    <row r="47816" ht="12.75"/>
    <row r="47817" ht="12.75"/>
    <row r="47818" ht="12.75"/>
    <row r="47819" ht="12.75"/>
    <row r="47820" ht="12.75"/>
    <row r="47821" ht="12.75"/>
    <row r="47822" ht="12.75"/>
    <row r="47823" ht="12.75"/>
    <row r="47824" ht="12.75"/>
    <row r="47825" ht="12.75"/>
    <row r="47826" ht="12.75"/>
    <row r="47827" ht="12.75"/>
    <row r="47828" ht="12.75"/>
    <row r="47829" ht="12.75"/>
    <row r="47830" ht="12.75"/>
    <row r="47831" ht="12.75"/>
    <row r="47832" ht="12.75"/>
    <row r="47833" ht="12.75"/>
    <row r="47834" ht="12.75"/>
    <row r="47835" ht="12.75"/>
    <row r="47836" ht="12.75"/>
    <row r="47837" ht="12.75"/>
    <row r="47838" ht="12.75"/>
    <row r="47839" ht="12.75"/>
    <row r="47840" ht="12.75"/>
    <row r="47841" ht="12.75"/>
    <row r="47842" ht="12.75"/>
    <row r="47843" ht="12.75"/>
    <row r="47844" ht="12.75"/>
    <row r="47845" ht="12.75"/>
    <row r="47846" ht="12.75"/>
    <row r="47847" ht="12.75"/>
    <row r="47848" ht="12.75"/>
    <row r="47849" ht="12.75"/>
    <row r="47850" ht="12.75"/>
    <row r="47851" ht="12.75"/>
    <row r="47852" ht="12.75"/>
    <row r="47853" ht="12.75"/>
    <row r="47854" ht="12.75"/>
    <row r="47855" ht="12.75"/>
    <row r="47856" ht="12.75"/>
    <row r="47857" ht="12.75"/>
    <row r="47858" ht="12.75"/>
    <row r="47859" ht="12.75"/>
    <row r="47860" ht="12.75"/>
    <row r="47861" ht="12.75"/>
    <row r="47862" ht="12.75"/>
    <row r="47863" ht="12.75"/>
    <row r="47864" ht="12.75"/>
    <row r="47865" ht="12.75"/>
    <row r="47866" ht="12.75"/>
    <row r="47867" ht="12.75"/>
    <row r="47868" ht="12.75"/>
    <row r="47869" ht="12.75"/>
    <row r="47870" ht="12.75"/>
    <row r="47871" ht="12.75"/>
    <row r="47872" ht="12.75"/>
    <row r="47873" ht="12.75"/>
    <row r="47874" ht="12.75"/>
    <row r="47875" ht="12.75"/>
    <row r="47876" ht="12.75"/>
    <row r="47877" ht="12.75"/>
    <row r="47878" ht="12.75"/>
    <row r="47879" ht="12.75"/>
    <row r="47880" ht="12.75"/>
    <row r="47881" ht="12.75"/>
    <row r="47882" ht="12.75"/>
    <row r="47883" ht="12.75"/>
    <row r="47884" ht="12.75"/>
    <row r="47885" ht="12.75"/>
    <row r="47886" ht="12.75"/>
    <row r="47887" ht="12.75"/>
    <row r="47888" ht="12.75"/>
    <row r="47889" ht="12.75"/>
    <row r="47890" ht="12.75"/>
    <row r="47891" ht="12.75"/>
    <row r="47892" ht="12.75"/>
    <row r="47893" ht="12.75"/>
    <row r="47894" ht="12.75"/>
    <row r="47895" ht="12.75"/>
    <row r="47896" ht="12.75"/>
    <row r="47897" ht="12.75"/>
    <row r="47898" ht="12.75"/>
    <row r="47899" ht="12.75"/>
    <row r="47900" ht="12.75"/>
    <row r="47901" ht="12.75"/>
    <row r="47902" ht="12.75"/>
    <row r="47903" ht="12.75"/>
    <row r="47904" ht="12.75"/>
    <row r="47905" ht="12.75"/>
    <row r="47906" ht="12.75"/>
    <row r="47907" ht="12.75"/>
    <row r="47908" ht="12.75"/>
    <row r="47909" ht="12.75"/>
    <row r="47910" ht="12.75"/>
    <row r="47911" ht="12.75"/>
    <row r="47912" ht="12.75"/>
    <row r="47913" ht="12.75"/>
    <row r="47914" ht="12.75"/>
    <row r="47915" ht="12.75"/>
    <row r="47916" ht="12.75"/>
    <row r="47917" ht="12.75"/>
    <row r="47918" ht="12.75"/>
    <row r="47919" ht="12.75"/>
    <row r="47920" ht="12.75"/>
    <row r="47921" ht="12.75"/>
    <row r="47922" ht="12.75"/>
    <row r="47923" ht="12.75"/>
    <row r="47924" ht="12.75"/>
    <row r="47925" ht="12.75"/>
    <row r="47926" ht="12.75"/>
    <row r="47927" ht="12.75"/>
    <row r="47928" ht="12.75"/>
    <row r="47929" ht="12.75"/>
    <row r="47930" ht="12.75"/>
    <row r="47931" ht="12.75"/>
    <row r="47932" ht="12.75"/>
    <row r="47933" ht="12.75"/>
    <row r="47934" ht="12.75"/>
    <row r="47935" ht="12.75"/>
    <row r="47936" ht="12.75"/>
    <row r="47937" ht="12.75"/>
    <row r="47938" ht="12.75"/>
    <row r="47939" ht="12.75"/>
    <row r="47940" ht="12.75"/>
    <row r="47941" ht="12.75"/>
    <row r="47942" ht="12.75"/>
    <row r="47943" ht="12.75"/>
    <row r="47944" ht="12.75"/>
    <row r="47945" ht="12.75"/>
    <row r="47946" ht="12.75"/>
    <row r="47947" ht="12.75"/>
    <row r="47948" ht="12.75"/>
    <row r="47949" ht="12.75"/>
    <row r="47950" ht="12.75"/>
    <row r="47951" ht="12.75"/>
    <row r="47952" ht="12.75"/>
    <row r="47953" ht="12.75"/>
    <row r="47954" ht="12.75"/>
    <row r="47955" ht="12.75"/>
    <row r="47956" ht="12.75"/>
    <row r="47957" ht="12.75"/>
    <row r="47958" ht="12.75"/>
    <row r="47959" ht="12.75"/>
    <row r="47960" ht="12.75"/>
    <row r="47961" ht="12.75"/>
    <row r="47962" ht="12.75"/>
    <row r="47963" ht="12.75"/>
    <row r="47964" ht="12.75"/>
    <row r="47965" ht="12.75"/>
    <row r="47966" ht="12.75"/>
    <row r="47967" ht="12.75"/>
    <row r="47968" ht="12.75"/>
    <row r="47969" ht="12.75"/>
    <row r="47970" ht="12.75"/>
    <row r="47971" ht="12.75"/>
    <row r="47972" ht="12.75"/>
    <row r="47973" ht="12.75"/>
    <row r="47974" ht="12.75"/>
    <row r="47975" ht="12.75"/>
    <row r="47976" ht="12.75"/>
    <row r="47977" ht="12.75"/>
    <row r="47978" ht="12.75"/>
    <row r="47979" ht="12.75"/>
    <row r="47980" ht="12.75"/>
    <row r="47981" ht="12.75"/>
    <row r="47982" ht="12.75"/>
    <row r="47983" ht="12.75"/>
    <row r="47984" ht="12.75"/>
    <row r="47985" ht="12.75"/>
    <row r="47986" ht="12.75"/>
    <row r="47987" ht="12.75"/>
    <row r="47988" ht="12.75"/>
    <row r="47989" ht="12.75"/>
    <row r="47990" ht="12.75"/>
    <row r="47991" ht="12.75"/>
    <row r="47992" ht="12.75"/>
    <row r="47993" ht="12.75"/>
    <row r="47994" ht="12.75"/>
    <row r="47995" ht="12.75"/>
    <row r="47996" ht="12.75"/>
    <row r="47997" ht="12.75"/>
    <row r="47998" ht="12.75"/>
    <row r="47999" ht="12.75"/>
    <row r="48000" ht="12.75"/>
    <row r="48001" ht="12.75"/>
    <row r="48002" ht="12.75"/>
    <row r="48003" ht="12.75"/>
    <row r="48004" ht="12.75"/>
    <row r="48005" ht="12.75"/>
    <row r="48006" ht="12.75"/>
    <row r="48007" ht="12.75"/>
    <row r="48008" ht="12.75"/>
    <row r="48009" ht="12.75"/>
    <row r="48010" ht="12.75"/>
    <row r="48011" ht="12.75"/>
    <row r="48012" ht="12.75"/>
    <row r="48013" ht="12.75"/>
    <row r="48014" ht="12.75"/>
    <row r="48015" ht="12.75"/>
    <row r="48016" ht="12.75"/>
    <row r="48017" ht="12.75"/>
    <row r="48018" ht="12.75"/>
    <row r="48019" ht="12.75"/>
    <row r="48020" ht="12.75"/>
    <row r="48021" ht="12.75"/>
    <row r="48022" ht="12.75"/>
    <row r="48023" ht="12.75"/>
    <row r="48024" ht="12.75"/>
    <row r="48025" ht="12.75"/>
    <row r="48026" ht="12.75"/>
    <row r="48027" ht="12.75"/>
    <row r="48028" ht="12.75"/>
    <row r="48029" ht="12.75"/>
    <row r="48030" ht="12.75"/>
    <row r="48031" ht="12.75"/>
    <row r="48032" ht="12.75"/>
    <row r="48033" ht="12.75"/>
    <row r="48034" ht="12.75"/>
    <row r="48035" ht="12.75"/>
    <row r="48036" ht="12.75"/>
    <row r="48037" ht="12.75"/>
    <row r="48038" ht="12.75"/>
    <row r="48039" ht="12.75"/>
    <row r="48040" ht="12.75"/>
    <row r="48041" ht="12.75"/>
    <row r="48042" ht="12.75"/>
    <row r="48043" ht="12.75"/>
    <row r="48044" ht="12.75"/>
    <row r="48045" ht="12.75"/>
    <row r="48046" ht="12.75"/>
    <row r="48047" ht="12.75"/>
    <row r="48048" ht="12.75"/>
    <row r="48049" ht="12.75"/>
    <row r="48050" ht="12.75"/>
    <row r="48051" ht="12.75"/>
    <row r="48052" ht="12.75"/>
    <row r="48053" ht="12.75"/>
    <row r="48054" ht="12.75"/>
    <row r="48055" ht="12.75"/>
    <row r="48056" ht="12.75"/>
    <row r="48057" ht="12.75"/>
    <row r="48058" ht="12.75"/>
    <row r="48059" ht="12.75"/>
    <row r="48060" ht="12.75"/>
    <row r="48061" ht="12.75"/>
    <row r="48062" ht="12.75"/>
    <row r="48063" ht="12.75"/>
    <row r="48064" ht="12.75"/>
    <row r="48065" ht="12.75"/>
    <row r="48066" ht="12.75"/>
    <row r="48067" ht="12.75"/>
    <row r="48068" ht="12.75"/>
    <row r="48069" ht="12.75"/>
    <row r="48070" ht="12.75"/>
    <row r="48071" ht="12.75"/>
    <row r="48072" ht="12.75"/>
    <row r="48073" ht="12.75"/>
    <row r="48074" ht="12.75"/>
    <row r="48075" ht="12.75"/>
    <row r="48076" ht="12.75"/>
    <row r="48077" ht="12.75"/>
    <row r="48078" ht="12.75"/>
    <row r="48079" ht="12.75"/>
    <row r="48080" ht="12.75"/>
    <row r="48081" ht="12.75"/>
    <row r="48082" ht="12.75"/>
    <row r="48083" ht="12.75"/>
    <row r="48084" ht="12.75"/>
    <row r="48085" ht="12.75"/>
    <row r="48086" ht="12.75"/>
    <row r="48087" ht="12.75"/>
    <row r="48088" ht="12.75"/>
    <row r="48089" ht="12.75"/>
    <row r="48090" ht="12.75"/>
    <row r="48091" ht="12.75"/>
    <row r="48092" ht="12.75"/>
    <row r="48093" ht="12.75"/>
    <row r="48094" ht="12.75"/>
    <row r="48095" ht="12.75"/>
    <row r="48096" ht="12.75"/>
    <row r="48097" ht="12.75"/>
    <row r="48098" ht="12.75"/>
    <row r="48099" ht="12.75"/>
    <row r="48100" ht="12.75"/>
    <row r="48101" ht="12.75"/>
    <row r="48102" ht="12.75"/>
    <row r="48103" ht="12.75"/>
    <row r="48104" ht="12.75"/>
    <row r="48105" ht="12.75"/>
    <row r="48106" ht="12.75"/>
    <row r="48107" ht="12.75"/>
    <row r="48108" ht="12.75"/>
    <row r="48109" ht="12.75"/>
    <row r="48110" ht="12.75"/>
    <row r="48111" ht="12.75"/>
    <row r="48112" ht="12.75"/>
    <row r="48113" ht="12.75"/>
    <row r="48114" ht="12.75"/>
    <row r="48115" ht="12.75"/>
    <row r="48116" ht="12.75"/>
    <row r="48117" ht="12.75"/>
    <row r="48118" ht="12.75"/>
    <row r="48119" ht="12.75"/>
    <row r="48120" ht="12.75"/>
    <row r="48121" ht="12.75"/>
    <row r="48122" ht="12.75"/>
    <row r="48123" ht="12.75"/>
    <row r="48124" ht="12.75"/>
    <row r="48125" ht="12.75"/>
    <row r="48126" ht="12.75"/>
    <row r="48127" ht="12.75"/>
    <row r="48128" ht="12.75"/>
    <row r="48129" ht="12.75"/>
    <row r="48130" ht="12.75"/>
    <row r="48131" ht="12.75"/>
    <row r="48132" ht="12.75"/>
    <row r="48133" ht="12.75"/>
    <row r="48134" ht="12.75"/>
    <row r="48135" ht="12.75"/>
    <row r="48136" ht="12.75"/>
    <row r="48137" ht="12.75"/>
    <row r="48138" ht="12.75"/>
    <row r="48139" ht="12.75"/>
    <row r="48140" ht="12.75"/>
    <row r="48141" ht="12.75"/>
    <row r="48142" ht="12.75"/>
    <row r="48143" ht="12.75"/>
    <row r="48144" ht="12.75"/>
    <row r="48145" ht="12.75"/>
    <row r="48146" ht="12.75"/>
    <row r="48147" ht="12.75"/>
    <row r="48148" ht="12.75"/>
    <row r="48149" ht="12.75"/>
    <row r="48150" ht="12.75"/>
    <row r="48151" ht="12.75"/>
    <row r="48152" ht="12.75"/>
    <row r="48153" ht="12.75"/>
    <row r="48154" ht="12.75"/>
    <row r="48155" ht="12.75"/>
    <row r="48156" ht="12.75"/>
    <row r="48157" ht="12.75"/>
    <row r="48158" ht="12.75"/>
    <row r="48159" ht="12.75"/>
    <row r="48160" ht="12.75"/>
    <row r="48161" ht="12.75"/>
    <row r="48162" ht="12.75"/>
    <row r="48163" ht="12.75"/>
    <row r="48164" ht="12.75"/>
    <row r="48165" ht="12.75"/>
    <row r="48166" ht="12.75"/>
    <row r="48167" ht="12.75"/>
    <row r="48168" ht="12.75"/>
    <row r="48169" ht="12.75"/>
    <row r="48170" ht="12.75"/>
    <row r="48171" ht="12.75"/>
    <row r="48172" ht="12.75"/>
    <row r="48173" ht="12.75"/>
    <row r="48174" ht="12.75"/>
    <row r="48175" ht="12.75"/>
    <row r="48176" ht="12.75"/>
    <row r="48177" ht="12.75"/>
    <row r="48178" ht="12.75"/>
    <row r="48179" ht="12.75"/>
    <row r="48180" ht="12.75"/>
    <row r="48181" ht="12.75"/>
    <row r="48182" ht="12.75"/>
    <row r="48183" ht="12.75"/>
    <row r="48184" ht="12.75"/>
    <row r="48185" ht="12.75"/>
    <row r="48186" ht="12.75"/>
    <row r="48187" ht="12.75"/>
    <row r="48188" ht="12.75"/>
    <row r="48189" ht="12.75"/>
    <row r="48190" ht="12.75"/>
    <row r="48191" ht="12.75"/>
    <row r="48192" ht="12.75"/>
    <row r="48193" ht="12.75"/>
    <row r="48194" ht="12.75"/>
    <row r="48195" ht="12.75"/>
    <row r="48196" ht="12.75"/>
    <row r="48197" ht="12.75"/>
    <row r="48198" ht="12.75"/>
    <row r="48199" ht="12.75"/>
    <row r="48200" ht="12.75"/>
    <row r="48201" ht="12.75"/>
    <row r="48202" ht="12.75"/>
    <row r="48203" ht="12.75"/>
    <row r="48204" ht="12.75"/>
    <row r="48205" ht="12.75"/>
    <row r="48206" ht="12.75"/>
    <row r="48207" ht="12.75"/>
    <row r="48208" ht="12.75"/>
    <row r="48209" ht="12.75"/>
    <row r="48210" ht="12.75"/>
    <row r="48211" ht="12.75"/>
    <row r="48212" ht="12.75"/>
    <row r="48213" ht="12.75"/>
    <row r="48214" ht="12.75"/>
    <row r="48215" ht="12.75"/>
    <row r="48216" ht="12.75"/>
    <row r="48217" ht="12.75"/>
    <row r="48218" ht="12.75"/>
    <row r="48219" ht="12.75"/>
    <row r="48220" ht="12.75"/>
    <row r="48221" ht="12.75"/>
    <row r="48222" ht="12.75"/>
    <row r="48223" ht="12.75"/>
    <row r="48224" ht="12.75"/>
    <row r="48225" ht="12.75"/>
    <row r="48226" ht="12.75"/>
    <row r="48227" ht="12.75"/>
    <row r="48228" ht="12.75"/>
    <row r="48229" ht="12.75"/>
    <row r="48230" ht="12.75"/>
    <row r="48231" ht="12.75"/>
    <row r="48232" ht="12.75"/>
    <row r="48233" ht="12.75"/>
    <row r="48234" ht="12.75"/>
    <row r="48235" ht="12.75"/>
    <row r="48236" ht="12.75"/>
    <row r="48237" ht="12.75"/>
    <row r="48238" ht="12.75"/>
    <row r="48239" ht="12.75"/>
    <row r="48240" ht="12.75"/>
    <row r="48241" ht="12.75"/>
    <row r="48242" ht="12.75"/>
    <row r="48243" ht="12.75"/>
    <row r="48244" ht="12.75"/>
    <row r="48245" ht="12.75"/>
    <row r="48246" ht="12.75"/>
    <row r="48247" ht="12.75"/>
    <row r="48248" ht="12.75"/>
    <row r="48249" ht="12.75"/>
    <row r="48250" ht="12.75"/>
    <row r="48251" ht="12.75"/>
    <row r="48252" ht="12.75"/>
    <row r="48253" ht="12.75"/>
    <row r="48254" ht="12.75"/>
    <row r="48255" ht="12.75"/>
    <row r="48256" ht="12.75"/>
    <row r="48257" ht="12.75"/>
    <row r="48258" ht="12.75"/>
    <row r="48259" ht="12.75"/>
    <row r="48260" ht="12.75"/>
    <row r="48261" ht="12.75"/>
    <row r="48262" ht="12.75"/>
    <row r="48263" ht="12.75"/>
    <row r="48264" ht="12.75"/>
    <row r="48265" ht="12.75"/>
    <row r="48266" ht="12.75"/>
    <row r="48267" ht="12.75"/>
    <row r="48268" ht="12.75"/>
    <row r="48269" ht="12.75"/>
    <row r="48270" ht="12.75"/>
    <row r="48271" ht="12.75"/>
    <row r="48272" ht="12.75"/>
    <row r="48273" ht="12.75"/>
    <row r="48274" ht="12.75"/>
    <row r="48275" ht="12.75"/>
    <row r="48276" ht="12.75"/>
    <row r="48277" ht="12.75"/>
    <row r="48278" ht="12.75"/>
    <row r="48279" ht="12.75"/>
    <row r="48280" ht="12.75"/>
    <row r="48281" ht="12.75"/>
    <row r="48282" ht="12.75"/>
    <row r="48283" ht="12.75"/>
    <row r="48284" ht="12.75"/>
    <row r="48285" ht="12.75"/>
    <row r="48286" ht="12.75"/>
    <row r="48287" ht="12.75"/>
    <row r="48288" ht="12.75"/>
    <row r="48289" ht="12.75"/>
    <row r="48290" ht="12.75"/>
    <row r="48291" ht="12.75"/>
    <row r="48292" ht="12.75"/>
    <row r="48293" ht="12.75"/>
    <row r="48294" ht="12.75"/>
    <row r="48295" ht="12.75"/>
    <row r="48296" ht="12.75"/>
    <row r="48297" ht="12.75"/>
    <row r="48298" ht="12.75"/>
    <row r="48299" ht="12.75"/>
    <row r="48300" ht="12.75"/>
    <row r="48301" ht="12.75"/>
    <row r="48302" ht="12.75"/>
    <row r="48303" ht="12.75"/>
    <row r="48304" ht="12.75"/>
    <row r="48305" ht="12.75"/>
    <row r="48306" ht="12.75"/>
    <row r="48307" ht="12.75"/>
    <row r="48308" ht="12.75"/>
    <row r="48309" ht="12.75"/>
    <row r="48310" ht="12.75"/>
    <row r="48311" ht="12.75"/>
    <row r="48312" ht="12.75"/>
    <row r="48313" ht="12.75"/>
    <row r="48314" ht="12.75"/>
    <row r="48315" ht="12.75"/>
    <row r="48316" ht="12.75"/>
    <row r="48317" ht="12.75"/>
    <row r="48318" ht="12.75"/>
    <row r="48319" ht="12.75"/>
    <row r="48320" ht="12.75"/>
    <row r="48321" ht="12.75"/>
    <row r="48322" ht="12.75"/>
    <row r="48323" ht="12.75"/>
    <row r="48324" ht="12.75"/>
    <row r="48325" ht="12.75"/>
    <row r="48326" ht="12.75"/>
    <row r="48327" ht="12.75"/>
    <row r="48328" ht="12.75"/>
    <row r="48329" ht="12.75"/>
    <row r="48330" ht="12.75"/>
    <row r="48331" ht="12.75"/>
    <row r="48332" ht="12.75"/>
    <row r="48333" ht="12.75"/>
    <row r="48334" ht="12.75"/>
    <row r="48335" ht="12.75"/>
    <row r="48336" ht="12.75"/>
    <row r="48337" ht="12.75"/>
    <row r="48338" ht="12.75"/>
    <row r="48339" ht="12.75"/>
    <row r="48340" ht="12.75"/>
    <row r="48341" ht="12.75"/>
    <row r="48342" ht="12.75"/>
    <row r="48343" ht="12.75"/>
    <row r="48344" ht="12.75"/>
    <row r="48345" ht="12.75"/>
    <row r="48346" ht="12.75"/>
    <row r="48347" ht="12.75"/>
    <row r="48348" ht="12.75"/>
    <row r="48349" ht="12.75"/>
    <row r="48350" ht="12.75"/>
    <row r="48351" ht="12.75"/>
    <row r="48352" ht="12.75"/>
    <row r="48353" ht="12.75"/>
    <row r="48354" ht="12.75"/>
    <row r="48355" ht="12.75"/>
    <row r="48356" ht="12.75"/>
    <row r="48357" ht="12.75"/>
    <row r="48358" ht="12.75"/>
    <row r="48359" ht="12.75"/>
    <row r="48360" ht="12.75"/>
    <row r="48361" ht="12.75"/>
    <row r="48362" ht="12.75"/>
    <row r="48363" ht="12.75"/>
    <row r="48364" ht="12.75"/>
    <row r="48365" ht="12.75"/>
    <row r="48366" ht="12.75"/>
    <row r="48367" ht="12.75"/>
    <row r="48368" ht="12.75"/>
    <row r="48369" ht="12.75"/>
    <row r="48370" ht="12.75"/>
    <row r="48371" ht="12.75"/>
    <row r="48372" ht="12.75"/>
    <row r="48373" ht="12.75"/>
    <row r="48374" ht="12.75"/>
    <row r="48375" ht="12.75"/>
    <row r="48376" ht="12.75"/>
    <row r="48377" ht="12.75"/>
    <row r="48378" ht="12.75"/>
    <row r="48379" ht="12.75"/>
    <row r="48380" ht="12.75"/>
    <row r="48381" ht="12.75"/>
    <row r="48382" ht="12.75"/>
    <row r="48383" ht="12.75"/>
    <row r="48384" ht="12.75"/>
    <row r="48385" ht="12.75"/>
    <row r="48386" ht="12.75"/>
    <row r="48387" ht="12.75"/>
    <row r="48388" ht="12.75"/>
    <row r="48389" ht="12.75"/>
    <row r="48390" ht="12.75"/>
    <row r="48391" ht="12.75"/>
    <row r="48392" ht="12.75"/>
    <row r="48393" ht="12.75"/>
    <row r="48394" ht="12.75"/>
    <row r="48395" ht="12.75"/>
    <row r="48396" ht="12.75"/>
    <row r="48397" ht="12.75"/>
    <row r="48398" ht="12.75"/>
    <row r="48399" ht="12.75"/>
    <row r="48400" ht="12.75"/>
    <row r="48401" ht="12.75"/>
    <row r="48402" ht="12.75"/>
    <row r="48403" ht="12.75"/>
    <row r="48404" ht="12.75"/>
    <row r="48405" ht="12.75"/>
    <row r="48406" ht="12.75"/>
    <row r="48407" ht="12.75"/>
    <row r="48408" ht="12.75"/>
    <row r="48409" ht="12.75"/>
    <row r="48410" ht="12.75"/>
    <row r="48411" ht="12.75"/>
    <row r="48412" ht="12.75"/>
    <row r="48413" ht="12.75"/>
    <row r="48414" ht="12.75"/>
    <row r="48415" ht="12.75"/>
    <row r="48416" ht="12.75"/>
    <row r="48417" ht="12.75"/>
    <row r="48418" ht="12.75"/>
    <row r="48419" ht="12.75"/>
    <row r="48420" ht="12.75"/>
    <row r="48421" ht="12.75"/>
    <row r="48422" ht="12.75"/>
    <row r="48423" ht="12.75"/>
    <row r="48424" ht="12.75"/>
    <row r="48425" ht="12.75"/>
    <row r="48426" ht="12.75"/>
    <row r="48427" ht="12.75"/>
    <row r="48428" ht="12.75"/>
    <row r="48429" ht="12.75"/>
    <row r="48430" ht="12.75"/>
    <row r="48431" ht="12.75"/>
    <row r="48432" ht="12.75"/>
    <row r="48433" ht="12.75"/>
    <row r="48434" ht="12.75"/>
    <row r="48435" ht="12.75"/>
    <row r="48436" ht="12.75"/>
    <row r="48437" ht="12.75"/>
    <row r="48438" ht="12.75"/>
    <row r="48439" ht="12.75"/>
    <row r="48440" ht="12.75"/>
    <row r="48441" ht="12.75"/>
    <row r="48442" ht="12.75"/>
    <row r="48443" ht="12.75"/>
    <row r="48444" ht="12.75"/>
    <row r="48445" ht="12.75"/>
    <row r="48446" ht="12.75"/>
    <row r="48447" ht="12.75"/>
    <row r="48448" ht="12.75"/>
    <row r="48449" ht="12.75"/>
    <row r="48450" ht="12.75"/>
    <row r="48451" ht="12.75"/>
    <row r="48452" ht="12.75"/>
    <row r="48453" ht="12.75"/>
    <row r="48454" ht="12.75"/>
    <row r="48455" ht="12.75"/>
    <row r="48456" ht="12.75"/>
    <row r="48457" ht="12.75"/>
    <row r="48458" ht="12.75"/>
    <row r="48459" ht="12.75"/>
    <row r="48460" ht="12.75"/>
    <row r="48461" ht="12.75"/>
    <row r="48462" ht="12.75"/>
    <row r="48463" ht="12.75"/>
    <row r="48464" ht="12.75"/>
    <row r="48465" ht="12.75"/>
    <row r="48466" ht="12.75"/>
    <row r="48467" ht="12.75"/>
    <row r="48468" ht="12.75"/>
    <row r="48469" ht="12.75"/>
    <row r="48470" ht="12.75"/>
    <row r="48471" ht="12.75"/>
    <row r="48472" ht="12.75"/>
    <row r="48473" ht="12.75"/>
    <row r="48474" ht="12.75"/>
    <row r="48475" ht="12.75"/>
    <row r="48476" ht="12.75"/>
    <row r="48477" ht="12.75"/>
    <row r="48478" ht="12.75"/>
    <row r="48479" ht="12.75"/>
    <row r="48480" ht="12.75"/>
    <row r="48481" ht="12.75"/>
    <row r="48482" ht="12.75"/>
    <row r="48483" ht="12.75"/>
    <row r="48484" ht="12.75"/>
    <row r="48485" ht="12.75"/>
    <row r="48486" ht="12.75"/>
    <row r="48487" ht="12.75"/>
    <row r="48488" ht="12.75"/>
    <row r="48489" ht="12.75"/>
    <row r="48490" ht="12.75"/>
    <row r="48491" ht="12.75"/>
    <row r="48492" ht="12.75"/>
    <row r="48493" ht="12.75"/>
    <row r="48494" ht="12.75"/>
    <row r="48495" ht="12.75"/>
    <row r="48496" ht="12.75"/>
    <row r="48497" ht="12.75"/>
    <row r="48498" ht="12.75"/>
    <row r="48499" ht="12.75"/>
    <row r="48500" ht="12.75"/>
    <row r="48501" ht="12.75"/>
    <row r="48502" ht="12.75"/>
    <row r="48503" ht="12.75"/>
    <row r="48504" ht="12.75"/>
    <row r="48505" ht="12.75"/>
    <row r="48506" ht="12.75"/>
    <row r="48507" ht="12.75"/>
    <row r="48508" ht="12.75"/>
    <row r="48509" ht="12.75"/>
    <row r="48510" ht="12.75"/>
    <row r="48511" ht="12.75"/>
    <row r="48512" ht="12.75"/>
    <row r="48513" ht="12.75"/>
    <row r="48514" ht="12.75"/>
    <row r="48515" ht="12.75"/>
    <row r="48516" ht="12.75"/>
    <row r="48517" ht="12.75"/>
    <row r="48518" ht="12.75"/>
    <row r="48519" ht="12.75"/>
    <row r="48520" ht="12.75"/>
    <row r="48521" ht="12.75"/>
    <row r="48522" ht="12.75"/>
    <row r="48523" ht="12.75"/>
    <row r="48524" ht="12.75"/>
    <row r="48525" ht="12.75"/>
    <row r="48526" ht="12.75"/>
    <row r="48527" ht="12.75"/>
    <row r="48528" ht="12.75"/>
    <row r="48529" ht="12.75"/>
    <row r="48530" ht="12.75"/>
    <row r="48531" ht="12.75"/>
    <row r="48532" ht="12.75"/>
    <row r="48533" ht="12.75"/>
    <row r="48534" ht="12.75"/>
    <row r="48535" ht="12.75"/>
    <row r="48536" ht="12.75"/>
    <row r="48537" ht="12.75"/>
    <row r="48538" ht="12.75"/>
    <row r="48539" ht="12.75"/>
    <row r="48540" ht="12.75"/>
    <row r="48541" ht="12.75"/>
    <row r="48542" ht="12.75"/>
    <row r="48543" ht="12.75"/>
    <row r="48544" ht="12.75"/>
    <row r="48545" ht="12.75"/>
    <row r="48546" ht="12.75"/>
    <row r="48547" ht="12.75"/>
    <row r="48548" ht="12.75"/>
    <row r="48549" ht="12.75"/>
    <row r="48550" ht="12.75"/>
    <row r="48551" ht="12.75"/>
    <row r="48552" ht="12.75"/>
    <row r="48553" ht="12.75"/>
    <row r="48554" ht="12.75"/>
    <row r="48555" ht="12.75"/>
    <row r="48556" ht="12.75"/>
    <row r="48557" ht="12.75"/>
    <row r="48558" ht="12.75"/>
    <row r="48559" ht="12.75"/>
    <row r="48560" ht="12.75"/>
    <row r="48561" ht="12.75"/>
    <row r="48562" ht="12.75"/>
    <row r="48563" ht="12.75"/>
    <row r="48564" ht="12.75"/>
    <row r="48565" ht="12.75"/>
    <row r="48566" ht="12.75"/>
    <row r="48567" ht="12.75"/>
    <row r="48568" ht="12.75"/>
    <row r="48569" ht="12.75"/>
    <row r="48570" ht="12.75"/>
    <row r="48571" ht="12.75"/>
    <row r="48572" ht="12.75"/>
    <row r="48573" ht="12.75"/>
    <row r="48574" ht="12.75"/>
    <row r="48575" ht="12.75"/>
    <row r="48576" ht="12.75"/>
    <row r="48577" ht="12.75"/>
    <row r="48578" ht="12.75"/>
    <row r="48579" ht="12.75"/>
    <row r="48580" ht="12.75"/>
    <row r="48581" ht="12.75"/>
    <row r="48582" ht="12.75"/>
    <row r="48583" ht="12.75"/>
    <row r="48584" ht="12.75"/>
    <row r="48585" ht="12.75"/>
    <row r="48586" ht="12.75"/>
    <row r="48587" ht="12.75"/>
    <row r="48588" ht="12.75"/>
    <row r="48589" ht="12.75"/>
    <row r="48590" ht="12.75"/>
    <row r="48591" ht="12.75"/>
    <row r="48592" ht="12.75"/>
    <row r="48593" ht="12.75"/>
    <row r="48594" ht="12.75"/>
    <row r="48595" ht="12.75"/>
    <row r="48596" ht="12.75"/>
    <row r="48597" ht="12.75"/>
    <row r="48598" ht="12.75"/>
    <row r="48599" ht="12.75"/>
    <row r="48600" ht="12.75"/>
    <row r="48601" ht="12.75"/>
    <row r="48602" ht="12.75"/>
    <row r="48603" ht="12.75"/>
    <row r="48604" ht="12.75"/>
    <row r="48605" ht="12.75"/>
    <row r="48606" ht="12.75"/>
    <row r="48607" ht="12.75"/>
    <row r="48608" ht="12.75"/>
    <row r="48609" ht="12.75"/>
    <row r="48610" ht="12.75"/>
    <row r="48611" ht="12.75"/>
    <row r="48612" ht="12.75"/>
    <row r="48613" ht="12.75"/>
    <row r="48614" ht="12.75"/>
    <row r="48615" ht="12.75"/>
    <row r="48616" ht="12.75"/>
    <row r="48617" ht="12.75"/>
    <row r="48618" ht="12.75"/>
    <row r="48619" ht="12.75"/>
    <row r="48620" ht="12.75"/>
    <row r="48621" ht="12.75"/>
    <row r="48622" ht="12.75"/>
    <row r="48623" ht="12.75"/>
    <row r="48624" ht="12.75"/>
    <row r="48625" ht="12.75"/>
    <row r="48626" ht="12.75"/>
    <row r="48627" ht="12.75"/>
    <row r="48628" ht="12.75"/>
    <row r="48629" ht="12.75"/>
    <row r="48630" ht="12.75"/>
    <row r="48631" ht="12.75"/>
    <row r="48632" ht="12.75"/>
    <row r="48633" ht="12.75"/>
    <row r="48634" ht="12.75"/>
    <row r="48635" ht="12.75"/>
    <row r="48636" ht="12.75"/>
    <row r="48637" ht="12.75"/>
    <row r="48638" ht="12.75"/>
    <row r="48639" ht="12.75"/>
    <row r="48640" ht="12.75"/>
    <row r="48641" ht="12.75"/>
    <row r="48642" ht="12.75"/>
    <row r="48643" ht="12.75"/>
    <row r="48644" ht="12.75"/>
    <row r="48645" ht="12.75"/>
    <row r="48646" ht="12.75"/>
    <row r="48647" ht="12.75"/>
    <row r="48648" ht="12.75"/>
    <row r="48649" ht="12.75"/>
    <row r="48650" ht="12.75"/>
    <row r="48651" ht="12.75"/>
    <row r="48652" ht="12.75"/>
    <row r="48653" ht="12.75"/>
    <row r="48654" ht="12.75"/>
    <row r="48655" ht="12.75"/>
    <row r="48656" ht="12.75"/>
    <row r="48657" ht="12.75"/>
    <row r="48658" ht="12.75"/>
    <row r="48659" ht="12.75"/>
    <row r="48660" ht="12.75"/>
    <row r="48661" ht="12.75"/>
    <row r="48662" ht="12.75"/>
    <row r="48663" ht="12.75"/>
    <row r="48664" ht="12.75"/>
    <row r="48665" ht="12.75"/>
    <row r="48666" ht="12.75"/>
    <row r="48667" ht="12.75"/>
    <row r="48668" ht="12.75"/>
    <row r="48669" ht="12.75"/>
    <row r="48670" ht="12.75"/>
    <row r="48671" ht="12.75"/>
    <row r="48672" ht="12.75"/>
    <row r="48673" ht="12.75"/>
    <row r="48674" ht="12.75"/>
    <row r="48675" ht="12.75"/>
    <row r="48676" ht="12.75"/>
    <row r="48677" ht="12.75"/>
    <row r="48678" ht="12.75"/>
    <row r="48679" ht="12.75"/>
    <row r="48680" ht="12.75"/>
    <row r="48681" ht="12.75"/>
    <row r="48682" ht="12.75"/>
    <row r="48683" ht="12.75"/>
    <row r="48684" ht="12.75"/>
    <row r="48685" ht="12.75"/>
    <row r="48686" ht="12.75"/>
    <row r="48687" ht="12.75"/>
    <row r="48688" ht="12.75"/>
    <row r="48689" ht="12.75"/>
    <row r="48690" ht="12.75"/>
    <row r="48691" ht="12.75"/>
    <row r="48692" ht="12.75"/>
    <row r="48693" ht="12.75"/>
    <row r="48694" ht="12.75"/>
    <row r="48695" ht="12.75"/>
    <row r="48696" ht="12.75"/>
    <row r="48697" ht="12.75"/>
    <row r="48698" ht="12.75"/>
    <row r="48699" ht="12.75"/>
    <row r="48700" ht="12.75"/>
    <row r="48701" ht="12.75"/>
    <row r="48702" ht="12.75"/>
    <row r="48703" ht="12.75"/>
    <row r="48704" ht="12.75"/>
    <row r="48705" ht="12.75"/>
    <row r="48706" ht="12.75"/>
    <row r="48707" ht="12.75"/>
    <row r="48708" ht="12.75"/>
    <row r="48709" ht="12.75"/>
    <row r="48710" ht="12.75"/>
    <row r="48711" ht="12.75"/>
    <row r="48712" ht="12.75"/>
    <row r="48713" ht="12.75"/>
    <row r="48714" ht="12.75"/>
    <row r="48715" ht="12.75"/>
    <row r="48716" ht="12.75"/>
    <row r="48717" ht="12.75"/>
    <row r="48718" ht="12.75"/>
    <row r="48719" ht="12.75"/>
    <row r="48720" ht="12.75"/>
    <row r="48721" ht="12.75"/>
    <row r="48722" ht="12.75"/>
    <row r="48723" ht="12.75"/>
    <row r="48724" ht="12.75"/>
    <row r="48725" ht="12.75"/>
    <row r="48726" ht="12.75"/>
    <row r="48727" ht="12.75"/>
    <row r="48728" ht="12.75"/>
    <row r="48729" ht="12.75"/>
    <row r="48730" ht="12.75"/>
    <row r="48731" ht="12.75"/>
    <row r="48732" ht="12.75"/>
    <row r="48733" ht="12.75"/>
    <row r="48734" ht="12.75"/>
    <row r="48735" ht="12.75"/>
    <row r="48736" ht="12.75"/>
    <row r="48737" ht="12.75"/>
    <row r="48738" ht="12.75"/>
    <row r="48739" ht="12.75"/>
    <row r="48740" ht="12.75"/>
    <row r="48741" ht="12.75"/>
    <row r="48742" ht="12.75"/>
    <row r="48743" ht="12.75"/>
    <row r="48744" ht="12.75"/>
    <row r="48745" ht="12.75"/>
    <row r="48746" ht="12.75"/>
    <row r="48747" ht="12.75"/>
    <row r="48748" ht="12.75"/>
    <row r="48749" ht="12.75"/>
    <row r="48750" ht="12.75"/>
    <row r="48751" ht="12.75"/>
    <row r="48752" ht="12.75"/>
    <row r="48753" ht="12.75"/>
    <row r="48754" ht="12.75"/>
    <row r="48755" ht="12.75"/>
    <row r="48756" ht="12.75"/>
    <row r="48757" ht="12.75"/>
    <row r="48758" ht="12.75"/>
    <row r="48759" ht="12.75"/>
    <row r="48760" ht="12.75"/>
    <row r="48761" ht="12.75"/>
    <row r="48762" ht="12.75"/>
    <row r="48763" ht="12.75"/>
    <row r="48764" ht="12.75"/>
    <row r="48765" ht="12.75"/>
    <row r="48766" ht="12.75"/>
    <row r="48767" ht="12.75"/>
    <row r="48768" ht="12.75"/>
    <row r="48769" ht="12.75"/>
    <row r="48770" ht="12.75"/>
    <row r="48771" ht="12.75"/>
    <row r="48772" ht="12.75"/>
    <row r="48773" ht="12.75"/>
    <row r="48774" ht="12.75"/>
    <row r="48775" ht="12.75"/>
    <row r="48776" ht="12.75"/>
    <row r="48777" ht="12.75"/>
    <row r="48778" ht="12.75"/>
    <row r="48779" ht="12.75"/>
    <row r="48780" ht="12.75"/>
    <row r="48781" ht="12.75"/>
    <row r="48782" ht="12.75"/>
    <row r="48783" ht="12.75"/>
    <row r="48784" ht="12.75"/>
    <row r="48785" ht="12.75"/>
    <row r="48786" ht="12.75"/>
    <row r="48787" ht="12.75"/>
    <row r="48788" ht="12.75"/>
    <row r="48789" ht="12.75"/>
    <row r="48790" ht="12.75"/>
    <row r="48791" ht="12.75"/>
    <row r="48792" ht="12.75"/>
    <row r="48793" ht="12.75"/>
    <row r="48794" ht="12.75"/>
    <row r="48795" ht="12.75"/>
    <row r="48796" ht="12.75"/>
    <row r="48797" ht="12.75"/>
    <row r="48798" ht="12.75"/>
    <row r="48799" ht="12.75"/>
    <row r="48800" ht="12.75"/>
    <row r="48801" ht="12.75"/>
    <row r="48802" ht="12.75"/>
    <row r="48803" ht="12.75"/>
    <row r="48804" ht="12.75"/>
    <row r="48805" ht="12.75"/>
    <row r="48806" ht="12.75"/>
    <row r="48807" ht="12.75"/>
    <row r="48808" ht="12.75"/>
    <row r="48809" ht="12.75"/>
    <row r="48810" ht="12.75"/>
    <row r="48811" ht="12.75"/>
    <row r="48812" ht="12.75"/>
    <row r="48813" ht="12.75"/>
    <row r="48814" ht="12.75"/>
    <row r="48815" ht="12.75"/>
    <row r="48816" ht="12.75"/>
    <row r="48817" ht="12.75"/>
    <row r="48818" ht="12.75"/>
    <row r="48819" ht="12.75"/>
    <row r="48820" ht="12.75"/>
    <row r="48821" ht="12.75"/>
    <row r="48822" ht="12.75"/>
    <row r="48823" ht="12.75"/>
    <row r="48824" ht="12.75"/>
    <row r="48825" ht="12.75"/>
    <row r="48826" ht="12.75"/>
    <row r="48827" ht="12.75"/>
    <row r="48828" ht="12.75"/>
    <row r="48829" ht="12.75"/>
    <row r="48830" ht="12.75"/>
    <row r="48831" ht="12.75"/>
    <row r="48832" ht="12.75"/>
    <row r="48833" ht="12.75"/>
    <row r="48834" ht="12.75"/>
    <row r="48835" ht="12.75"/>
    <row r="48836" ht="12.75"/>
    <row r="48837" ht="12.75"/>
    <row r="48838" ht="12.75"/>
    <row r="48839" ht="12.75"/>
    <row r="48840" ht="12.75"/>
    <row r="48841" ht="12.75"/>
    <row r="48842" ht="12.75"/>
    <row r="48843" ht="12.75"/>
    <row r="48844" ht="12.75"/>
    <row r="48845" ht="12.75"/>
    <row r="48846" ht="12.75"/>
    <row r="48847" ht="12.75"/>
    <row r="48848" ht="12.75"/>
    <row r="48849" ht="12.75"/>
    <row r="48850" ht="12.75"/>
    <row r="48851" ht="12.75"/>
    <row r="48852" ht="12.75"/>
    <row r="48853" ht="12.75"/>
    <row r="48854" ht="12.75"/>
    <row r="48855" ht="12.75"/>
    <row r="48856" ht="12.75"/>
    <row r="48857" ht="12.75"/>
    <row r="48858" ht="12.75"/>
    <row r="48859" ht="12.75"/>
    <row r="48860" ht="12.75"/>
    <row r="48861" ht="12.75"/>
    <row r="48862" ht="12.75"/>
    <row r="48863" ht="12.75"/>
    <row r="48864" ht="12.75"/>
    <row r="48865" ht="12.75"/>
    <row r="48866" ht="12.75"/>
    <row r="48867" ht="12.75"/>
    <row r="48868" ht="12.75"/>
    <row r="48869" ht="12.75"/>
    <row r="48870" ht="12.75"/>
    <row r="48871" ht="12.75"/>
    <row r="48872" ht="12.75"/>
    <row r="48873" ht="12.75"/>
    <row r="48874" ht="12.75"/>
    <row r="48875" ht="12.75"/>
    <row r="48876" ht="12.75"/>
    <row r="48877" ht="12.75"/>
    <row r="48878" ht="12.75"/>
    <row r="48879" ht="12.75"/>
    <row r="48880" ht="12.75"/>
    <row r="48881" ht="12.75"/>
    <row r="48882" ht="12.75"/>
    <row r="48883" ht="12.75"/>
    <row r="48884" ht="12.75"/>
    <row r="48885" ht="12.75"/>
    <row r="48886" ht="12.75"/>
    <row r="48887" ht="12.75"/>
    <row r="48888" ht="12.75"/>
    <row r="48889" ht="12.75"/>
    <row r="48890" ht="12.75"/>
    <row r="48891" ht="12.75"/>
    <row r="48892" ht="12.75"/>
    <row r="48893" ht="12.75"/>
    <row r="48894" ht="12.75"/>
    <row r="48895" ht="12.75"/>
    <row r="48896" ht="12.75"/>
    <row r="48897" ht="12.75"/>
    <row r="48898" ht="12.75"/>
    <row r="48899" ht="12.75"/>
    <row r="48900" ht="12.75"/>
    <row r="48901" ht="12.75"/>
    <row r="48902" ht="12.75"/>
    <row r="48903" ht="12.75"/>
    <row r="48904" ht="12.75"/>
    <row r="48905" ht="12.75"/>
    <row r="48906" ht="12.75"/>
    <row r="48907" ht="12.75"/>
    <row r="48908" ht="12.75"/>
    <row r="48909" ht="12.75"/>
    <row r="48910" ht="12.75"/>
    <row r="48911" ht="12.75"/>
    <row r="48912" ht="12.75"/>
    <row r="48913" ht="12.75"/>
    <row r="48914" ht="12.75"/>
    <row r="48915" ht="12.75"/>
    <row r="48916" ht="12.75"/>
    <row r="48917" ht="12.75"/>
    <row r="48918" ht="12.75"/>
    <row r="48919" ht="12.75"/>
    <row r="48920" ht="12.75"/>
    <row r="48921" ht="12.75"/>
    <row r="48922" ht="12.75"/>
    <row r="48923" ht="12.75"/>
    <row r="48924" ht="12.75"/>
    <row r="48925" ht="12.75"/>
    <row r="48926" ht="12.75"/>
    <row r="48927" ht="12.75"/>
    <row r="48928" ht="12.75"/>
    <row r="48929" ht="12.75"/>
    <row r="48930" ht="12.75"/>
    <row r="48931" ht="12.75"/>
    <row r="48932" ht="12.75"/>
    <row r="48933" ht="12.75"/>
    <row r="48934" ht="12.75"/>
    <row r="48935" ht="12.75"/>
    <row r="48936" ht="12.75"/>
    <row r="48937" ht="12.75"/>
    <row r="48938" ht="12.75"/>
    <row r="48939" ht="12.75"/>
    <row r="48940" ht="12.75"/>
    <row r="48941" ht="12.75"/>
    <row r="48942" ht="12.75"/>
    <row r="48943" ht="12.75"/>
    <row r="48944" ht="12.75"/>
    <row r="48945" ht="12.75"/>
    <row r="48946" ht="12.75"/>
    <row r="48947" ht="12.75"/>
    <row r="48948" ht="12.75"/>
    <row r="48949" ht="12.75"/>
    <row r="48950" ht="12.75"/>
    <row r="48951" ht="12.75"/>
    <row r="48952" ht="12.75"/>
    <row r="48953" ht="12.75"/>
    <row r="48954" ht="12.75"/>
    <row r="48955" ht="12.75"/>
    <row r="48956" ht="12.75"/>
    <row r="48957" ht="12.75"/>
    <row r="48958" ht="12.75"/>
    <row r="48959" ht="12.75"/>
    <row r="48960" ht="12.75"/>
    <row r="48961" ht="12.75"/>
    <row r="48962" ht="12.75"/>
    <row r="48963" ht="12.75"/>
    <row r="48964" ht="12.75"/>
    <row r="48965" ht="12.75"/>
    <row r="48966" ht="12.75"/>
    <row r="48967" ht="12.75"/>
    <row r="48968" ht="12.75"/>
    <row r="48969" ht="12.75"/>
    <row r="48970" ht="12.75"/>
    <row r="48971" ht="12.75"/>
    <row r="48972" ht="12.75"/>
    <row r="48973" ht="12.75"/>
    <row r="48974" ht="12.75"/>
    <row r="48975" ht="12.75"/>
    <row r="48976" ht="12.75"/>
    <row r="48977" ht="12.75"/>
    <row r="48978" ht="12.75"/>
    <row r="48979" ht="12.75"/>
    <row r="48980" ht="12.75"/>
    <row r="48981" ht="12.75"/>
    <row r="48982" ht="12.75"/>
    <row r="48983" ht="12.75"/>
    <row r="48984" ht="12.75"/>
    <row r="48985" ht="12.75"/>
    <row r="48986" ht="12.75"/>
    <row r="48987" ht="12.75"/>
    <row r="48988" ht="12.75"/>
    <row r="48989" ht="12.75"/>
    <row r="48990" ht="12.75"/>
    <row r="48991" ht="12.75"/>
    <row r="48992" ht="12.75"/>
    <row r="48993" ht="12.75"/>
    <row r="48994" ht="12.75"/>
    <row r="48995" ht="12.75"/>
    <row r="48996" ht="12.75"/>
    <row r="48997" ht="12.75"/>
    <row r="48998" ht="12.75"/>
    <row r="48999" ht="12.75"/>
    <row r="49000" ht="12.75"/>
    <row r="49001" ht="12.75"/>
    <row r="49002" ht="12.75"/>
    <row r="49003" ht="12.75"/>
    <row r="49004" ht="12.75"/>
    <row r="49005" ht="12.75"/>
    <row r="49006" ht="12.75"/>
    <row r="49007" ht="12.75"/>
    <row r="49008" ht="12.75"/>
    <row r="49009" ht="12.75"/>
    <row r="49010" ht="12.75"/>
    <row r="49011" ht="12.75"/>
    <row r="49012" ht="12.75"/>
    <row r="49013" ht="12.75"/>
    <row r="49014" ht="12.75"/>
    <row r="49015" ht="12.75"/>
    <row r="49016" ht="12.75"/>
    <row r="49017" ht="12.75"/>
    <row r="49018" ht="12.75"/>
    <row r="49019" ht="12.75"/>
    <row r="49020" ht="12.75"/>
    <row r="49021" ht="12.75"/>
    <row r="49022" ht="12.75"/>
    <row r="49023" ht="12.75"/>
    <row r="49024" ht="12.75"/>
    <row r="49025" ht="12.75"/>
    <row r="49026" ht="12.75"/>
    <row r="49027" ht="12.75"/>
    <row r="49028" ht="12.75"/>
    <row r="49029" ht="12.75"/>
    <row r="49030" ht="12.75"/>
    <row r="49031" ht="12.75"/>
    <row r="49032" ht="12.75"/>
    <row r="49033" ht="12.75"/>
    <row r="49034" ht="12.75"/>
    <row r="49035" ht="12.75"/>
    <row r="49036" ht="12.75"/>
    <row r="49037" ht="12.75"/>
    <row r="49038" ht="12.75"/>
    <row r="49039" ht="12.75"/>
    <row r="49040" ht="12.75"/>
    <row r="49041" ht="12.75"/>
    <row r="49042" ht="12.75"/>
    <row r="49043" ht="12.75"/>
    <row r="49044" ht="12.75"/>
    <row r="49045" ht="12.75"/>
    <row r="49046" ht="12.75"/>
    <row r="49047" ht="12.75"/>
    <row r="49048" ht="12.75"/>
    <row r="49049" ht="12.75"/>
    <row r="49050" ht="12.75"/>
    <row r="49051" ht="12.75"/>
    <row r="49052" ht="12.75"/>
    <row r="49053" ht="12.75"/>
    <row r="49054" ht="12.75"/>
    <row r="49055" ht="12.75"/>
    <row r="49056" ht="12.75"/>
    <row r="49057" ht="12.75"/>
    <row r="49058" ht="12.75"/>
    <row r="49059" ht="12.75"/>
    <row r="49060" ht="12.75"/>
    <row r="49061" ht="12.75"/>
    <row r="49062" ht="12.75"/>
    <row r="49063" ht="12.75"/>
    <row r="49064" ht="12.75"/>
    <row r="49065" ht="12.75"/>
    <row r="49066" ht="12.75"/>
    <row r="49067" ht="12.75"/>
    <row r="49068" ht="12.75"/>
    <row r="49069" ht="12.75"/>
    <row r="49070" ht="12.75"/>
    <row r="49071" ht="12.75"/>
    <row r="49072" ht="12.75"/>
    <row r="49073" ht="12.75"/>
    <row r="49074" ht="12.75"/>
    <row r="49075" ht="12.75"/>
    <row r="49076" ht="12.75"/>
    <row r="49077" ht="12.75"/>
    <row r="49078" ht="12.75"/>
    <row r="49079" ht="12.75"/>
    <row r="49080" ht="12.75"/>
    <row r="49081" ht="12.75"/>
    <row r="49082" ht="12.75"/>
    <row r="49083" ht="12.75"/>
    <row r="49084" ht="12.75"/>
    <row r="49085" ht="12.75"/>
    <row r="49086" ht="12.75"/>
    <row r="49087" ht="12.75"/>
    <row r="49088" ht="12.75"/>
    <row r="49089" ht="12.75"/>
    <row r="49090" ht="12.75"/>
    <row r="49091" ht="12.75"/>
    <row r="49092" ht="12.75"/>
    <row r="49093" ht="12.75"/>
    <row r="49094" ht="12.75"/>
    <row r="49095" ht="12.75"/>
    <row r="49096" ht="12.75"/>
    <row r="49097" ht="12.75"/>
    <row r="49098" ht="12.75"/>
    <row r="49099" ht="12.75"/>
    <row r="49100" ht="12.75"/>
    <row r="49101" ht="12.75"/>
    <row r="49102" ht="12.75"/>
    <row r="49103" ht="12.75"/>
    <row r="49104" ht="12.75"/>
    <row r="49105" ht="12.75"/>
    <row r="49106" ht="12.75"/>
    <row r="49107" ht="12.75"/>
    <row r="49108" ht="12.75"/>
    <row r="49109" ht="12.75"/>
    <row r="49110" ht="12.75"/>
    <row r="49111" ht="12.75"/>
    <row r="49112" ht="12.75"/>
    <row r="49113" ht="12.75"/>
    <row r="49114" ht="12.75"/>
    <row r="49115" ht="12.75"/>
    <row r="49116" ht="12.75"/>
    <row r="49117" ht="12.75"/>
    <row r="49118" ht="12.75"/>
    <row r="49119" ht="12.75"/>
    <row r="49120" ht="12.75"/>
    <row r="49121" ht="12.75"/>
    <row r="49122" ht="12.75"/>
    <row r="49123" ht="12.75"/>
    <row r="49124" ht="12.75"/>
    <row r="49125" ht="12.75"/>
    <row r="49126" ht="12.75"/>
    <row r="49127" ht="12.75"/>
    <row r="49128" ht="12.75"/>
    <row r="49129" ht="12.75"/>
    <row r="49130" ht="12.75"/>
    <row r="49131" ht="12.75"/>
    <row r="49132" ht="12.75"/>
    <row r="49133" ht="12.75"/>
    <row r="49134" ht="12.75"/>
    <row r="49135" ht="12.75"/>
    <row r="49136" ht="12.75"/>
    <row r="49137" ht="12.75"/>
    <row r="49138" ht="12.75"/>
    <row r="49139" ht="12.75"/>
    <row r="49140" ht="12.75"/>
    <row r="49141" ht="12.75"/>
    <row r="49142" ht="12.75"/>
    <row r="49143" ht="12.75"/>
    <row r="49144" ht="12.75"/>
    <row r="49145" ht="12.75"/>
    <row r="49146" ht="12.75"/>
    <row r="49147" ht="12.75"/>
    <row r="49148" ht="12.75"/>
    <row r="49149" ht="12.75"/>
    <row r="49150" ht="12.75"/>
    <row r="49151" ht="12.75"/>
    <row r="49152" ht="12.75"/>
    <row r="49153" ht="12.75"/>
    <row r="49154" ht="12.75"/>
    <row r="49155" ht="12.75"/>
    <row r="49156" ht="12.75"/>
    <row r="49157" ht="12.75"/>
    <row r="49158" ht="12.75"/>
    <row r="49159" ht="12.75"/>
    <row r="49160" ht="12.75"/>
    <row r="49161" ht="12.75"/>
    <row r="49162" ht="12.75"/>
    <row r="49163" ht="12.75"/>
    <row r="49164" ht="12.75"/>
    <row r="49165" ht="12.75"/>
    <row r="49166" ht="12.75"/>
    <row r="49167" ht="12.75"/>
    <row r="49168" ht="12.75"/>
    <row r="49169" ht="12.75"/>
    <row r="49170" ht="12.75"/>
    <row r="49171" ht="12.75"/>
    <row r="49172" ht="12.75"/>
    <row r="49173" ht="12.75"/>
    <row r="49174" ht="12.75"/>
    <row r="49175" ht="12.75"/>
    <row r="49176" ht="12.75"/>
    <row r="49177" ht="12.75"/>
    <row r="49178" ht="12.75"/>
    <row r="49179" ht="12.75"/>
    <row r="49180" ht="12.75"/>
    <row r="49181" ht="12.75"/>
    <row r="49182" ht="12.75"/>
    <row r="49183" ht="12.75"/>
    <row r="49184" ht="12.75"/>
    <row r="49185" ht="12.75"/>
    <row r="49186" ht="12.75"/>
    <row r="49187" ht="12.75"/>
    <row r="49188" ht="12.75"/>
    <row r="49189" ht="12.75"/>
    <row r="49190" ht="12.75"/>
    <row r="49191" ht="12.75"/>
    <row r="49192" ht="12.75"/>
    <row r="49193" ht="12.75"/>
    <row r="49194" ht="12.75"/>
    <row r="49195" ht="12.75"/>
    <row r="49196" ht="12.75"/>
    <row r="49197" ht="12.75"/>
    <row r="49198" ht="12.75"/>
    <row r="49199" ht="12.75"/>
    <row r="49200" ht="12.75"/>
    <row r="49201" ht="12.75"/>
    <row r="49202" ht="12.75"/>
    <row r="49203" ht="12.75"/>
    <row r="49204" ht="12.75"/>
    <row r="49205" ht="12.75"/>
    <row r="49206" ht="12.75"/>
    <row r="49207" ht="12.75"/>
    <row r="49208" ht="12.75"/>
    <row r="49209" ht="12.75"/>
    <row r="49210" ht="12.75"/>
    <row r="49211" ht="12.75"/>
    <row r="49212" ht="12.75"/>
    <row r="49213" ht="12.75"/>
    <row r="49214" ht="12.75"/>
    <row r="49215" ht="12.75"/>
    <row r="49216" ht="12.75"/>
    <row r="49217" ht="12.75"/>
    <row r="49218" ht="12.75"/>
    <row r="49219" ht="12.75"/>
    <row r="49220" ht="12.75"/>
    <row r="49221" ht="12.75"/>
    <row r="49222" ht="12.75"/>
    <row r="49223" ht="12.75"/>
    <row r="49224" ht="12.75"/>
    <row r="49225" ht="12.75"/>
    <row r="49226" ht="12.75"/>
    <row r="49227" ht="12.75"/>
    <row r="49228" ht="12.75"/>
    <row r="49229" ht="12.75"/>
    <row r="49230" ht="12.75"/>
    <row r="49231" ht="12.75"/>
    <row r="49232" ht="12.75"/>
    <row r="49233" ht="12.75"/>
    <row r="49234" ht="12.75"/>
    <row r="49235" ht="12.75"/>
    <row r="49236" ht="12.75"/>
    <row r="49237" ht="12.75"/>
    <row r="49238" ht="12.75"/>
    <row r="49239" ht="12.75"/>
    <row r="49240" ht="12.75"/>
    <row r="49241" ht="12.75"/>
    <row r="49242" ht="12.75"/>
    <row r="49243" ht="12.75"/>
    <row r="49244" ht="12.75"/>
    <row r="49245" ht="12.75"/>
    <row r="49246" ht="12.75"/>
    <row r="49247" ht="12.75"/>
    <row r="49248" ht="12.75"/>
    <row r="49249" ht="12.75"/>
    <row r="49250" ht="12.75"/>
    <row r="49251" ht="12.75"/>
    <row r="49252" ht="12.75"/>
    <row r="49253" ht="12.75"/>
    <row r="49254" ht="12.75"/>
    <row r="49255" ht="12.75"/>
    <row r="49256" ht="12.75"/>
    <row r="49257" ht="12.75"/>
    <row r="49258" ht="12.75"/>
    <row r="49259" ht="12.75"/>
    <row r="49260" ht="12.75"/>
    <row r="49261" ht="12.75"/>
    <row r="49262" ht="12.75"/>
    <row r="49263" ht="12.75"/>
    <row r="49264" ht="12.75"/>
    <row r="49265" ht="12.75"/>
    <row r="49266" ht="12.75"/>
    <row r="49267" ht="12.75"/>
    <row r="49268" ht="12.75"/>
    <row r="49269" ht="12.75"/>
    <row r="49270" ht="12.75"/>
    <row r="49271" ht="12.75"/>
    <row r="49272" ht="12.75"/>
    <row r="49273" ht="12.75"/>
    <row r="49274" ht="12.75"/>
    <row r="49275" ht="12.75"/>
    <row r="49276" ht="12.75"/>
    <row r="49277" ht="12.75"/>
    <row r="49278" ht="12.75"/>
    <row r="49279" ht="12.75"/>
    <row r="49280" ht="12.75"/>
    <row r="49281" ht="12.75"/>
    <row r="49282" ht="12.75"/>
    <row r="49283" ht="12.75"/>
    <row r="49284" ht="12.75"/>
    <row r="49285" ht="12.75"/>
    <row r="49286" ht="12.75"/>
    <row r="49287" ht="12.75"/>
    <row r="49288" ht="12.75"/>
    <row r="49289" ht="12.75"/>
    <row r="49290" ht="12.75"/>
    <row r="49291" ht="12.75"/>
    <row r="49292" ht="12.75"/>
    <row r="49293" ht="12.75"/>
    <row r="49294" ht="12.75"/>
    <row r="49295" ht="12.75"/>
    <row r="49296" ht="12.75"/>
    <row r="49297" ht="12.75"/>
    <row r="49298" ht="12.75"/>
    <row r="49299" ht="12.75"/>
    <row r="49300" ht="12.75"/>
    <row r="49301" ht="12.75"/>
    <row r="49302" ht="12.75"/>
    <row r="49303" ht="12.75"/>
    <row r="49304" ht="12.75"/>
    <row r="49305" ht="12.75"/>
    <row r="49306" ht="12.75"/>
    <row r="49307" ht="12.75"/>
    <row r="49308" ht="12.75"/>
    <row r="49309" ht="12.75"/>
    <row r="49310" ht="12.75"/>
    <row r="49311" ht="12.75"/>
    <row r="49312" ht="12.75"/>
    <row r="49313" ht="12.75"/>
    <row r="49314" ht="12.75"/>
    <row r="49315" ht="12.75"/>
    <row r="49316" ht="12.75"/>
    <row r="49317" ht="12.75"/>
    <row r="49318" ht="12.75"/>
    <row r="49319" ht="12.75"/>
    <row r="49320" ht="12.75"/>
    <row r="49321" ht="12.75"/>
    <row r="49322" ht="12.75"/>
    <row r="49323" ht="12.75"/>
    <row r="49324" ht="12.75"/>
    <row r="49325" ht="12.75"/>
    <row r="49326" ht="12.75"/>
    <row r="49327" ht="12.75"/>
    <row r="49328" ht="12.75"/>
    <row r="49329" ht="12.75"/>
    <row r="49330" ht="12.75"/>
    <row r="49331" ht="12.75"/>
    <row r="49332" ht="12.75"/>
    <row r="49333" ht="12.75"/>
    <row r="49334" ht="12.75"/>
    <row r="49335" ht="12.75"/>
    <row r="49336" ht="12.75"/>
    <row r="49337" ht="12.75"/>
    <row r="49338" ht="12.75"/>
    <row r="49339" ht="12.75"/>
    <row r="49340" ht="12.75"/>
    <row r="49341" ht="12.75"/>
    <row r="49342" ht="12.75"/>
    <row r="49343" ht="12.75"/>
    <row r="49344" ht="12.75"/>
    <row r="49345" ht="12.75"/>
    <row r="49346" ht="12.75"/>
    <row r="49347" ht="12.75"/>
    <row r="49348" ht="12.75"/>
    <row r="49349" ht="12.75"/>
    <row r="49350" ht="12.75"/>
    <row r="49351" ht="12.75"/>
    <row r="49352" ht="12.75"/>
    <row r="49353" ht="12.75"/>
    <row r="49354" ht="12.75"/>
    <row r="49355" ht="12.75"/>
    <row r="49356" ht="12.75"/>
    <row r="49357" ht="12.75"/>
    <row r="49358" ht="12.75"/>
    <row r="49359" ht="12.75"/>
    <row r="49360" ht="12.75"/>
    <row r="49361" ht="12.75"/>
    <row r="49362" ht="12.75"/>
    <row r="49363" ht="12.75"/>
    <row r="49364" ht="12.75"/>
    <row r="49365" ht="12.75"/>
    <row r="49366" ht="12.75"/>
    <row r="49367" ht="12.75"/>
    <row r="49368" ht="12.75"/>
    <row r="49369" ht="12.75"/>
    <row r="49370" ht="12.75"/>
    <row r="49371" ht="12.75"/>
    <row r="49372" ht="12.75"/>
    <row r="49373" ht="12.75"/>
    <row r="49374" ht="12.75"/>
    <row r="49375" ht="12.75"/>
    <row r="49376" ht="12.75"/>
    <row r="49377" ht="12.75"/>
    <row r="49378" ht="12.75"/>
    <row r="49379" ht="12.75"/>
    <row r="49380" ht="12.75"/>
    <row r="49381" ht="12.75"/>
    <row r="49382" ht="12.75"/>
    <row r="49383" ht="12.75"/>
    <row r="49384" ht="12.75"/>
    <row r="49385" ht="12.75"/>
    <row r="49386" ht="12.75"/>
    <row r="49387" ht="12.75"/>
    <row r="49388" ht="12.75"/>
    <row r="49389" ht="12.75"/>
    <row r="49390" ht="12.75"/>
    <row r="49391" ht="12.75"/>
    <row r="49392" ht="12.75"/>
    <row r="49393" ht="12.75"/>
    <row r="49394" ht="12.75"/>
    <row r="49395" ht="12.75"/>
    <row r="49396" ht="12.75"/>
    <row r="49397" ht="12.75"/>
    <row r="49398" ht="12.75"/>
    <row r="49399" ht="12.75"/>
    <row r="49400" ht="12.75"/>
    <row r="49401" ht="12.75"/>
    <row r="49402" ht="12.75"/>
    <row r="49403" ht="12.75"/>
    <row r="49404" ht="12.75"/>
    <row r="49405" ht="12.75"/>
    <row r="49406" ht="12.75"/>
    <row r="49407" ht="12.75"/>
    <row r="49408" ht="12.75"/>
    <row r="49409" ht="12.75"/>
    <row r="49410" ht="12.75"/>
    <row r="49411" ht="12.75"/>
    <row r="49412" ht="12.75"/>
    <row r="49413" ht="12.75"/>
    <row r="49414" ht="12.75"/>
    <row r="49415" ht="12.75"/>
    <row r="49416" ht="12.75"/>
    <row r="49417" ht="12.75"/>
    <row r="49418" ht="12.75"/>
    <row r="49419" ht="12.75"/>
    <row r="49420" ht="12.75"/>
    <row r="49421" ht="12.75"/>
    <row r="49422" ht="12.75"/>
    <row r="49423" ht="12.75"/>
    <row r="49424" ht="12.75"/>
    <row r="49425" ht="12.75"/>
    <row r="49426" ht="12.75"/>
    <row r="49427" ht="12.75"/>
    <row r="49428" ht="12.75"/>
    <row r="49429" ht="12.75"/>
    <row r="49430" ht="12.75"/>
    <row r="49431" ht="12.75"/>
    <row r="49432" ht="12.75"/>
    <row r="49433" ht="12.75"/>
    <row r="49434" ht="12.75"/>
    <row r="49435" ht="12.75"/>
    <row r="49436" ht="12.75"/>
    <row r="49437" ht="12.75"/>
    <row r="49438" ht="12.75"/>
    <row r="49439" ht="12.75"/>
    <row r="49440" ht="12.75"/>
    <row r="49441" ht="12.75"/>
    <row r="49442" ht="12.75"/>
    <row r="49443" ht="12.75"/>
    <row r="49444" ht="12.75"/>
    <row r="49445" ht="12.75"/>
    <row r="49446" ht="12.75"/>
    <row r="49447" ht="12.75"/>
    <row r="49448" ht="12.75"/>
    <row r="49449" ht="12.75"/>
    <row r="49450" ht="12.75"/>
    <row r="49451" ht="12.75"/>
    <row r="49452" ht="12.75"/>
    <row r="49453" ht="12.75"/>
    <row r="49454" ht="12.75"/>
    <row r="49455" ht="12.75"/>
    <row r="49456" ht="12.75"/>
    <row r="49457" ht="12.75"/>
    <row r="49458" ht="12.75"/>
    <row r="49459" ht="12.75"/>
    <row r="49460" ht="12.75"/>
    <row r="49461" ht="12.75"/>
    <row r="49462" ht="12.75"/>
    <row r="49463" ht="12.75"/>
    <row r="49464" ht="12.75"/>
    <row r="49465" ht="12.75"/>
    <row r="49466" ht="12.75"/>
    <row r="49467" ht="12.75"/>
    <row r="49468" ht="12.75"/>
    <row r="49469" ht="12.75"/>
    <row r="49470" ht="12.75"/>
    <row r="49471" ht="12.75"/>
    <row r="49472" ht="12.75"/>
    <row r="49473" ht="12.75"/>
    <row r="49474" ht="12.75"/>
    <row r="49475" ht="12.75"/>
    <row r="49476" ht="12.75"/>
    <row r="49477" ht="12.75"/>
    <row r="49478" ht="12.75"/>
    <row r="49479" ht="12.75"/>
    <row r="49480" ht="12.75"/>
    <row r="49481" ht="12.75"/>
    <row r="49482" ht="12.75"/>
    <row r="49483" ht="12.75"/>
    <row r="49484" ht="12.75"/>
    <row r="49485" ht="12.75"/>
    <row r="49486" ht="12.75"/>
    <row r="49487" ht="12.75"/>
    <row r="49488" ht="12.75"/>
    <row r="49489" ht="12.75"/>
    <row r="49490" ht="12.75"/>
    <row r="49491" ht="12.75"/>
    <row r="49492" ht="12.75"/>
    <row r="49493" ht="12.75"/>
    <row r="49494" ht="12.75"/>
    <row r="49495" ht="12.75"/>
    <row r="49496" ht="12.75"/>
    <row r="49497" ht="12.75"/>
    <row r="49498" ht="12.75"/>
    <row r="49499" ht="12.75"/>
    <row r="49500" ht="12.75"/>
    <row r="49501" ht="12.75"/>
    <row r="49502" ht="12.75"/>
    <row r="49503" ht="12.75"/>
    <row r="49504" ht="12.75"/>
    <row r="49505" ht="12.75"/>
    <row r="49506" ht="12.75"/>
    <row r="49507" ht="12.75"/>
    <row r="49508" ht="12.75"/>
    <row r="49509" ht="12.75"/>
    <row r="49510" ht="12.75"/>
    <row r="49511" ht="12.75"/>
    <row r="49512" ht="12.75"/>
    <row r="49513" ht="12.75"/>
    <row r="49514" ht="12.75"/>
    <row r="49515" ht="12.75"/>
    <row r="49516" ht="12.75"/>
    <row r="49517" ht="12.75"/>
    <row r="49518" ht="12.75"/>
    <row r="49519" ht="12.75"/>
    <row r="49520" ht="12.75"/>
    <row r="49521" ht="12.75"/>
    <row r="49522" ht="12.75"/>
    <row r="49523" ht="12.75"/>
    <row r="49524" ht="12.75"/>
    <row r="49525" ht="12.75"/>
    <row r="49526" ht="12.75"/>
    <row r="49527" ht="12.75"/>
    <row r="49528" ht="12.75"/>
    <row r="49529" ht="12.75"/>
    <row r="49530" ht="12.75"/>
    <row r="49531" ht="12.75"/>
    <row r="49532" ht="12.75"/>
    <row r="49533" ht="12.75"/>
    <row r="49534" ht="12.75"/>
    <row r="49535" ht="12.75"/>
    <row r="49536" ht="12.75"/>
    <row r="49537" ht="12.75"/>
    <row r="49538" ht="12.75"/>
    <row r="49539" ht="12.75"/>
    <row r="49540" ht="12.75"/>
    <row r="49541" ht="12.75"/>
    <row r="49542" ht="12.75"/>
    <row r="49543" ht="12.75"/>
    <row r="49544" ht="12.75"/>
    <row r="49545" ht="12.75"/>
    <row r="49546" ht="12.75"/>
    <row r="49547" ht="12.75"/>
    <row r="49548" ht="12.75"/>
    <row r="49549" ht="12.75"/>
    <row r="49550" ht="12.75"/>
    <row r="49551" ht="12.75"/>
    <row r="49552" ht="12.75"/>
    <row r="49553" ht="12.75"/>
    <row r="49554" ht="12.75"/>
    <row r="49555" ht="12.75"/>
    <row r="49556" ht="12.75"/>
    <row r="49557" ht="12.75"/>
    <row r="49558" ht="12.75"/>
    <row r="49559" ht="12.75"/>
    <row r="49560" ht="12.75"/>
    <row r="49561" ht="12.75"/>
    <row r="49562" ht="12.75"/>
    <row r="49563" ht="12.75"/>
    <row r="49564" ht="12.75"/>
    <row r="49565" ht="12.75"/>
    <row r="49566" ht="12.75"/>
    <row r="49567" ht="12.75"/>
    <row r="49568" ht="12.75"/>
    <row r="49569" ht="12.75"/>
    <row r="49570" ht="12.75"/>
    <row r="49571" ht="12.75"/>
    <row r="49572" ht="12.75"/>
    <row r="49573" ht="12.75"/>
    <row r="49574" ht="12.75"/>
    <row r="49575" ht="12.75"/>
    <row r="49576" ht="12.75"/>
    <row r="49577" ht="12.75"/>
    <row r="49578" ht="12.75"/>
    <row r="49579" ht="12.75"/>
    <row r="49580" ht="12.75"/>
    <row r="49581" ht="12.75"/>
    <row r="49582" ht="12.75"/>
    <row r="49583" ht="12.75"/>
    <row r="49584" ht="12.75"/>
    <row r="49585" ht="12.75"/>
    <row r="49586" ht="12.75"/>
    <row r="49587" ht="12.75"/>
    <row r="49588" ht="12.75"/>
    <row r="49589" ht="12.75"/>
    <row r="49590" ht="12.75"/>
    <row r="49591" ht="12.75"/>
    <row r="49592" ht="12.75"/>
    <row r="49593" ht="12.75"/>
    <row r="49594" ht="12.75"/>
    <row r="49595" ht="12.75"/>
    <row r="49596" ht="12.75"/>
    <row r="49597" ht="12.75"/>
    <row r="49598" ht="12.75"/>
    <row r="49599" ht="12.75"/>
    <row r="49600" ht="12.75"/>
    <row r="49601" ht="12.75"/>
    <row r="49602" ht="12.75"/>
    <row r="49603" ht="12.75"/>
    <row r="49604" ht="12.75"/>
    <row r="49605" ht="12.75"/>
    <row r="49606" ht="12.75"/>
    <row r="49607" ht="12.75"/>
    <row r="49608" ht="12.75"/>
    <row r="49609" ht="12.75"/>
    <row r="49610" ht="12.75"/>
    <row r="49611" ht="12.75"/>
    <row r="49612" ht="12.75"/>
    <row r="49613" ht="12.75"/>
    <row r="49614" ht="12.75"/>
    <row r="49615" ht="12.75"/>
    <row r="49616" ht="12.75"/>
    <row r="49617" ht="12.75"/>
    <row r="49618" ht="12.75"/>
    <row r="49619" ht="12.75"/>
    <row r="49620" ht="12.75"/>
    <row r="49621" ht="12.75"/>
    <row r="49622" ht="12.75"/>
    <row r="49623" ht="12.75"/>
    <row r="49624" ht="12.75"/>
    <row r="49625" ht="12.75"/>
    <row r="49626" ht="12.75"/>
    <row r="49627" ht="12.75"/>
    <row r="49628" ht="12.75"/>
    <row r="49629" ht="12.75"/>
    <row r="49630" ht="12.75"/>
    <row r="49631" ht="12.75"/>
    <row r="49632" ht="12.75"/>
    <row r="49633" ht="12.75"/>
    <row r="49634" ht="12.75"/>
    <row r="49635" ht="12.75"/>
    <row r="49636" ht="12.75"/>
    <row r="49637" ht="12.75"/>
    <row r="49638" ht="12.75"/>
    <row r="49639" ht="12.75"/>
    <row r="49640" ht="12.75"/>
    <row r="49641" ht="12.75"/>
    <row r="49642" ht="12.75"/>
    <row r="49643" ht="12.75"/>
    <row r="49644" ht="12.75"/>
    <row r="49645" ht="12.75"/>
    <row r="49646" ht="12.75"/>
    <row r="49647" ht="12.75"/>
    <row r="49648" ht="12.75"/>
    <row r="49649" ht="12.75"/>
    <row r="49650" ht="12.75"/>
    <row r="49651" ht="12.75"/>
    <row r="49652" ht="12.75"/>
    <row r="49653" ht="12.75"/>
    <row r="49654" ht="12.75"/>
    <row r="49655" ht="12.75"/>
    <row r="49656" ht="12.75"/>
    <row r="49657" ht="12.75"/>
    <row r="49658" ht="12.75"/>
    <row r="49659" ht="12.75"/>
    <row r="49660" ht="12.75"/>
    <row r="49661" ht="12.75"/>
    <row r="49662" ht="12.75"/>
    <row r="49663" ht="12.75"/>
    <row r="49664" ht="12.75"/>
    <row r="49665" ht="12.75"/>
    <row r="49666" ht="12.75"/>
    <row r="49667" ht="12.75"/>
    <row r="49668" ht="12.75"/>
    <row r="49669" ht="12.75"/>
    <row r="49670" ht="12.75"/>
    <row r="49671" ht="12.75"/>
    <row r="49672" ht="12.75"/>
    <row r="49673" ht="12.75"/>
    <row r="49674" ht="12.75"/>
    <row r="49675" ht="12.75"/>
    <row r="49676" ht="12.75"/>
    <row r="49677" ht="12.75"/>
    <row r="49678" ht="12.75"/>
    <row r="49679" ht="12.75"/>
    <row r="49680" ht="12.75"/>
    <row r="49681" ht="12.75"/>
    <row r="49682" ht="12.75"/>
    <row r="49683" ht="12.75"/>
    <row r="49684" ht="12.75"/>
    <row r="49685" ht="12.75"/>
    <row r="49686" ht="12.75"/>
    <row r="49687" ht="12.75"/>
    <row r="49688" ht="12.75"/>
    <row r="49689" ht="12.75"/>
    <row r="49690" ht="12.75"/>
    <row r="49691" ht="12.75"/>
    <row r="49692" ht="12.75"/>
    <row r="49693" ht="12.75"/>
    <row r="49694" ht="12.75"/>
    <row r="49695" ht="12.75"/>
    <row r="49696" ht="12.75"/>
    <row r="49697" ht="12.75"/>
    <row r="49698" ht="12.75"/>
    <row r="49699" ht="12.75"/>
    <row r="49700" ht="12.75"/>
    <row r="49701" ht="12.75"/>
    <row r="49702" ht="12.75"/>
    <row r="49703" ht="12.75"/>
    <row r="49704" ht="12.75"/>
    <row r="49705" ht="12.75"/>
    <row r="49706" ht="12.75"/>
    <row r="49707" ht="12.75"/>
    <row r="49708" ht="12.75"/>
    <row r="49709" ht="12.75"/>
    <row r="49710" ht="12.75"/>
    <row r="49711" ht="12.75"/>
    <row r="49712" ht="12.75"/>
    <row r="49713" ht="12.75"/>
    <row r="49714" ht="12.75"/>
    <row r="49715" ht="12.75"/>
    <row r="49716" ht="12.75"/>
    <row r="49717" ht="12.75"/>
    <row r="49718" ht="12.75"/>
    <row r="49719" ht="12.75"/>
    <row r="49720" ht="12.75"/>
    <row r="49721" ht="12.75"/>
    <row r="49722" ht="12.75"/>
    <row r="49723" ht="12.75"/>
    <row r="49724" ht="12.75"/>
    <row r="49725" ht="12.75"/>
    <row r="49726" ht="12.75"/>
    <row r="49727" ht="12.75"/>
    <row r="49728" ht="12.75"/>
    <row r="49729" ht="12.75"/>
    <row r="49730" ht="12.75"/>
    <row r="49731" ht="12.75"/>
    <row r="49732" ht="12.75"/>
    <row r="49733" ht="12.75"/>
    <row r="49734" ht="12.75"/>
    <row r="49735" ht="12.75"/>
    <row r="49736" ht="12.75"/>
    <row r="49737" ht="12.75"/>
    <row r="49738" ht="12.75"/>
    <row r="49739" ht="12.75"/>
    <row r="49740" ht="12.75"/>
    <row r="49741" ht="12.75"/>
    <row r="49742" ht="12.75"/>
    <row r="49743" ht="12.75"/>
    <row r="49744" ht="12.75"/>
    <row r="49745" ht="12.75"/>
    <row r="49746" ht="12.75"/>
    <row r="49747" ht="12.75"/>
    <row r="49748" ht="12.75"/>
    <row r="49749" ht="12.75"/>
    <row r="49750" ht="12.75"/>
    <row r="49751" ht="12.75"/>
    <row r="49752" ht="12.75"/>
    <row r="49753" ht="12.75"/>
    <row r="49754" ht="12.75"/>
    <row r="49755" ht="12.75"/>
    <row r="49756" ht="12.75"/>
    <row r="49757" ht="12.75"/>
    <row r="49758" ht="12.75"/>
    <row r="49759" ht="12.75"/>
    <row r="49760" ht="12.75"/>
    <row r="49761" ht="12.75"/>
    <row r="49762" ht="12.75"/>
    <row r="49763" ht="12.75"/>
    <row r="49764" ht="12.75"/>
    <row r="49765" ht="12.75"/>
    <row r="49766" ht="12.75"/>
    <row r="49767" ht="12.75"/>
    <row r="49768" ht="12.75"/>
    <row r="49769" ht="12.75"/>
    <row r="49770" ht="12.75"/>
    <row r="49771" ht="12.75"/>
    <row r="49772" ht="12.75"/>
    <row r="49773" ht="12.75"/>
    <row r="49774" ht="12.75"/>
    <row r="49775" ht="12.75"/>
    <row r="49776" ht="12.75"/>
    <row r="49777" ht="12.75"/>
    <row r="49778" ht="12.75"/>
    <row r="49779" ht="12.75"/>
    <row r="49780" ht="12.75"/>
    <row r="49781" ht="12.75"/>
    <row r="49782" ht="12.75"/>
    <row r="49783" ht="12.75"/>
    <row r="49784" ht="12.75"/>
    <row r="49785" ht="12.75"/>
    <row r="49786" ht="12.75"/>
    <row r="49787" ht="12.75"/>
    <row r="49788" ht="12.75"/>
    <row r="49789" ht="12.75"/>
    <row r="49790" ht="12.75"/>
    <row r="49791" ht="12.75"/>
    <row r="49792" ht="12.75"/>
    <row r="49793" ht="12.75"/>
    <row r="49794" ht="12.75"/>
    <row r="49795" ht="12.75"/>
    <row r="49796" ht="12.75"/>
    <row r="49797" ht="12.75"/>
    <row r="49798" ht="12.75"/>
    <row r="49799" ht="12.75"/>
    <row r="49800" ht="12.75"/>
    <row r="49801" ht="12.75"/>
    <row r="49802" ht="12.75"/>
    <row r="49803" ht="12.75"/>
    <row r="49804" ht="12.75"/>
    <row r="49805" ht="12.75"/>
    <row r="49806" ht="12.75"/>
    <row r="49807" ht="12.75"/>
    <row r="49808" ht="12.75"/>
    <row r="49809" ht="12.75"/>
    <row r="49810" ht="12.75"/>
    <row r="49811" ht="12.75"/>
    <row r="49812" ht="12.75"/>
    <row r="49813" ht="12.75"/>
    <row r="49814" ht="12.75"/>
    <row r="49815" ht="12.75"/>
    <row r="49816" ht="12.75"/>
    <row r="49817" ht="12.75"/>
    <row r="49818" ht="12.75"/>
    <row r="49819" ht="12.75"/>
    <row r="49820" ht="12.75"/>
    <row r="49821" ht="12.75"/>
    <row r="49822" ht="12.75"/>
    <row r="49823" ht="12.75"/>
    <row r="49824" ht="12.75"/>
    <row r="49825" ht="12.75"/>
    <row r="49826" ht="12.75"/>
    <row r="49827" ht="12.75"/>
    <row r="49828" ht="12.75"/>
    <row r="49829" ht="12.75"/>
    <row r="49830" ht="12.75"/>
    <row r="49831" ht="12.75"/>
    <row r="49832" ht="12.75"/>
    <row r="49833" ht="12.75"/>
    <row r="49834" ht="12.75"/>
    <row r="49835" ht="12.75"/>
    <row r="49836" ht="12.75"/>
    <row r="49837" ht="12.75"/>
    <row r="49838" ht="12.75"/>
    <row r="49839" ht="12.75"/>
    <row r="49840" ht="12.75"/>
    <row r="49841" ht="12.75"/>
    <row r="49842" ht="12.75"/>
    <row r="49843" ht="12.75"/>
    <row r="49844" ht="12.75"/>
    <row r="49845" ht="12.75"/>
    <row r="49846" ht="12.75"/>
    <row r="49847" ht="12.75"/>
    <row r="49848" ht="12.75"/>
    <row r="49849" ht="12.75"/>
    <row r="49850" ht="12.75"/>
    <row r="49851" ht="12.75"/>
    <row r="49852" ht="12.75"/>
    <row r="49853" ht="12.75"/>
    <row r="49854" ht="12.75"/>
    <row r="49855" ht="12.75"/>
    <row r="49856" ht="12.75"/>
    <row r="49857" ht="12.75"/>
    <row r="49858" ht="12.75"/>
    <row r="49859" ht="12.75"/>
    <row r="49860" ht="12.75"/>
    <row r="49861" ht="12.75"/>
    <row r="49862" ht="12.75"/>
    <row r="49863" ht="12.75"/>
    <row r="49864" ht="12.75"/>
    <row r="49865" ht="12.75"/>
    <row r="49866" ht="12.75"/>
    <row r="49867" ht="12.75"/>
    <row r="49868" ht="12.75"/>
    <row r="49869" ht="12.75"/>
    <row r="49870" ht="12.75"/>
    <row r="49871" ht="12.75"/>
    <row r="49872" ht="12.75"/>
    <row r="49873" ht="12.75"/>
    <row r="49874" ht="12.75"/>
    <row r="49875" ht="12.75"/>
    <row r="49876" ht="12.75"/>
    <row r="49877" ht="12.75"/>
    <row r="49878" ht="12.75"/>
    <row r="49879" ht="12.75"/>
    <row r="49880" ht="12.75"/>
    <row r="49881" ht="12.75"/>
    <row r="49882" ht="12.75"/>
    <row r="49883" ht="12.75"/>
    <row r="49884" ht="12.75"/>
    <row r="49885" ht="12.75"/>
    <row r="49886" ht="12.75"/>
    <row r="49887" ht="12.75"/>
    <row r="49888" ht="12.75"/>
    <row r="49889" ht="12.75"/>
    <row r="49890" ht="12.75"/>
    <row r="49891" ht="12.75"/>
    <row r="49892" ht="12.75"/>
    <row r="49893" ht="12.75"/>
    <row r="49894" ht="12.75"/>
    <row r="49895" ht="12.75"/>
    <row r="49896" ht="12.75"/>
    <row r="49897" ht="12.75"/>
    <row r="49898" ht="12.75"/>
    <row r="49899" ht="12.75"/>
    <row r="49900" ht="12.75"/>
    <row r="49901" ht="12.75"/>
    <row r="49902" ht="12.75"/>
    <row r="49903" ht="12.75"/>
    <row r="49904" ht="12.75"/>
    <row r="49905" ht="12.75"/>
    <row r="49906" ht="12.75"/>
    <row r="49907" ht="12.75"/>
    <row r="49908" ht="12.75"/>
    <row r="49909" ht="12.75"/>
    <row r="49910" ht="12.75"/>
    <row r="49911" ht="12.75"/>
    <row r="49912" ht="12.75"/>
    <row r="49913" ht="12.75"/>
    <row r="49914" ht="12.75"/>
    <row r="49915" ht="12.75"/>
    <row r="49916" ht="12.75"/>
    <row r="49917" ht="12.75"/>
    <row r="49918" ht="12.75"/>
    <row r="49919" ht="12.75"/>
    <row r="49920" ht="12.75"/>
    <row r="49921" ht="12.75"/>
    <row r="49922" ht="12.75"/>
    <row r="49923" ht="12.75"/>
    <row r="49924" ht="12.75"/>
    <row r="49925" ht="12.75"/>
    <row r="49926" ht="12.75"/>
    <row r="49927" ht="12.75"/>
    <row r="49928" ht="12.75"/>
    <row r="49929" ht="12.75"/>
    <row r="49930" ht="12.75"/>
    <row r="49931" ht="12.75"/>
    <row r="49932" ht="12.75"/>
    <row r="49933" ht="12.75"/>
    <row r="49934" ht="12.75"/>
    <row r="49935" ht="12.75"/>
    <row r="49936" ht="12.75"/>
    <row r="49937" ht="12.75"/>
    <row r="49938" ht="12.75"/>
    <row r="49939" ht="12.75"/>
    <row r="49940" ht="12.75"/>
    <row r="49941" ht="12.75"/>
    <row r="49942" ht="12.75"/>
    <row r="49943" ht="12.75"/>
    <row r="49944" ht="12.75"/>
    <row r="49945" ht="12.75"/>
    <row r="49946" ht="12.75"/>
    <row r="49947" ht="12.75"/>
    <row r="49948" ht="12.75"/>
    <row r="49949" ht="12.75"/>
    <row r="49950" ht="12.75"/>
    <row r="49951" ht="12.75"/>
    <row r="49952" ht="12.75"/>
    <row r="49953" ht="12.75"/>
    <row r="49954" ht="12.75"/>
    <row r="49955" ht="12.75"/>
    <row r="49956" ht="12.75"/>
    <row r="49957" ht="12.75"/>
    <row r="49958" ht="12.75"/>
    <row r="49959" ht="12.75"/>
    <row r="49960" ht="12.75"/>
    <row r="49961" ht="12.75"/>
    <row r="49962" ht="12.75"/>
    <row r="49963" ht="12.75"/>
    <row r="49964" ht="12.75"/>
    <row r="49965" ht="12.75"/>
    <row r="49966" ht="12.75"/>
    <row r="49967" ht="12.75"/>
    <row r="49968" ht="12.75"/>
    <row r="49969" ht="12.75"/>
    <row r="49970" ht="12.75"/>
    <row r="49971" ht="12.75"/>
    <row r="49972" ht="12.75"/>
    <row r="49973" ht="12.75"/>
    <row r="49974" ht="12.75"/>
    <row r="49975" ht="12.75"/>
    <row r="49976" ht="12.75"/>
    <row r="49977" ht="12.75"/>
    <row r="49978" ht="12.75"/>
    <row r="49979" ht="12.75"/>
    <row r="49980" ht="12.75"/>
    <row r="49981" ht="12.75"/>
    <row r="49982" ht="12.75"/>
    <row r="49983" ht="12.75"/>
    <row r="49984" ht="12.75"/>
    <row r="49985" ht="12.75"/>
    <row r="49986" ht="12.75"/>
    <row r="49987" ht="12.75"/>
    <row r="49988" ht="12.75"/>
    <row r="49989" ht="12.75"/>
    <row r="49990" ht="12.75"/>
    <row r="49991" ht="12.75"/>
    <row r="49992" ht="12.75"/>
    <row r="49993" ht="12.75"/>
    <row r="49994" ht="12.75"/>
    <row r="49995" ht="12.75"/>
    <row r="49996" ht="12.75"/>
    <row r="49997" ht="12.75"/>
    <row r="49998" ht="12.75"/>
    <row r="49999" ht="12.75"/>
    <row r="50000" ht="12.75"/>
    <row r="50001" ht="12.75"/>
    <row r="50002" ht="12.75"/>
    <row r="50003" ht="12.75"/>
    <row r="50004" ht="12.75"/>
    <row r="50005" ht="12.75"/>
    <row r="50006" ht="12.75"/>
    <row r="50007" ht="12.75"/>
    <row r="50008" ht="12.75"/>
    <row r="50009" ht="12.75"/>
    <row r="50010" ht="12.75"/>
    <row r="50011" ht="12.75"/>
    <row r="50012" ht="12.75"/>
    <row r="50013" ht="12.75"/>
    <row r="50014" ht="12.75"/>
    <row r="50015" ht="12.75"/>
    <row r="50016" ht="12.75"/>
    <row r="50017" ht="12.75"/>
    <row r="50018" ht="12.75"/>
    <row r="50019" ht="12.75"/>
    <row r="50020" ht="12.75"/>
    <row r="50021" ht="12.75"/>
    <row r="50022" ht="12.75"/>
    <row r="50023" ht="12.75"/>
    <row r="50024" ht="12.75"/>
    <row r="50025" ht="12.75"/>
    <row r="50026" ht="12.75"/>
    <row r="50027" ht="12.75"/>
    <row r="50028" ht="12.75"/>
    <row r="50029" ht="12.75"/>
    <row r="50030" ht="12.75"/>
    <row r="50031" ht="12.75"/>
    <row r="50032" ht="12.75"/>
    <row r="50033" ht="12.75"/>
    <row r="50034" ht="12.75"/>
    <row r="50035" ht="12.75"/>
    <row r="50036" ht="12.75"/>
    <row r="50037" ht="12.75"/>
    <row r="50038" ht="12.75"/>
    <row r="50039" ht="12.75"/>
    <row r="50040" ht="12.75"/>
    <row r="50041" ht="12.75"/>
    <row r="50042" ht="12.75"/>
    <row r="50043" ht="12.75"/>
    <row r="50044" ht="12.75"/>
    <row r="50045" ht="12.75"/>
    <row r="50046" ht="12.75"/>
    <row r="50047" ht="12.75"/>
    <row r="50048" ht="12.75"/>
    <row r="50049" ht="12.75"/>
    <row r="50050" ht="12.75"/>
    <row r="50051" ht="12.75"/>
    <row r="50052" ht="12.75"/>
    <row r="50053" ht="12.75"/>
    <row r="50054" ht="12.75"/>
    <row r="50055" ht="12.75"/>
    <row r="50056" ht="12.75"/>
    <row r="50057" ht="12.75"/>
    <row r="50058" ht="12.75"/>
    <row r="50059" ht="12.75"/>
    <row r="50060" ht="12.75"/>
    <row r="50061" ht="12.75"/>
    <row r="50062" ht="12.75"/>
    <row r="50063" ht="12.75"/>
    <row r="50064" ht="12.75"/>
    <row r="50065" ht="12.75"/>
    <row r="50066" ht="12.75"/>
    <row r="50067" ht="12.75"/>
    <row r="50068" ht="12.75"/>
    <row r="50069" ht="12.75"/>
    <row r="50070" ht="12.75"/>
    <row r="50071" ht="12.75"/>
    <row r="50072" ht="12.75"/>
    <row r="50073" ht="12.75"/>
    <row r="50074" ht="12.75"/>
    <row r="50075" ht="12.75"/>
    <row r="50076" ht="12.75"/>
    <row r="50077" ht="12.75"/>
    <row r="50078" ht="12.75"/>
    <row r="50079" ht="12.75"/>
    <row r="50080" ht="12.75"/>
    <row r="50081" ht="12.75"/>
    <row r="50082" ht="12.75"/>
    <row r="50083" ht="12.75"/>
    <row r="50084" ht="12.75"/>
    <row r="50085" ht="12.75"/>
    <row r="50086" ht="12.75"/>
    <row r="50087" ht="12.75"/>
    <row r="50088" ht="12.75"/>
    <row r="50089" ht="12.75"/>
    <row r="50090" ht="12.75"/>
    <row r="50091" ht="12.75"/>
    <row r="50092" ht="12.75"/>
    <row r="50093" ht="12.75"/>
    <row r="50094" ht="12.75"/>
    <row r="50095" ht="12.75"/>
    <row r="50096" ht="12.75"/>
    <row r="50097" ht="12.75"/>
    <row r="50098" ht="12.75"/>
    <row r="50099" ht="12.75"/>
    <row r="50100" ht="12.75"/>
    <row r="50101" ht="12.75"/>
    <row r="50102" ht="12.75"/>
    <row r="50103" ht="12.75"/>
    <row r="50104" ht="12.75"/>
    <row r="50105" ht="12.75"/>
    <row r="50106" ht="12.75"/>
    <row r="50107" ht="12.75"/>
    <row r="50108" ht="12.75"/>
    <row r="50109" ht="12.75"/>
    <row r="50110" ht="12.75"/>
    <row r="50111" ht="12.75"/>
    <row r="50112" ht="12.75"/>
    <row r="50113" ht="12.75"/>
    <row r="50114" ht="12.75"/>
    <row r="50115" ht="12.75"/>
    <row r="50116" ht="12.75"/>
    <row r="50117" ht="12.75"/>
    <row r="50118" ht="12.75"/>
    <row r="50119" ht="12.75"/>
    <row r="50120" ht="12.75"/>
    <row r="50121" ht="12.75"/>
    <row r="50122" ht="12.75"/>
    <row r="50123" ht="12.75"/>
    <row r="50124" ht="12.75"/>
    <row r="50125" ht="12.75"/>
    <row r="50126" ht="12.75"/>
    <row r="50127" ht="12.75"/>
    <row r="50128" ht="12.75"/>
    <row r="50129" ht="12.75"/>
    <row r="50130" ht="12.75"/>
    <row r="50131" ht="12.75"/>
    <row r="50132" ht="12.75"/>
    <row r="50133" ht="12.75"/>
    <row r="50134" ht="12.75"/>
    <row r="50135" ht="12.75"/>
    <row r="50136" ht="12.75"/>
    <row r="50137" ht="12.75"/>
    <row r="50138" ht="12.75"/>
    <row r="50139" ht="12.75"/>
    <row r="50140" ht="12.75"/>
    <row r="50141" ht="12.75"/>
    <row r="50142" ht="12.75"/>
    <row r="50143" ht="12.75"/>
    <row r="50144" ht="12.75"/>
    <row r="50145" ht="12.75"/>
    <row r="50146" ht="12.75"/>
    <row r="50147" ht="12.75"/>
    <row r="50148" ht="12.75"/>
    <row r="50149" ht="12.75"/>
    <row r="50150" ht="12.75"/>
    <row r="50151" ht="12.75"/>
    <row r="50152" ht="12.75"/>
    <row r="50153" ht="12.75"/>
    <row r="50154" ht="12.75"/>
    <row r="50155" ht="12.75"/>
    <row r="50156" ht="12.75"/>
    <row r="50157" ht="12.75"/>
    <row r="50158" ht="12.75"/>
    <row r="50159" ht="12.75"/>
    <row r="50160" ht="12.75"/>
    <row r="50161" ht="12.75"/>
    <row r="50162" ht="12.75"/>
    <row r="50163" ht="12.75"/>
    <row r="50164" ht="12.75"/>
    <row r="50165" ht="12.75"/>
    <row r="50166" ht="12.75"/>
    <row r="50167" ht="12.75"/>
    <row r="50168" ht="12.75"/>
    <row r="50169" ht="12.75"/>
    <row r="50170" ht="12.75"/>
    <row r="50171" ht="12.75"/>
    <row r="50172" ht="12.75"/>
    <row r="50173" ht="12.75"/>
    <row r="50174" ht="12.75"/>
    <row r="50175" ht="12.75"/>
    <row r="50176" ht="12.75"/>
    <row r="50177" ht="12.75"/>
    <row r="50178" ht="12.75"/>
    <row r="50179" ht="12.75"/>
    <row r="50180" ht="12.75"/>
    <row r="50181" ht="12.75"/>
    <row r="50182" ht="12.75"/>
    <row r="50183" ht="12.75"/>
    <row r="50184" ht="12.75"/>
    <row r="50185" ht="12.75"/>
    <row r="50186" ht="12.75"/>
    <row r="50187" ht="12.75"/>
    <row r="50188" ht="12.75"/>
    <row r="50189" ht="12.75"/>
    <row r="50190" ht="12.75"/>
    <row r="50191" ht="12.75"/>
    <row r="50192" ht="12.75"/>
    <row r="50193" ht="12.75"/>
    <row r="50194" ht="12.75"/>
    <row r="50195" ht="12.75"/>
    <row r="50196" ht="12.75"/>
    <row r="50197" ht="12.75"/>
    <row r="50198" ht="12.75"/>
    <row r="50199" ht="12.75"/>
    <row r="50200" ht="12.75"/>
    <row r="50201" ht="12.75"/>
    <row r="50202" ht="12.75"/>
    <row r="50203" ht="12.75"/>
    <row r="50204" ht="12.75"/>
    <row r="50205" ht="12.75"/>
    <row r="50206" ht="12.75"/>
    <row r="50207" ht="12.75"/>
    <row r="50208" ht="12.75"/>
    <row r="50209" ht="12.75"/>
    <row r="50210" ht="12.75"/>
    <row r="50211" ht="12.75"/>
    <row r="50212" ht="12.75"/>
    <row r="50213" ht="12.75"/>
    <row r="50214" ht="12.75"/>
    <row r="50215" ht="12.75"/>
    <row r="50216" ht="12.75"/>
    <row r="50217" ht="12.75"/>
    <row r="50218" ht="12.75"/>
    <row r="50219" ht="12.75"/>
    <row r="50220" ht="12.75"/>
    <row r="50221" ht="12.75"/>
    <row r="50222" ht="12.75"/>
    <row r="50223" ht="12.75"/>
    <row r="50224" ht="12.75"/>
    <row r="50225" ht="12.75"/>
    <row r="50226" ht="12.75"/>
    <row r="50227" ht="12.75"/>
    <row r="50228" ht="12.75"/>
    <row r="50229" ht="12.75"/>
    <row r="50230" ht="12.75"/>
    <row r="50231" ht="12.75"/>
    <row r="50232" ht="12.75"/>
    <row r="50233" ht="12.75"/>
    <row r="50234" ht="12.75"/>
    <row r="50235" ht="12.75"/>
    <row r="50236" ht="12.75"/>
    <row r="50237" ht="12.75"/>
    <row r="50238" ht="12.75"/>
    <row r="50239" ht="12.75"/>
    <row r="50240" ht="12.75"/>
    <row r="50241" ht="12.75"/>
    <row r="50242" ht="12.75"/>
    <row r="50243" ht="12.75"/>
    <row r="50244" ht="12.75"/>
    <row r="50245" ht="12.75"/>
    <row r="50246" ht="12.75"/>
    <row r="50247" ht="12.75"/>
    <row r="50248" ht="12.75"/>
    <row r="50249" ht="12.75"/>
    <row r="50250" ht="12.75"/>
    <row r="50251" ht="12.75"/>
    <row r="50252" ht="12.75"/>
    <row r="50253" ht="12.75"/>
    <row r="50254" ht="12.75"/>
    <row r="50255" ht="12.75"/>
    <row r="50256" ht="12.75"/>
    <row r="50257" ht="12.75"/>
    <row r="50258" ht="12.75"/>
    <row r="50259" ht="12.75"/>
    <row r="50260" ht="12.75"/>
    <row r="50261" ht="12.75"/>
    <row r="50262" ht="12.75"/>
    <row r="50263" ht="12.75"/>
    <row r="50264" ht="12.75"/>
    <row r="50265" ht="12.75"/>
    <row r="50266" ht="12.75"/>
    <row r="50267" ht="12.75"/>
    <row r="50268" ht="12.75"/>
    <row r="50269" ht="12.75"/>
    <row r="50270" ht="12.75"/>
    <row r="50271" ht="12.75"/>
    <row r="50272" ht="12.75"/>
    <row r="50273" ht="12.75"/>
    <row r="50274" ht="12.75"/>
    <row r="50275" ht="12.75"/>
    <row r="50276" ht="12.75"/>
    <row r="50277" ht="12.75"/>
    <row r="50278" ht="12.75"/>
    <row r="50279" ht="12.75"/>
    <row r="50280" ht="12.75"/>
    <row r="50281" ht="12.75"/>
    <row r="50282" ht="12.75"/>
    <row r="50283" ht="12.75"/>
    <row r="50284" ht="12.75"/>
    <row r="50285" ht="12.75"/>
    <row r="50286" ht="12.75"/>
    <row r="50287" ht="12.75"/>
    <row r="50288" ht="12.75"/>
    <row r="50289" ht="12.75"/>
    <row r="50290" ht="12.75"/>
    <row r="50291" ht="12.75"/>
    <row r="50292" ht="12.75"/>
    <row r="50293" ht="12.75"/>
    <row r="50294" ht="12.75"/>
    <row r="50295" ht="12.75"/>
    <row r="50296" ht="12.75"/>
    <row r="50297" ht="12.75"/>
    <row r="50298" ht="12.75"/>
    <row r="50299" ht="12.75"/>
    <row r="50300" ht="12.75"/>
    <row r="50301" ht="12.75"/>
    <row r="50302" ht="12.75"/>
    <row r="50303" ht="12.75"/>
    <row r="50304" ht="12.75"/>
    <row r="50305" ht="12.75"/>
    <row r="50306" ht="12.75"/>
    <row r="50307" ht="12.75"/>
    <row r="50308" ht="12.75"/>
    <row r="50309" ht="12.75"/>
    <row r="50310" ht="12.75"/>
    <row r="50311" ht="12.75"/>
    <row r="50312" ht="12.75"/>
    <row r="50313" ht="12.75"/>
    <row r="50314" ht="12.75"/>
    <row r="50315" ht="12.75"/>
    <row r="50316" ht="12.75"/>
    <row r="50317" ht="12.75"/>
    <row r="50318" ht="12.75"/>
    <row r="50319" ht="12.75"/>
    <row r="50320" ht="12.75"/>
    <row r="50321" ht="12.75"/>
    <row r="50322" ht="12.75"/>
    <row r="50323" ht="12.75"/>
    <row r="50324" ht="12.75"/>
    <row r="50325" ht="12.75"/>
    <row r="50326" ht="12.75"/>
    <row r="50327" ht="12.75"/>
    <row r="50328" ht="12.75"/>
    <row r="50329" ht="12.75"/>
    <row r="50330" ht="12.75"/>
    <row r="50331" ht="12.75"/>
    <row r="50332" ht="12.75"/>
    <row r="50333" ht="12.75"/>
    <row r="50334" ht="12.75"/>
    <row r="50335" ht="12.75"/>
    <row r="50336" ht="12.75"/>
    <row r="50337" ht="12.75"/>
    <row r="50338" ht="12.75"/>
    <row r="50339" ht="12.75"/>
    <row r="50340" ht="12.75"/>
    <row r="50341" ht="12.75"/>
    <row r="50342" ht="12.75"/>
    <row r="50343" ht="12.75"/>
    <row r="50344" ht="12.75"/>
    <row r="50345" ht="12.75"/>
    <row r="50346" ht="12.75"/>
    <row r="50347" ht="12.75"/>
    <row r="50348" ht="12.75"/>
    <row r="50349" ht="12.75"/>
    <row r="50350" ht="12.75"/>
    <row r="50351" ht="12.75"/>
    <row r="50352" ht="12.75"/>
    <row r="50353" ht="12.75"/>
    <row r="50354" ht="12.75"/>
    <row r="50355" ht="12.75"/>
    <row r="50356" ht="12.75"/>
    <row r="50357" ht="12.75"/>
    <row r="50358" ht="12.75"/>
    <row r="50359" ht="12.75"/>
    <row r="50360" ht="12.75"/>
    <row r="50361" ht="12.75"/>
    <row r="50362" ht="12.75"/>
    <row r="50363" ht="12.75"/>
    <row r="50364" ht="12.75"/>
    <row r="50365" ht="12.75"/>
    <row r="50366" ht="12.75"/>
    <row r="50367" ht="12.75"/>
    <row r="50368" ht="12.75"/>
    <row r="50369" ht="12.75"/>
    <row r="50370" ht="12.75"/>
    <row r="50371" ht="12.75"/>
    <row r="50372" ht="12.75"/>
    <row r="50373" ht="12.75"/>
    <row r="50374" ht="12.75"/>
    <row r="50375" ht="12.75"/>
    <row r="50376" ht="12.75"/>
    <row r="50377" ht="12.75"/>
    <row r="50378" ht="12.75"/>
    <row r="50379" ht="12.75"/>
    <row r="50380" ht="12.75"/>
    <row r="50381" ht="12.75"/>
    <row r="50382" ht="12.75"/>
    <row r="50383" ht="12.75"/>
    <row r="50384" ht="12.75"/>
    <row r="50385" ht="12.75"/>
    <row r="50386" ht="12.75"/>
    <row r="50387" ht="12.75"/>
    <row r="50388" ht="12.75"/>
    <row r="50389" ht="12.75"/>
    <row r="50390" ht="12.75"/>
    <row r="50391" ht="12.75"/>
    <row r="50392" ht="12.75"/>
    <row r="50393" ht="12.75"/>
    <row r="50394" ht="12.75"/>
    <row r="50395" ht="12.75"/>
    <row r="50396" ht="12.75"/>
    <row r="50397" ht="12.75"/>
    <row r="50398" ht="12.75"/>
    <row r="50399" ht="12.75"/>
    <row r="50400" ht="12.75"/>
    <row r="50401" ht="12.75"/>
    <row r="50402" ht="12.75"/>
    <row r="50403" ht="12.75"/>
    <row r="50404" ht="12.75"/>
    <row r="50405" ht="12.75"/>
    <row r="50406" ht="12.75"/>
    <row r="50407" ht="12.75"/>
    <row r="50408" ht="12.75"/>
    <row r="50409" ht="12.75"/>
    <row r="50410" ht="12.75"/>
    <row r="50411" ht="12.75"/>
    <row r="50412" ht="12.75"/>
    <row r="50413" ht="12.75"/>
    <row r="50414" ht="12.75"/>
    <row r="50415" ht="12.75"/>
    <row r="50416" ht="12.75"/>
    <row r="50417" ht="12.75"/>
    <row r="50418" ht="12.75"/>
    <row r="50419" ht="12.75"/>
    <row r="50420" ht="12.75"/>
    <row r="50421" ht="12.75"/>
    <row r="50422" ht="12.75"/>
    <row r="50423" ht="12.75"/>
    <row r="50424" ht="12.75"/>
    <row r="50425" ht="12.75"/>
    <row r="50426" ht="12.75"/>
    <row r="50427" ht="12.75"/>
    <row r="50428" ht="12.75"/>
    <row r="50429" ht="12.75"/>
    <row r="50430" ht="12.75"/>
    <row r="50431" ht="12.75"/>
    <row r="50432" ht="12.75"/>
    <row r="50433" ht="12.75"/>
    <row r="50434" ht="12.75"/>
    <row r="50435" ht="12.75"/>
    <row r="50436" ht="12.75"/>
    <row r="50437" ht="12.75"/>
    <row r="50438" ht="12.75"/>
    <row r="50439" ht="12.75"/>
    <row r="50440" ht="12.75"/>
    <row r="50441" ht="12.75"/>
    <row r="50442" ht="12.75"/>
    <row r="50443" ht="12.75"/>
    <row r="50444" ht="12.75"/>
    <row r="50445" ht="12.75"/>
    <row r="50446" ht="12.75"/>
    <row r="50447" ht="12.75"/>
    <row r="50448" ht="12.75"/>
    <row r="50449" ht="12.75"/>
    <row r="50450" ht="12.75"/>
    <row r="50451" ht="12.75"/>
    <row r="50452" ht="12.75"/>
    <row r="50453" ht="12.75"/>
    <row r="50454" ht="12.75"/>
    <row r="50455" ht="12.75"/>
    <row r="50456" ht="12.75"/>
    <row r="50457" ht="12.75"/>
    <row r="50458" ht="12.75"/>
    <row r="50459" ht="12.75"/>
    <row r="50460" ht="12.75"/>
    <row r="50461" ht="12.75"/>
    <row r="50462" ht="12.75"/>
    <row r="50463" ht="12.75"/>
    <row r="50464" ht="12.75"/>
    <row r="50465" ht="12.75"/>
    <row r="50466" ht="12.75"/>
    <row r="50467" ht="12.75"/>
    <row r="50468" ht="12.75"/>
    <row r="50469" ht="12.75"/>
    <row r="50470" ht="12.75"/>
    <row r="50471" ht="12.75"/>
    <row r="50472" ht="12.75"/>
    <row r="50473" ht="12.75"/>
    <row r="50474" ht="12.75"/>
    <row r="50475" ht="12.75"/>
    <row r="50476" ht="12.75"/>
    <row r="50477" ht="12.75"/>
    <row r="50478" ht="12.75"/>
    <row r="50479" ht="12.75"/>
    <row r="50480" ht="12.75"/>
    <row r="50481" ht="12.75"/>
    <row r="50482" ht="12.75"/>
    <row r="50483" ht="12.75"/>
    <row r="50484" ht="12.75"/>
    <row r="50485" ht="12.75"/>
    <row r="50486" ht="12.75"/>
    <row r="50487" ht="12.75"/>
    <row r="50488" ht="12.75"/>
    <row r="50489" ht="12.75"/>
    <row r="50490" ht="12.75"/>
    <row r="50491" ht="12.75"/>
    <row r="50492" ht="12.75"/>
    <row r="50493" ht="12.75"/>
    <row r="50494" ht="12.75"/>
    <row r="50495" ht="12.75"/>
    <row r="50496" ht="12.75"/>
    <row r="50497" ht="12.75"/>
    <row r="50498" ht="12.75"/>
    <row r="50499" ht="12.75"/>
    <row r="50500" ht="12.75"/>
    <row r="50501" ht="12.75"/>
    <row r="50502" ht="12.75"/>
    <row r="50503" ht="12.75"/>
    <row r="50504" ht="12.75"/>
    <row r="50505" ht="12.75"/>
    <row r="50506" ht="12.75"/>
    <row r="50507" ht="12.75"/>
    <row r="50508" ht="12.75"/>
    <row r="50509" ht="12.75"/>
    <row r="50510" ht="12.75"/>
    <row r="50511" ht="12.75"/>
    <row r="50512" ht="12.75"/>
    <row r="50513" ht="12.75"/>
    <row r="50514" ht="12.75"/>
    <row r="50515" ht="12.75"/>
    <row r="50516" ht="12.75"/>
    <row r="50517" ht="12.75"/>
    <row r="50518" ht="12.75"/>
    <row r="50519" ht="12.75"/>
    <row r="50520" ht="12.75"/>
    <row r="50521" ht="12.75"/>
    <row r="50522" ht="12.75"/>
    <row r="50523" ht="12.75"/>
    <row r="50524" ht="12.75"/>
    <row r="50525" ht="12.75"/>
    <row r="50526" ht="12.75"/>
    <row r="50527" ht="12.75"/>
    <row r="50528" ht="12.75"/>
    <row r="50529" ht="12.75"/>
    <row r="50530" ht="12.75"/>
    <row r="50531" ht="12.75"/>
    <row r="50532" ht="12.75"/>
    <row r="50533" ht="12.75"/>
    <row r="50534" ht="12.75"/>
    <row r="50535" ht="12.75"/>
    <row r="50536" ht="12.75"/>
    <row r="50537" ht="12.75"/>
    <row r="50538" ht="12.75"/>
    <row r="50539" ht="12.75"/>
    <row r="50540" ht="12.75"/>
    <row r="50541" ht="12.75"/>
    <row r="50542" ht="12.75"/>
    <row r="50543" ht="12.75"/>
    <row r="50544" ht="12.75"/>
    <row r="50545" ht="12.75"/>
    <row r="50546" ht="12.75"/>
    <row r="50547" ht="12.75"/>
    <row r="50548" ht="12.75"/>
    <row r="50549" ht="12.75"/>
    <row r="50550" ht="12.75"/>
    <row r="50551" ht="12.75"/>
    <row r="50552" ht="12.75"/>
    <row r="50553" ht="12.75"/>
    <row r="50554" ht="12.75"/>
    <row r="50555" ht="12.75"/>
    <row r="50556" ht="12.75"/>
    <row r="50557" ht="12.75"/>
    <row r="50558" ht="12.75"/>
    <row r="50559" ht="12.75"/>
    <row r="50560" ht="12.75"/>
    <row r="50561" ht="12.75"/>
    <row r="50562" ht="12.75"/>
    <row r="50563" ht="12.75"/>
    <row r="50564" ht="12.75"/>
    <row r="50565" ht="12.75"/>
    <row r="50566" ht="12.75"/>
    <row r="50567" ht="12.75"/>
    <row r="50568" ht="12.75"/>
    <row r="50569" ht="12.75"/>
    <row r="50570" ht="12.75"/>
    <row r="50571" ht="12.75"/>
    <row r="50572" ht="12.75"/>
    <row r="50573" ht="12.75"/>
    <row r="50574" ht="12.75"/>
    <row r="50575" ht="12.75"/>
    <row r="50576" ht="12.75"/>
    <row r="50577" ht="12.75"/>
    <row r="50578" ht="12.75"/>
    <row r="50579" ht="12.75"/>
    <row r="50580" ht="12.75"/>
    <row r="50581" ht="12.75"/>
    <row r="50582" ht="12.75"/>
    <row r="50583" ht="12.75"/>
    <row r="50584" ht="12.75"/>
    <row r="50585" ht="12.75"/>
    <row r="50586" ht="12.75"/>
    <row r="50587" ht="12.75"/>
    <row r="50588" ht="12.75"/>
    <row r="50589" ht="12.75"/>
    <row r="50590" ht="12.75"/>
    <row r="50591" ht="12.75"/>
    <row r="50592" ht="12.75"/>
    <row r="50593" ht="12.75"/>
    <row r="50594" ht="12.75"/>
    <row r="50595" ht="12.75"/>
    <row r="50596" ht="12.75"/>
    <row r="50597" ht="12.75"/>
    <row r="50598" ht="12.75"/>
    <row r="50599" ht="12.75"/>
    <row r="50600" ht="12.75"/>
    <row r="50601" ht="12.75"/>
    <row r="50602" ht="12.75"/>
    <row r="50603" ht="12.75"/>
    <row r="50604" ht="12.75"/>
    <row r="50605" ht="12.75"/>
    <row r="50606" ht="12.75"/>
    <row r="50607" ht="12.75"/>
    <row r="50608" ht="12.75"/>
    <row r="50609" ht="12.75"/>
    <row r="50610" ht="12.75"/>
    <row r="50611" ht="12.75"/>
    <row r="50612" ht="12.75"/>
    <row r="50613" ht="12.75"/>
    <row r="50614" ht="12.75"/>
    <row r="50615" ht="12.75"/>
    <row r="50616" ht="12.75"/>
    <row r="50617" ht="12.75"/>
    <row r="50618" ht="12.75"/>
    <row r="50619" ht="12.75"/>
    <row r="50620" ht="12.75"/>
    <row r="50621" ht="12.75"/>
    <row r="50622" ht="12.75"/>
    <row r="50623" ht="12.75"/>
    <row r="50624" ht="12.75"/>
    <row r="50625" ht="12.75"/>
    <row r="50626" ht="12.75"/>
    <row r="50627" ht="12.75"/>
    <row r="50628" ht="12.75"/>
    <row r="50629" ht="12.75"/>
    <row r="50630" ht="12.75"/>
    <row r="50631" ht="12.75"/>
    <row r="50632" ht="12.75"/>
    <row r="50633" ht="12.75"/>
    <row r="50634" ht="12.75"/>
    <row r="50635" ht="12.75"/>
    <row r="50636" ht="12.75"/>
    <row r="50637" ht="12.75"/>
    <row r="50638" ht="12.75"/>
    <row r="50639" ht="12.75"/>
    <row r="50640" ht="12.75"/>
    <row r="50641" ht="12.75"/>
    <row r="50642" ht="12.75"/>
    <row r="50643" ht="12.75"/>
    <row r="50644" ht="12.75"/>
    <row r="50645" ht="12.75"/>
    <row r="50646" ht="12.75"/>
    <row r="50647" ht="12.75"/>
    <row r="50648" ht="12.75"/>
    <row r="50649" ht="12.75"/>
    <row r="50650" ht="12.75"/>
    <row r="50651" ht="12.75"/>
    <row r="50652" ht="12.75"/>
    <row r="50653" ht="12.75"/>
    <row r="50654" ht="12.75"/>
    <row r="50655" ht="12.75"/>
    <row r="50656" ht="12.75"/>
    <row r="50657" ht="12.75"/>
    <row r="50658" ht="12.75"/>
    <row r="50659" ht="12.75"/>
    <row r="50660" ht="12.75"/>
    <row r="50661" ht="12.75"/>
    <row r="50662" ht="12.75"/>
    <row r="50663" ht="12.75"/>
    <row r="50664" ht="12.75"/>
    <row r="50665" ht="12.75"/>
    <row r="50666" ht="12.75"/>
    <row r="50667" ht="12.75"/>
    <row r="50668" ht="12.75"/>
    <row r="50669" ht="12.75"/>
    <row r="50670" ht="12.75"/>
    <row r="50671" ht="12.75"/>
    <row r="50672" ht="12.75"/>
    <row r="50673" ht="12.75"/>
    <row r="50674" ht="12.75"/>
    <row r="50675" ht="12.75"/>
    <row r="50676" ht="12.75"/>
    <row r="50677" ht="12.75"/>
    <row r="50678" ht="12.75"/>
    <row r="50679" ht="12.75"/>
    <row r="50680" ht="12.75"/>
    <row r="50681" ht="12.75"/>
    <row r="50682" ht="12.75"/>
    <row r="50683" ht="12.75"/>
    <row r="50684" ht="12.75"/>
    <row r="50685" ht="12.75"/>
    <row r="50686" ht="12.75"/>
    <row r="50687" ht="12.75"/>
    <row r="50688" ht="12.75"/>
    <row r="50689" ht="12.75"/>
    <row r="50690" ht="12.75"/>
    <row r="50691" ht="12.75"/>
    <row r="50692" ht="12.75"/>
    <row r="50693" ht="12.75"/>
    <row r="50694" ht="12.75"/>
    <row r="50695" ht="12.75"/>
    <row r="50696" ht="12.75"/>
    <row r="50697" ht="12.75"/>
    <row r="50698" ht="12.75"/>
    <row r="50699" ht="12.75"/>
    <row r="50700" ht="12.75"/>
    <row r="50701" ht="12.75"/>
    <row r="50702" ht="12.75"/>
    <row r="50703" ht="12.75"/>
    <row r="50704" ht="12.75"/>
    <row r="50705" ht="12.75"/>
    <row r="50706" ht="12.75"/>
    <row r="50707" ht="12.75"/>
    <row r="50708" ht="12.75"/>
    <row r="50709" ht="12.75"/>
    <row r="50710" ht="12.75"/>
    <row r="50711" ht="12.75"/>
    <row r="50712" ht="12.75"/>
    <row r="50713" ht="12.75"/>
    <row r="50714" ht="12.75"/>
    <row r="50715" ht="12.75"/>
    <row r="50716" ht="12.75"/>
    <row r="50717" ht="12.75"/>
    <row r="50718" ht="12.75"/>
    <row r="50719" ht="12.75"/>
    <row r="50720" ht="12.75"/>
    <row r="50721" ht="12.75"/>
    <row r="50722" ht="12.75"/>
    <row r="50723" ht="12.75"/>
    <row r="50724" ht="12.75"/>
    <row r="50725" ht="12.75"/>
    <row r="50726" ht="12.75"/>
    <row r="50727" ht="12.75"/>
    <row r="50728" ht="12.75"/>
    <row r="50729" ht="12.75"/>
    <row r="50730" ht="12.75"/>
    <row r="50731" ht="12.75"/>
    <row r="50732" ht="12.75"/>
    <row r="50733" ht="12.75"/>
    <row r="50734" ht="12.75"/>
    <row r="50735" ht="12.75"/>
    <row r="50736" ht="12.75"/>
    <row r="50737" ht="12.75"/>
    <row r="50738" ht="12.75"/>
    <row r="50739" ht="12.75"/>
    <row r="50740" ht="12.75"/>
    <row r="50741" ht="12.75"/>
    <row r="50742" ht="12.75"/>
    <row r="50743" ht="12.75"/>
    <row r="50744" ht="12.75"/>
    <row r="50745" ht="12.75"/>
    <row r="50746" ht="12.75"/>
    <row r="50747" ht="12.75"/>
    <row r="50748" ht="12.75"/>
    <row r="50749" ht="12.75"/>
    <row r="50750" ht="12.75"/>
    <row r="50751" ht="12.75"/>
    <row r="50752" ht="12.75"/>
    <row r="50753" ht="12.75"/>
    <row r="50754" ht="12.75"/>
    <row r="50755" ht="12.75"/>
    <row r="50756" ht="12.75"/>
    <row r="50757" ht="12.75"/>
    <row r="50758" ht="12.75"/>
    <row r="50759" ht="12.75"/>
    <row r="50760" ht="12.75"/>
    <row r="50761" ht="12.75"/>
    <row r="50762" ht="12.75"/>
    <row r="50763" ht="12.75"/>
    <row r="50764" ht="12.75"/>
    <row r="50765" ht="12.75"/>
    <row r="50766" ht="12.75"/>
    <row r="50767" ht="12.75"/>
    <row r="50768" ht="12.75"/>
    <row r="50769" ht="12.75"/>
    <row r="50770" ht="12.75"/>
    <row r="50771" ht="12.75"/>
    <row r="50772" ht="12.75"/>
    <row r="50773" ht="12.75"/>
    <row r="50774" ht="12.75"/>
    <row r="50775" ht="12.75"/>
    <row r="50776" ht="12.75"/>
    <row r="50777" ht="12.75"/>
    <row r="50778" ht="12.75"/>
    <row r="50779" ht="12.75"/>
    <row r="50780" ht="12.75"/>
    <row r="50781" ht="12.75"/>
    <row r="50782" ht="12.75"/>
    <row r="50783" ht="12.75"/>
    <row r="50784" ht="12.75"/>
    <row r="50785" ht="12.75"/>
    <row r="50786" ht="12.75"/>
    <row r="50787" ht="12.75"/>
    <row r="50788" ht="12.75"/>
    <row r="50789" ht="12.75"/>
    <row r="50790" ht="12.75"/>
    <row r="50791" ht="12.75"/>
    <row r="50792" ht="12.75"/>
    <row r="50793" ht="12.75"/>
    <row r="50794" ht="12.75"/>
    <row r="50795" ht="12.75"/>
    <row r="50796" ht="12.75"/>
    <row r="50797" ht="12.75"/>
    <row r="50798" ht="12.75"/>
    <row r="50799" ht="12.75"/>
    <row r="50800" ht="12.75"/>
    <row r="50801" ht="12.75"/>
    <row r="50802" ht="12.75"/>
    <row r="50803" ht="12.75"/>
    <row r="50804" ht="12.75"/>
    <row r="50805" ht="12.75"/>
    <row r="50806" ht="12.75"/>
    <row r="50807" ht="12.75"/>
    <row r="50808" ht="12.75"/>
    <row r="50809" ht="12.75"/>
    <row r="50810" ht="12.75"/>
    <row r="50811" ht="12.75"/>
    <row r="50812" ht="12.75"/>
    <row r="50813" ht="12.75"/>
    <row r="50814" ht="12.75"/>
    <row r="50815" ht="12.75"/>
    <row r="50816" ht="12.75"/>
    <row r="50817" ht="12.75"/>
    <row r="50818" ht="12.75"/>
    <row r="50819" ht="12.75"/>
    <row r="50820" ht="12.75"/>
    <row r="50821" ht="12.75"/>
    <row r="50822" ht="12.75"/>
    <row r="50823" ht="12.75"/>
    <row r="50824" ht="12.75"/>
    <row r="50825" ht="12.75"/>
    <row r="50826" ht="12.75"/>
    <row r="50827" ht="12.75"/>
    <row r="50828" ht="12.75"/>
    <row r="50829" ht="12.75"/>
    <row r="50830" ht="12.75"/>
    <row r="50831" ht="12.75"/>
    <row r="50832" ht="12.75"/>
    <row r="50833" ht="12.75"/>
    <row r="50834" ht="12.75"/>
    <row r="50835" ht="12.75"/>
    <row r="50836" ht="12.75"/>
    <row r="50837" ht="12.75"/>
    <row r="50838" ht="12.75"/>
    <row r="50839" ht="12.75"/>
    <row r="50840" ht="12.75"/>
    <row r="50841" ht="12.75"/>
    <row r="50842" ht="12.75"/>
    <row r="50843" ht="12.75"/>
    <row r="50844" ht="12.75"/>
    <row r="50845" ht="12.75"/>
    <row r="50846" ht="12.75"/>
    <row r="50847" ht="12.75"/>
    <row r="50848" ht="12.75"/>
    <row r="50849" ht="12.75"/>
    <row r="50850" ht="12.75"/>
    <row r="50851" ht="12.75"/>
    <row r="50852" ht="12.75"/>
    <row r="50853" ht="12.75"/>
    <row r="50854" ht="12.75"/>
    <row r="50855" ht="12.75"/>
    <row r="50856" ht="12.75"/>
    <row r="50857" ht="12.75"/>
    <row r="50858" ht="12.75"/>
    <row r="50859" ht="12.75"/>
    <row r="50860" ht="12.75"/>
    <row r="50861" ht="12.75"/>
    <row r="50862" ht="12.75"/>
    <row r="50863" ht="12.75"/>
    <row r="50864" ht="12.75"/>
    <row r="50865" ht="12.75"/>
    <row r="50866" ht="12.75"/>
    <row r="50867" ht="12.75"/>
    <row r="50868" ht="12.75"/>
    <row r="50869" ht="12.75"/>
    <row r="50870" ht="12.75"/>
    <row r="50871" ht="12.75"/>
    <row r="50872" ht="12.75"/>
    <row r="50873" ht="12.75"/>
    <row r="50874" ht="12.75"/>
    <row r="50875" ht="12.75"/>
    <row r="50876" ht="12.75"/>
    <row r="50877" ht="12.75"/>
    <row r="50878" ht="12.75"/>
    <row r="50879" ht="12.75"/>
    <row r="50880" ht="12.75"/>
    <row r="50881" ht="12.75"/>
    <row r="50882" ht="12.75"/>
    <row r="50883" ht="12.75"/>
    <row r="50884" ht="12.75"/>
    <row r="50885" ht="12.75"/>
    <row r="50886" ht="12.75"/>
    <row r="50887" ht="12.75"/>
    <row r="50888" ht="12.75"/>
    <row r="50889" ht="12.75"/>
    <row r="50890" ht="12.75"/>
    <row r="50891" ht="12.75"/>
    <row r="50892" ht="12.75"/>
    <row r="50893" ht="12.75"/>
    <row r="50894" ht="12.75"/>
    <row r="50895" ht="12.75"/>
    <row r="50896" ht="12.75"/>
    <row r="50897" ht="12.75"/>
    <row r="50898" ht="12.75"/>
    <row r="50899" ht="12.75"/>
    <row r="50900" ht="12.75"/>
    <row r="50901" ht="12.75"/>
    <row r="50902" ht="12.75"/>
    <row r="50903" ht="12.75"/>
    <row r="50904" ht="12.75"/>
    <row r="50905" ht="12.75"/>
    <row r="50906" ht="12.75"/>
    <row r="50907" ht="12.75"/>
    <row r="50908" ht="12.75"/>
    <row r="50909" ht="12.75"/>
    <row r="50910" ht="12.75"/>
    <row r="50911" ht="12.75"/>
    <row r="50912" ht="12.75"/>
    <row r="50913" ht="12.75"/>
    <row r="50914" ht="12.75"/>
    <row r="50915" ht="12.75"/>
    <row r="50916" ht="12.75"/>
    <row r="50917" ht="12.75"/>
    <row r="50918" ht="12.75"/>
    <row r="50919" ht="12.75"/>
    <row r="50920" ht="12.75"/>
    <row r="50921" ht="12.75"/>
    <row r="50922" ht="12.75"/>
    <row r="50923" ht="12.75"/>
    <row r="50924" ht="12.75"/>
    <row r="50925" ht="12.75"/>
    <row r="50926" ht="12.75"/>
    <row r="50927" ht="12.75"/>
    <row r="50928" ht="12.75"/>
    <row r="50929" ht="12.75"/>
    <row r="50930" ht="12.75"/>
    <row r="50931" ht="12.75"/>
    <row r="50932" ht="12.75"/>
    <row r="50933" ht="12.75"/>
    <row r="50934" ht="12.75"/>
    <row r="50935" ht="12.75"/>
    <row r="50936" ht="12.75"/>
    <row r="50937" ht="12.75"/>
    <row r="50938" ht="12.75"/>
    <row r="50939" ht="12.75"/>
    <row r="50940" ht="12.75"/>
    <row r="50941" ht="12.75"/>
    <row r="50942" ht="12.75"/>
    <row r="50943" ht="12.75"/>
    <row r="50944" ht="12.75"/>
    <row r="50945" ht="12.75"/>
    <row r="50946" ht="12.75"/>
    <row r="50947" ht="12.75"/>
    <row r="50948" ht="12.75"/>
    <row r="50949" ht="12.75"/>
    <row r="50950" ht="12.75"/>
    <row r="50951" ht="12.75"/>
    <row r="50952" ht="12.75"/>
    <row r="50953" ht="12.75"/>
    <row r="50954" ht="12.75"/>
    <row r="50955" ht="12.75"/>
    <row r="50956" ht="12.75"/>
    <row r="50957" ht="12.75"/>
    <row r="50958" ht="12.75"/>
    <row r="50959" ht="12.75"/>
    <row r="50960" ht="12.75"/>
    <row r="50961" ht="12.75"/>
    <row r="50962" ht="12.75"/>
    <row r="50963" ht="12.75"/>
    <row r="50964" ht="12.75"/>
    <row r="50965" ht="12.75"/>
    <row r="50966" ht="12.75"/>
    <row r="50967" ht="12.75"/>
    <row r="50968" ht="12.75"/>
    <row r="50969" ht="12.75"/>
    <row r="50970" ht="12.75"/>
    <row r="50971" ht="12.75"/>
    <row r="50972" ht="12.75"/>
    <row r="50973" ht="12.75"/>
    <row r="50974" ht="12.75"/>
    <row r="50975" ht="12.75"/>
    <row r="50976" ht="12.75"/>
    <row r="50977" ht="12.75"/>
    <row r="50978" ht="12.75"/>
    <row r="50979" ht="12.75"/>
    <row r="50980" ht="12.75"/>
    <row r="50981" ht="12.75"/>
    <row r="50982" ht="12.75"/>
    <row r="50983" ht="12.75"/>
    <row r="50984" ht="12.75"/>
    <row r="50985" ht="12.75"/>
    <row r="50986" ht="12.75"/>
    <row r="50987" ht="12.75"/>
    <row r="50988" ht="12.75"/>
    <row r="50989" ht="12.75"/>
    <row r="50990" ht="12.75"/>
    <row r="50991" ht="12.75"/>
    <row r="50992" ht="12.75"/>
    <row r="50993" ht="12.75"/>
    <row r="50994" ht="12.75"/>
    <row r="50995" ht="12.75"/>
    <row r="50996" ht="12.75"/>
    <row r="50997" ht="12.75"/>
    <row r="50998" ht="12.75"/>
    <row r="50999" ht="12.75"/>
    <row r="51000" ht="12.75"/>
    <row r="51001" ht="12.75"/>
    <row r="51002" ht="12.75"/>
    <row r="51003" ht="12.75"/>
    <row r="51004" ht="12.75"/>
    <row r="51005" ht="12.75"/>
    <row r="51006" ht="12.75"/>
    <row r="51007" ht="12.75"/>
    <row r="51008" ht="12.75"/>
    <row r="51009" ht="12.75"/>
    <row r="51010" ht="12.75"/>
    <row r="51011" ht="12.75"/>
    <row r="51012" ht="12.75"/>
    <row r="51013" ht="12.75"/>
    <row r="51014" ht="12.75"/>
    <row r="51015" ht="12.75"/>
    <row r="51016" ht="12.75"/>
    <row r="51017" ht="12.75"/>
    <row r="51018" ht="12.75"/>
    <row r="51019" ht="12.75"/>
    <row r="51020" ht="12.75"/>
    <row r="51021" ht="12.75"/>
    <row r="51022" ht="12.75"/>
    <row r="51023" ht="12.75"/>
    <row r="51024" ht="12.75"/>
    <row r="51025" ht="12.75"/>
    <row r="51026" ht="12.75"/>
    <row r="51027" ht="12.75"/>
    <row r="51028" ht="12.75"/>
    <row r="51029" ht="12.75"/>
    <row r="51030" ht="12.75"/>
    <row r="51031" ht="12.75"/>
    <row r="51032" ht="12.75"/>
    <row r="51033" ht="12.75"/>
    <row r="51034" ht="12.75"/>
    <row r="51035" ht="12.75"/>
    <row r="51036" ht="12.75"/>
    <row r="51037" ht="12.75"/>
    <row r="51038" ht="12.75"/>
    <row r="51039" ht="12.75"/>
    <row r="51040" ht="12.75"/>
    <row r="51041" ht="12.75"/>
    <row r="51042" ht="12.75"/>
    <row r="51043" ht="12.75"/>
    <row r="51044" ht="12.75"/>
    <row r="51045" ht="12.75"/>
    <row r="51046" ht="12.75"/>
    <row r="51047" ht="12.75"/>
    <row r="51048" ht="12.75"/>
    <row r="51049" ht="12.75"/>
    <row r="51050" ht="12.75"/>
    <row r="51051" ht="12.75"/>
    <row r="51052" ht="12.75"/>
    <row r="51053" ht="12.75"/>
    <row r="51054" ht="12.75"/>
    <row r="51055" ht="12.75"/>
    <row r="51056" ht="12.75"/>
    <row r="51057" ht="12.75"/>
    <row r="51058" ht="12.75"/>
    <row r="51059" ht="12.75"/>
    <row r="51060" ht="12.75"/>
    <row r="51061" ht="12.75"/>
    <row r="51062" ht="12.75"/>
    <row r="51063" ht="12.75"/>
    <row r="51064" ht="12.75"/>
    <row r="51065" ht="12.75"/>
    <row r="51066" ht="12.75"/>
    <row r="51067" ht="12.75"/>
    <row r="51068" ht="12.75"/>
    <row r="51069" ht="12.75"/>
    <row r="51070" ht="12.75"/>
    <row r="51071" ht="12.75"/>
    <row r="51072" ht="12.75"/>
    <row r="51073" ht="12.75"/>
    <row r="51074" ht="12.75"/>
    <row r="51075" ht="12.75"/>
    <row r="51076" ht="12.75"/>
    <row r="51077" ht="12.75"/>
    <row r="51078" ht="12.75"/>
    <row r="51079" ht="12.75"/>
    <row r="51080" ht="12.75"/>
    <row r="51081" ht="12.75"/>
    <row r="51082" ht="12.75"/>
    <row r="51083" ht="12.75"/>
    <row r="51084" ht="12.75"/>
    <row r="51085" ht="12.75"/>
    <row r="51086" ht="12.75"/>
    <row r="51087" ht="12.75"/>
    <row r="51088" ht="12.75"/>
    <row r="51089" ht="12.75"/>
    <row r="51090" ht="12.75"/>
    <row r="51091" ht="12.75"/>
    <row r="51092" ht="12.75"/>
    <row r="51093" ht="12.75"/>
    <row r="51094" ht="12.75"/>
    <row r="51095" ht="12.75"/>
    <row r="51096" ht="12.75"/>
    <row r="51097" ht="12.75"/>
    <row r="51098" ht="12.75"/>
    <row r="51099" ht="12.75"/>
    <row r="51100" ht="12.75"/>
    <row r="51101" ht="12.75"/>
    <row r="51102" ht="12.75"/>
    <row r="51103" ht="12.75"/>
    <row r="51104" ht="12.75"/>
    <row r="51105" ht="12.75"/>
    <row r="51106" ht="12.75"/>
    <row r="51107" ht="12.75"/>
    <row r="51108" ht="12.75"/>
    <row r="51109" ht="12.75"/>
    <row r="51110" ht="12.75"/>
    <row r="51111" ht="12.75"/>
    <row r="51112" ht="12.75"/>
    <row r="51113" ht="12.75"/>
    <row r="51114" ht="12.75"/>
    <row r="51115" ht="12.75"/>
    <row r="51116" ht="12.75"/>
    <row r="51117" ht="12.75"/>
    <row r="51118" ht="12.75"/>
    <row r="51119" ht="12.75"/>
    <row r="51120" ht="12.75"/>
    <row r="51121" ht="12.75"/>
    <row r="51122" ht="12.75"/>
    <row r="51123" ht="12.75"/>
    <row r="51124" ht="12.75"/>
    <row r="51125" ht="12.75"/>
    <row r="51126" ht="12.75"/>
    <row r="51127" ht="12.75"/>
    <row r="51128" ht="12.75"/>
    <row r="51129" ht="12.75"/>
    <row r="51130" ht="12.75"/>
    <row r="51131" ht="12.75"/>
    <row r="51132" ht="12.75"/>
    <row r="51133" ht="12.75"/>
    <row r="51134" ht="12.75"/>
    <row r="51135" ht="12.75"/>
    <row r="51136" ht="12.75"/>
    <row r="51137" ht="12.75"/>
    <row r="51138" ht="12.75"/>
    <row r="51139" ht="12.75"/>
    <row r="51140" ht="12.75"/>
    <row r="51141" ht="12.75"/>
    <row r="51142" ht="12.75"/>
    <row r="51143" ht="12.75"/>
    <row r="51144" ht="12.75"/>
    <row r="51145" ht="12.75"/>
    <row r="51146" ht="12.75"/>
    <row r="51147" ht="12.75"/>
    <row r="51148" ht="12.75"/>
    <row r="51149" ht="12.75"/>
    <row r="51150" ht="12.75"/>
    <row r="51151" ht="12.75"/>
    <row r="51152" ht="12.75"/>
    <row r="51153" ht="12.75"/>
    <row r="51154" ht="12.75"/>
    <row r="51155" ht="12.75"/>
    <row r="51156" ht="12.75"/>
    <row r="51157" ht="12.75"/>
    <row r="51158" ht="12.75"/>
    <row r="51159" ht="12.75"/>
    <row r="51160" ht="12.75"/>
    <row r="51161" ht="12.75"/>
    <row r="51162" ht="12.75"/>
    <row r="51163" ht="12.75"/>
    <row r="51164" ht="12.75"/>
    <row r="51165" ht="12.75"/>
    <row r="51166" ht="12.75"/>
    <row r="51167" ht="12.75"/>
    <row r="51168" ht="12.75"/>
    <row r="51169" ht="12.75"/>
    <row r="51170" ht="12.75"/>
    <row r="51171" ht="12.75"/>
    <row r="51172" ht="12.75"/>
    <row r="51173" ht="12.75"/>
    <row r="51174" ht="12.75"/>
    <row r="51175" ht="12.75"/>
    <row r="51176" ht="12.75"/>
    <row r="51177" ht="12.75"/>
    <row r="51178" ht="12.75"/>
    <row r="51179" ht="12.75"/>
    <row r="51180" ht="12.75"/>
    <row r="51181" ht="12.75"/>
    <row r="51182" ht="12.75"/>
    <row r="51183" ht="12.75"/>
    <row r="51184" ht="12.75"/>
    <row r="51185" ht="12.75"/>
    <row r="51186" ht="12.75"/>
    <row r="51187" ht="12.75"/>
    <row r="51188" ht="12.75"/>
    <row r="51189" ht="12.75"/>
    <row r="51190" ht="12.75"/>
    <row r="51191" ht="12.75"/>
    <row r="51192" ht="12.75"/>
    <row r="51193" ht="12.75"/>
    <row r="51194" ht="12.75"/>
    <row r="51195" ht="12.75"/>
    <row r="51196" ht="12.75"/>
    <row r="51197" ht="12.75"/>
    <row r="51198" ht="12.75"/>
    <row r="51199" ht="12.75"/>
    <row r="51200" ht="12.75"/>
    <row r="51201" ht="12.75"/>
    <row r="51202" ht="12.75"/>
    <row r="51203" ht="12.75"/>
    <row r="51204" ht="12.75"/>
    <row r="51205" ht="12.75"/>
    <row r="51206" ht="12.75"/>
    <row r="51207" ht="12.75"/>
    <row r="51208" ht="12.75"/>
    <row r="51209" ht="12.75"/>
    <row r="51210" ht="12.75"/>
    <row r="51211" ht="12.75"/>
    <row r="51212" ht="12.75"/>
    <row r="51213" ht="12.75"/>
    <row r="51214" ht="12.75"/>
    <row r="51215" ht="12.75"/>
    <row r="51216" ht="12.75"/>
    <row r="51217" ht="12.75"/>
    <row r="51218" ht="12.75"/>
    <row r="51219" ht="12.75"/>
    <row r="51220" ht="12.75"/>
    <row r="51221" ht="12.75"/>
    <row r="51222" ht="12.75"/>
    <row r="51223" ht="12.75"/>
    <row r="51224" ht="12.75"/>
    <row r="51225" ht="12.75"/>
    <row r="51226" ht="12.75"/>
    <row r="51227" ht="12.75"/>
    <row r="51228" ht="12.75"/>
    <row r="51229" ht="12.75"/>
    <row r="51230" ht="12.75"/>
    <row r="51231" ht="12.75"/>
    <row r="51232" ht="12.75"/>
    <row r="51233" ht="12.75"/>
    <row r="51234" ht="12.75"/>
    <row r="51235" ht="12.75"/>
    <row r="51236" ht="12.75"/>
    <row r="51237" ht="12.75"/>
    <row r="51238" ht="12.75"/>
    <row r="51239" ht="12.75"/>
    <row r="51240" ht="12.75"/>
    <row r="51241" ht="12.75"/>
    <row r="51242" ht="12.75"/>
    <row r="51243" ht="12.75"/>
    <row r="51244" ht="12.75"/>
    <row r="51245" ht="12.75"/>
    <row r="51246" ht="12.75"/>
    <row r="51247" ht="12.75"/>
    <row r="51248" ht="12.75"/>
    <row r="51249" ht="12.75"/>
    <row r="51250" ht="12.75"/>
    <row r="51251" ht="12.75"/>
    <row r="51252" ht="12.75"/>
    <row r="51253" ht="12.75"/>
    <row r="51254" ht="12.75"/>
    <row r="51255" ht="12.75"/>
    <row r="51256" ht="12.75"/>
    <row r="51257" ht="12.75"/>
    <row r="51258" ht="12.75"/>
    <row r="51259" ht="12.75"/>
    <row r="51260" ht="12.75"/>
    <row r="51261" ht="12.75"/>
    <row r="51262" ht="12.75"/>
    <row r="51263" ht="12.75"/>
    <row r="51264" ht="12.75"/>
    <row r="51265" ht="12.75"/>
    <row r="51266" ht="12.75"/>
    <row r="51267" ht="12.75"/>
    <row r="51268" ht="12.75"/>
    <row r="51269" ht="12.75"/>
    <row r="51270" ht="12.75"/>
    <row r="51271" ht="12.75"/>
    <row r="51272" ht="12.75"/>
    <row r="51273" ht="12.75"/>
    <row r="51274" ht="12.75"/>
    <row r="51275" ht="12.75"/>
    <row r="51276" ht="12.75"/>
    <row r="51277" ht="12.75"/>
    <row r="51278" ht="12.75"/>
    <row r="51279" ht="12.75"/>
    <row r="51280" ht="12.75"/>
    <row r="51281" ht="12.75"/>
    <row r="51282" ht="12.75"/>
    <row r="51283" ht="12.75"/>
    <row r="51284" ht="12.75"/>
    <row r="51285" ht="12.75"/>
    <row r="51286" ht="12.75"/>
    <row r="51287" ht="12.75"/>
    <row r="51288" ht="12.75"/>
    <row r="51289" ht="12.75"/>
    <row r="51290" ht="12.75"/>
    <row r="51291" ht="12.75"/>
    <row r="51292" ht="12.75"/>
    <row r="51293" ht="12.75"/>
    <row r="51294" ht="12.75"/>
    <row r="51295" ht="12.75"/>
    <row r="51296" ht="12.75"/>
    <row r="51297" ht="12.75"/>
    <row r="51298" ht="12.75"/>
    <row r="51299" ht="12.75"/>
    <row r="51300" ht="12.75"/>
    <row r="51301" ht="12.75"/>
    <row r="51302" ht="12.75"/>
    <row r="51303" ht="12.75"/>
    <row r="51304" ht="12.75"/>
    <row r="51305" ht="12.75"/>
    <row r="51306" ht="12.75"/>
    <row r="51307" ht="12.75"/>
    <row r="51308" ht="12.75"/>
    <row r="51309" ht="12.75"/>
    <row r="51310" ht="12.75"/>
    <row r="51311" ht="12.75"/>
    <row r="51312" ht="12.75"/>
    <row r="51313" ht="12.75"/>
    <row r="51314" ht="12.75"/>
    <row r="51315" ht="12.75"/>
    <row r="51316" ht="12.75"/>
    <row r="51317" ht="12.75"/>
    <row r="51318" ht="12.75"/>
    <row r="51319" ht="12.75"/>
    <row r="51320" ht="12.75"/>
    <row r="51321" ht="12.75"/>
    <row r="51322" ht="12.75"/>
    <row r="51323" ht="12.75"/>
    <row r="51324" ht="12.75"/>
    <row r="51325" ht="12.75"/>
    <row r="51326" ht="12.75"/>
    <row r="51327" ht="12.75"/>
    <row r="51328" ht="12.75"/>
    <row r="51329" ht="12.75"/>
    <row r="51330" ht="12.75"/>
    <row r="51331" ht="12.75"/>
    <row r="51332" ht="12.75"/>
    <row r="51333" ht="12.75"/>
    <row r="51334" ht="12.75"/>
    <row r="51335" ht="12.75"/>
    <row r="51336" ht="12.75"/>
    <row r="51337" ht="12.75"/>
    <row r="51338" ht="12.75"/>
    <row r="51339" ht="12.75"/>
    <row r="51340" ht="12.75"/>
    <row r="51341" ht="12.75"/>
    <row r="51342" ht="12.75"/>
    <row r="51343" ht="12.75"/>
    <row r="51344" ht="12.75"/>
    <row r="51345" ht="12.75"/>
    <row r="51346" ht="12.75"/>
    <row r="51347" ht="12.75"/>
    <row r="51348" ht="12.75"/>
    <row r="51349" ht="12.75"/>
    <row r="51350" ht="12.75"/>
    <row r="51351" ht="12.75"/>
    <row r="51352" ht="12.75"/>
    <row r="51353" ht="12.75"/>
    <row r="51354" ht="12.75"/>
    <row r="51355" ht="12.75"/>
    <row r="51356" ht="12.75"/>
    <row r="51357" ht="12.75"/>
    <row r="51358" ht="12.75"/>
    <row r="51359" ht="12.75"/>
    <row r="51360" ht="12.75"/>
    <row r="51361" ht="12.75"/>
    <row r="51362" ht="12.75"/>
    <row r="51363" ht="12.75"/>
    <row r="51364" ht="12.75"/>
    <row r="51365" ht="12.75"/>
    <row r="51366" ht="12.75"/>
    <row r="51367" ht="12.75"/>
    <row r="51368" ht="12.75"/>
    <row r="51369" ht="12.75"/>
    <row r="51370" ht="12.75"/>
    <row r="51371" ht="12.75"/>
    <row r="51372" ht="12.75"/>
    <row r="51373" ht="12.75"/>
    <row r="51374" ht="12.75"/>
    <row r="51375" ht="12.75"/>
    <row r="51376" ht="12.75"/>
    <row r="51377" ht="12.75"/>
    <row r="51378" ht="12.75"/>
    <row r="51379" ht="12.75"/>
    <row r="51380" ht="12.75"/>
    <row r="51381" ht="12.75"/>
    <row r="51382" ht="12.75"/>
    <row r="51383" ht="12.75"/>
    <row r="51384" ht="12.75"/>
    <row r="51385" ht="12.75"/>
    <row r="51386" ht="12.75"/>
    <row r="51387" ht="12.75"/>
    <row r="51388" ht="12.75"/>
    <row r="51389" ht="12.75"/>
    <row r="51390" ht="12.75"/>
    <row r="51391" ht="12.75"/>
    <row r="51392" ht="12.75"/>
    <row r="51393" ht="12.75"/>
    <row r="51394" ht="12.75"/>
    <row r="51395" ht="12.75"/>
    <row r="51396" ht="12.75"/>
    <row r="51397" ht="12.75"/>
    <row r="51398" ht="12.75"/>
    <row r="51399" ht="12.75"/>
    <row r="51400" ht="12.75"/>
    <row r="51401" ht="12.75"/>
    <row r="51402" ht="12.75"/>
    <row r="51403" ht="12.75"/>
    <row r="51404" ht="12.75"/>
    <row r="51405" ht="12.75"/>
    <row r="51406" ht="12.75"/>
    <row r="51407" ht="12.75"/>
    <row r="51408" ht="12.75"/>
    <row r="51409" ht="12.75"/>
    <row r="51410" ht="12.75"/>
    <row r="51411" ht="12.75"/>
    <row r="51412" ht="12.75"/>
    <row r="51413" ht="12.75"/>
    <row r="51414" ht="12.75"/>
    <row r="51415" ht="12.75"/>
    <row r="51416" ht="12.75"/>
    <row r="51417" ht="12.75"/>
    <row r="51418" ht="12.75"/>
    <row r="51419" ht="12.75"/>
    <row r="51420" ht="12.75"/>
    <row r="51421" ht="12.75"/>
    <row r="51422" ht="12.75"/>
    <row r="51423" ht="12.75"/>
    <row r="51424" ht="12.75"/>
    <row r="51425" ht="12.75"/>
    <row r="51426" ht="12.75"/>
    <row r="51427" ht="12.75"/>
    <row r="51428" ht="12.75"/>
    <row r="51429" ht="12.75"/>
    <row r="51430" ht="12.75"/>
    <row r="51431" ht="12.75"/>
    <row r="51432" ht="12.75"/>
    <row r="51433" ht="12.75"/>
    <row r="51434" ht="12.75"/>
    <row r="51435" ht="12.75"/>
    <row r="51436" ht="12.75"/>
    <row r="51437" ht="12.75"/>
    <row r="51438" ht="12.75"/>
    <row r="51439" ht="12.75"/>
    <row r="51440" ht="12.75"/>
    <row r="51441" ht="12.75"/>
    <row r="51442" ht="12.75"/>
    <row r="51443" ht="12.75"/>
    <row r="51444" ht="12.75"/>
    <row r="51445" ht="12.75"/>
    <row r="51446" ht="12.75"/>
    <row r="51447" ht="12.75"/>
    <row r="51448" ht="12.75"/>
    <row r="51449" ht="12.75"/>
    <row r="51450" ht="12.75"/>
    <row r="51451" ht="12.75"/>
    <row r="51452" ht="12.75"/>
    <row r="51453" ht="12.75"/>
    <row r="51454" ht="12.75"/>
    <row r="51455" ht="12.75"/>
    <row r="51456" ht="12.75"/>
    <row r="51457" ht="12.75"/>
    <row r="51458" ht="12.75"/>
    <row r="51459" ht="12.75"/>
    <row r="51460" ht="12.75"/>
    <row r="51461" ht="12.75"/>
    <row r="51462" ht="12.75"/>
    <row r="51463" ht="12.75"/>
    <row r="51464" ht="12.75"/>
    <row r="51465" ht="12.75"/>
    <row r="51466" ht="12.75"/>
    <row r="51467" ht="12.75"/>
    <row r="51468" ht="12.75"/>
    <row r="51469" ht="12.75"/>
    <row r="51470" ht="12.75"/>
    <row r="51471" ht="12.75"/>
    <row r="51472" ht="12.75"/>
    <row r="51473" ht="12.75"/>
    <row r="51474" ht="12.75"/>
    <row r="51475" ht="12.75"/>
    <row r="51476" ht="12.75"/>
    <row r="51477" ht="12.75"/>
    <row r="51478" ht="12.75"/>
    <row r="51479" ht="12.75"/>
    <row r="51480" ht="12.75"/>
    <row r="51481" ht="12.75"/>
    <row r="51482" ht="12.75"/>
    <row r="51483" ht="12.75"/>
    <row r="51484" ht="12.75"/>
    <row r="51485" ht="12.75"/>
    <row r="51486" ht="12.75"/>
    <row r="51487" ht="12.75"/>
    <row r="51488" ht="12.75"/>
    <row r="51489" ht="12.75"/>
    <row r="51490" ht="12.75"/>
    <row r="51491" ht="12.75"/>
    <row r="51492" ht="12.75"/>
    <row r="51493" ht="12.75"/>
    <row r="51494" ht="12.75"/>
    <row r="51495" ht="12.75"/>
    <row r="51496" ht="12.75"/>
    <row r="51497" ht="12.75"/>
    <row r="51498" ht="12.75"/>
    <row r="51499" ht="12.75"/>
    <row r="51500" ht="12.75"/>
    <row r="51501" ht="12.75"/>
    <row r="51502" ht="12.75"/>
    <row r="51503" ht="12.75"/>
    <row r="51504" ht="12.75"/>
    <row r="51505" ht="12.75"/>
    <row r="51506" ht="12.75"/>
    <row r="51507" ht="12.75"/>
    <row r="51508" ht="12.75"/>
    <row r="51509" ht="12.75"/>
    <row r="51510" ht="12.75"/>
    <row r="51511" ht="12.75"/>
    <row r="51512" ht="12.75"/>
    <row r="51513" ht="12.75"/>
    <row r="51514" ht="12.75"/>
    <row r="51515" ht="12.75"/>
    <row r="51516" ht="12.75"/>
    <row r="51517" ht="12.75"/>
    <row r="51518" ht="12.75"/>
    <row r="51519" ht="12.75"/>
    <row r="51520" ht="12.75"/>
    <row r="51521" ht="12.75"/>
    <row r="51522" ht="12.75"/>
    <row r="51523" ht="12.75"/>
    <row r="51524" ht="12.75"/>
    <row r="51525" ht="12.75"/>
    <row r="51526" ht="12.75"/>
    <row r="51527" ht="12.75"/>
    <row r="51528" ht="12.75"/>
    <row r="51529" ht="12.75"/>
    <row r="51530" ht="12.75"/>
    <row r="51531" ht="12.75"/>
    <row r="51532" ht="12.75"/>
    <row r="51533" ht="12.75"/>
    <row r="51534" ht="12.75"/>
    <row r="51535" ht="12.75"/>
    <row r="51536" ht="12.75"/>
    <row r="51537" ht="12.75"/>
    <row r="51538" ht="12.75"/>
    <row r="51539" ht="12.75"/>
    <row r="51540" ht="12.75"/>
    <row r="51541" ht="12.75"/>
    <row r="51542" ht="12.75"/>
    <row r="51543" ht="12.75"/>
    <row r="51544" ht="12.75"/>
    <row r="51545" ht="12.75"/>
    <row r="51546" ht="12.75"/>
    <row r="51547" ht="12.75"/>
    <row r="51548" ht="12.75"/>
    <row r="51549" ht="12.75"/>
    <row r="51550" ht="12.75"/>
    <row r="51551" ht="12.75"/>
    <row r="51552" ht="12.75"/>
    <row r="51553" ht="12.75"/>
    <row r="51554" ht="12.75"/>
    <row r="51555" ht="12.75"/>
    <row r="51556" ht="12.75"/>
    <row r="51557" ht="12.75"/>
    <row r="51558" ht="12.75"/>
    <row r="51559" ht="12.75"/>
    <row r="51560" ht="12.75"/>
    <row r="51561" ht="12.75"/>
    <row r="51562" ht="12.75"/>
    <row r="51563" ht="12.75"/>
    <row r="51564" ht="12.75"/>
    <row r="51565" ht="12.75"/>
    <row r="51566" ht="12.75"/>
    <row r="51567" ht="12.75"/>
    <row r="51568" ht="12.75"/>
    <row r="51569" ht="12.75"/>
    <row r="51570" ht="12.75"/>
    <row r="51571" ht="12.75"/>
    <row r="51572" ht="12.75"/>
    <row r="51573" ht="12.75"/>
    <row r="51574" ht="12.75"/>
    <row r="51575" ht="12.75"/>
    <row r="51576" ht="12.75"/>
    <row r="51577" ht="12.75"/>
    <row r="51578" ht="12.75"/>
    <row r="51579" ht="12.75"/>
    <row r="51580" ht="12.75"/>
    <row r="51581" ht="12.75"/>
    <row r="51582" ht="12.75"/>
    <row r="51583" ht="12.75"/>
    <row r="51584" ht="12.75"/>
    <row r="51585" ht="12.75"/>
    <row r="51586" ht="12.75"/>
    <row r="51587" ht="12.75"/>
    <row r="51588" ht="12.75"/>
    <row r="51589" ht="12.75"/>
    <row r="51590" ht="12.75"/>
    <row r="51591" ht="12.75"/>
    <row r="51592" ht="12.75"/>
    <row r="51593" ht="12.75"/>
    <row r="51594" ht="12.75"/>
    <row r="51595" ht="12.75"/>
    <row r="51596" ht="12.75"/>
    <row r="51597" ht="12.75"/>
    <row r="51598" ht="12.75"/>
    <row r="51599" ht="12.75"/>
    <row r="51600" ht="12.75"/>
    <row r="51601" ht="12.75"/>
    <row r="51602" ht="12.75"/>
    <row r="51603" ht="12.75"/>
    <row r="51604" ht="12.75"/>
    <row r="51605" ht="12.75"/>
    <row r="51606" ht="12.75"/>
    <row r="51607" ht="12.75"/>
    <row r="51608" ht="12.75"/>
    <row r="51609" ht="12.75"/>
    <row r="51610" ht="12.75"/>
    <row r="51611" ht="12.75"/>
    <row r="51612" ht="12.75"/>
    <row r="51613" ht="12.75"/>
    <row r="51614" ht="12.75"/>
    <row r="51615" ht="12.75"/>
    <row r="51616" ht="12.75"/>
    <row r="51617" ht="12.75"/>
    <row r="51618" ht="12.75"/>
    <row r="51619" ht="12.75"/>
    <row r="51620" ht="12.75"/>
    <row r="51621" ht="12.75"/>
    <row r="51622" ht="12.75"/>
    <row r="51623" ht="12.75"/>
    <row r="51624" ht="12.75"/>
    <row r="51625" ht="12.75"/>
    <row r="51626" ht="12.75"/>
    <row r="51627" ht="12.75"/>
    <row r="51628" ht="12.75"/>
    <row r="51629" ht="12.75"/>
    <row r="51630" ht="12.75"/>
    <row r="51631" ht="12.75"/>
    <row r="51632" ht="12.75"/>
    <row r="51633" ht="12.75"/>
    <row r="51634" ht="12.75"/>
    <row r="51635" ht="12.75"/>
    <row r="51636" ht="12.75"/>
    <row r="51637" ht="12.75"/>
    <row r="51638" ht="12.75"/>
    <row r="51639" ht="12.75"/>
    <row r="51640" ht="12.75"/>
    <row r="51641" ht="12.75"/>
    <row r="51642" ht="12.75"/>
    <row r="51643" ht="12.75"/>
    <row r="51644" ht="12.75"/>
    <row r="51645" ht="12.75"/>
    <row r="51646" ht="12.75"/>
    <row r="51647" ht="12.75"/>
    <row r="51648" ht="12.75"/>
    <row r="51649" ht="12.75"/>
    <row r="51650" ht="12.75"/>
    <row r="51651" ht="12.75"/>
    <row r="51652" ht="12.75"/>
    <row r="51653" ht="12.75"/>
    <row r="51654" ht="12.75"/>
    <row r="51655" ht="12.75"/>
    <row r="51656" ht="12.75"/>
    <row r="51657" ht="12.75"/>
    <row r="51658" ht="12.75"/>
    <row r="51659" ht="12.75"/>
    <row r="51660" ht="12.75"/>
    <row r="51661" ht="12.75"/>
    <row r="51662" ht="12.75"/>
    <row r="51663" ht="12.75"/>
    <row r="51664" ht="12.75"/>
    <row r="51665" ht="12.75"/>
    <row r="51666" ht="12.75"/>
    <row r="51667" ht="12.75"/>
    <row r="51668" ht="12.75"/>
    <row r="51669" ht="12.75"/>
    <row r="51670" ht="12.75"/>
    <row r="51671" ht="12.75"/>
    <row r="51672" ht="12.75"/>
    <row r="51673" ht="12.75"/>
    <row r="51674" ht="12.75"/>
    <row r="51675" ht="12.75"/>
    <row r="51676" ht="12.75"/>
    <row r="51677" ht="12.75"/>
    <row r="51678" ht="12.75"/>
    <row r="51679" ht="12.75"/>
    <row r="51680" ht="12.75"/>
    <row r="51681" ht="12.75"/>
    <row r="51682" ht="12.75"/>
    <row r="51683" ht="12.75"/>
    <row r="51684" ht="12.75"/>
    <row r="51685" ht="12.75"/>
    <row r="51686" ht="12.75"/>
    <row r="51687" ht="12.75"/>
    <row r="51688" ht="12.75"/>
    <row r="51689" ht="12.75"/>
    <row r="51690" ht="12.75"/>
    <row r="51691" ht="12.75"/>
    <row r="51692" ht="12.75"/>
    <row r="51693" ht="12.75"/>
    <row r="51694" ht="12.75"/>
    <row r="51695" ht="12.75"/>
    <row r="51696" ht="12.75"/>
    <row r="51697" ht="12.75"/>
    <row r="51698" ht="12.75"/>
    <row r="51699" ht="12.75"/>
    <row r="51700" ht="12.75"/>
    <row r="51701" ht="12.75"/>
    <row r="51702" ht="12.75"/>
    <row r="51703" ht="12.75"/>
    <row r="51704" ht="12.75"/>
    <row r="51705" ht="12.75"/>
    <row r="51706" ht="12.75"/>
    <row r="51707" ht="12.75"/>
    <row r="51708" ht="12.75"/>
    <row r="51709" ht="12.75"/>
    <row r="51710" ht="12.75"/>
    <row r="51711" ht="12.75"/>
    <row r="51712" ht="12.75"/>
    <row r="51713" ht="12.75"/>
    <row r="51714" ht="12.75"/>
    <row r="51715" ht="12.75"/>
    <row r="51716" ht="12.75"/>
    <row r="51717" ht="12.75"/>
    <row r="51718" ht="12.75"/>
    <row r="51719" ht="12.75"/>
    <row r="51720" ht="12.75"/>
    <row r="51721" ht="12.75"/>
    <row r="51722" ht="12.75"/>
    <row r="51723" ht="12.75"/>
    <row r="51724" ht="12.75"/>
    <row r="51725" ht="12.75"/>
    <row r="51726" ht="12.75"/>
    <row r="51727" ht="12.75"/>
    <row r="51728" ht="12.75"/>
    <row r="51729" ht="12.75"/>
    <row r="51730" ht="12.75"/>
    <row r="51731" ht="12.75"/>
    <row r="51732" ht="12.75"/>
    <row r="51733" ht="12.75"/>
    <row r="51734" ht="12.75"/>
    <row r="51735" ht="12.75"/>
    <row r="51736" ht="12.75"/>
    <row r="51737" ht="12.75"/>
    <row r="51738" ht="12.75"/>
    <row r="51739" ht="12.75"/>
    <row r="51740" ht="12.75"/>
    <row r="51741" ht="12.75"/>
    <row r="51742" ht="12.75"/>
    <row r="51743" ht="12.75"/>
    <row r="51744" ht="12.75"/>
    <row r="51745" ht="12.75"/>
    <row r="51746" ht="12.75"/>
    <row r="51747" ht="12.75"/>
    <row r="51748" ht="12.75"/>
    <row r="51749" ht="12.75"/>
    <row r="51750" ht="12.75"/>
    <row r="51751" ht="12.75"/>
    <row r="51752" ht="12.75"/>
    <row r="51753" ht="12.75"/>
    <row r="51754" ht="12.75"/>
    <row r="51755" ht="12.75"/>
    <row r="51756" ht="12.75"/>
    <row r="51757" ht="12.75"/>
    <row r="51758" ht="12.75"/>
    <row r="51759" ht="12.75"/>
    <row r="51760" ht="12.75"/>
    <row r="51761" ht="12.75"/>
    <row r="51762" ht="12.75"/>
    <row r="51763" ht="12.75"/>
    <row r="51764" ht="12.75"/>
    <row r="51765" ht="12.75"/>
    <row r="51766" ht="12.75"/>
    <row r="51767" ht="12.75"/>
    <row r="51768" ht="12.75"/>
    <row r="51769" ht="12.75"/>
    <row r="51770" ht="12.75"/>
    <row r="51771" ht="12.75"/>
    <row r="51772" ht="12.75"/>
    <row r="51773" ht="12.75"/>
    <row r="51774" ht="12.75"/>
    <row r="51775" ht="12.75"/>
    <row r="51776" ht="12.75"/>
    <row r="51777" ht="12.75"/>
    <row r="51778" ht="12.75"/>
    <row r="51779" ht="12.75"/>
    <row r="51780" ht="12.75"/>
    <row r="51781" ht="12.75"/>
    <row r="51782" ht="12.75"/>
    <row r="51783" ht="12.75"/>
    <row r="51784" ht="12.75"/>
    <row r="51785" ht="12.75"/>
    <row r="51786" ht="12.75"/>
    <row r="51787" ht="12.75"/>
    <row r="51788" ht="12.75"/>
    <row r="51789" ht="12.75"/>
    <row r="51790" ht="12.75"/>
    <row r="51791" ht="12.75"/>
    <row r="51792" ht="12.75"/>
    <row r="51793" ht="12.75"/>
    <row r="51794" ht="12.75"/>
    <row r="51795" ht="12.75"/>
    <row r="51796" ht="12.75"/>
    <row r="51797" ht="12.75"/>
    <row r="51798" ht="12.75"/>
    <row r="51799" ht="12.75"/>
    <row r="51800" ht="12.75"/>
    <row r="51801" ht="12.75"/>
    <row r="51802" ht="12.75"/>
    <row r="51803" ht="12.75"/>
    <row r="51804" ht="12.75"/>
    <row r="51805" ht="12.75"/>
    <row r="51806" ht="12.75"/>
    <row r="51807" ht="12.75"/>
    <row r="51808" ht="12.75"/>
    <row r="51809" ht="12.75"/>
    <row r="51810" ht="12.75"/>
    <row r="51811" ht="12.75"/>
    <row r="51812" ht="12.75"/>
    <row r="51813" ht="12.75"/>
    <row r="51814" ht="12.75"/>
    <row r="51815" ht="12.75"/>
    <row r="51816" ht="12.75"/>
    <row r="51817" ht="12.75"/>
    <row r="51818" ht="12.75"/>
    <row r="51819" ht="12.75"/>
    <row r="51820" ht="12.75"/>
    <row r="51821" ht="12.75"/>
    <row r="51822" ht="12.75"/>
    <row r="51823" ht="12.75"/>
    <row r="51824" ht="12.75"/>
    <row r="51825" ht="12.75"/>
    <row r="51826" ht="12.75"/>
    <row r="51827" ht="12.75"/>
    <row r="51828" ht="12.75"/>
    <row r="51829" ht="12.75"/>
    <row r="51830" ht="12.75"/>
    <row r="51831" ht="12.75"/>
    <row r="51832" ht="12.75"/>
    <row r="51833" ht="12.75"/>
    <row r="51834" ht="12.75"/>
    <row r="51835" ht="12.75"/>
    <row r="51836" ht="12.75"/>
    <row r="51837" ht="12.75"/>
    <row r="51838" ht="12.75"/>
    <row r="51839" ht="12.75"/>
    <row r="51840" ht="12.75"/>
    <row r="51841" ht="12.75"/>
    <row r="51842" ht="12.75"/>
    <row r="51843" ht="12.75"/>
    <row r="51844" ht="12.75"/>
    <row r="51845" ht="12.75"/>
    <row r="51846" ht="12.75"/>
    <row r="51847" ht="12.75"/>
    <row r="51848" ht="12.75"/>
    <row r="51849" ht="12.75"/>
    <row r="51850" ht="12.75"/>
    <row r="51851" ht="12.75"/>
    <row r="51852" ht="12.75"/>
    <row r="51853" ht="12.75"/>
    <row r="51854" ht="12.75"/>
    <row r="51855" ht="12.75"/>
    <row r="51856" ht="12.75"/>
    <row r="51857" ht="12.75"/>
    <row r="51858" ht="12.75"/>
    <row r="51859" ht="12.75"/>
    <row r="51860" ht="12.75"/>
    <row r="51861" ht="12.75"/>
    <row r="51862" ht="12.75"/>
    <row r="51863" ht="12.75"/>
    <row r="51864" ht="12.75"/>
    <row r="51865" ht="12.75"/>
    <row r="51866" ht="12.75"/>
    <row r="51867" ht="12.75"/>
    <row r="51868" ht="12.75"/>
    <row r="51869" ht="12.75"/>
    <row r="51870" ht="12.75"/>
    <row r="51871" ht="12.75"/>
    <row r="51872" ht="12.75"/>
    <row r="51873" ht="12.75"/>
    <row r="51874" ht="12.75"/>
    <row r="51875" ht="12.75"/>
    <row r="51876" ht="12.75"/>
    <row r="51877" ht="12.75"/>
    <row r="51878" ht="12.75"/>
    <row r="51879" ht="12.75"/>
    <row r="51880" ht="12.75"/>
    <row r="51881" ht="12.75"/>
    <row r="51882" ht="12.75"/>
    <row r="51883" ht="12.75"/>
    <row r="51884" ht="12.75"/>
    <row r="51885" ht="12.75"/>
    <row r="51886" ht="12.75"/>
    <row r="51887" ht="12.75"/>
    <row r="51888" ht="12.75"/>
    <row r="51889" ht="12.75"/>
    <row r="51890" ht="12.75"/>
    <row r="51891" ht="12.75"/>
    <row r="51892" ht="12.75"/>
    <row r="51893" ht="12.75"/>
    <row r="51894" ht="12.75"/>
    <row r="51895" ht="12.75"/>
    <row r="51896" ht="12.75"/>
    <row r="51897" ht="12.75"/>
    <row r="51898" ht="12.75"/>
    <row r="51899" ht="12.75"/>
    <row r="51900" ht="12.75"/>
    <row r="51901" ht="12.75"/>
    <row r="51902" ht="12.75"/>
    <row r="51903" ht="12.75"/>
    <row r="51904" ht="12.75"/>
    <row r="51905" ht="12.75"/>
    <row r="51906" ht="12.75"/>
    <row r="51907" ht="12.75"/>
    <row r="51908" ht="12.75"/>
    <row r="51909" ht="12.75"/>
    <row r="51910" ht="12.75"/>
    <row r="51911" ht="12.75"/>
    <row r="51912" ht="12.75"/>
    <row r="51913" ht="12.75"/>
    <row r="51914" ht="12.75"/>
    <row r="51915" ht="12.75"/>
    <row r="51916" ht="12.75"/>
    <row r="51917" ht="12.75"/>
    <row r="51918" ht="12.75"/>
    <row r="51919" ht="12.75"/>
    <row r="51920" ht="12.75"/>
    <row r="51921" ht="12.75"/>
    <row r="51922" ht="12.75"/>
    <row r="51923" ht="12.75"/>
    <row r="51924" ht="12.75"/>
    <row r="51925" ht="12.75"/>
    <row r="51926" ht="12.75"/>
    <row r="51927" ht="12.75"/>
    <row r="51928" ht="12.75"/>
    <row r="51929" ht="12.75"/>
    <row r="51930" ht="12.75"/>
    <row r="51931" ht="12.75"/>
    <row r="51932" ht="12.75"/>
    <row r="51933" ht="12.75"/>
    <row r="51934" ht="12.75"/>
    <row r="51935" ht="12.75"/>
    <row r="51936" ht="12.75"/>
    <row r="51937" ht="12.75"/>
    <row r="51938" ht="12.75"/>
    <row r="51939" ht="12.75"/>
    <row r="51940" ht="12.75"/>
    <row r="51941" ht="12.75"/>
    <row r="51942" ht="12.75"/>
    <row r="51943" ht="12.75"/>
    <row r="51944" ht="12.75"/>
    <row r="51945" ht="12.75"/>
    <row r="51946" ht="12.75"/>
    <row r="51947" ht="12.75"/>
    <row r="51948" ht="12.75"/>
    <row r="51949" ht="12.75"/>
    <row r="51950" ht="12.75"/>
    <row r="51951" ht="12.75"/>
    <row r="51952" ht="12.75"/>
    <row r="51953" ht="12.75"/>
    <row r="51954" ht="12.75"/>
    <row r="51955" ht="12.75"/>
    <row r="51956" ht="12.75"/>
    <row r="51957" ht="12.75"/>
    <row r="51958" ht="12.75"/>
    <row r="51959" ht="12.75"/>
    <row r="51960" ht="12.75"/>
    <row r="51961" ht="12.75"/>
    <row r="51962" ht="12.75"/>
    <row r="51963" ht="12.75"/>
    <row r="51964" ht="12.75"/>
    <row r="51965" ht="12.75"/>
    <row r="51966" ht="12.75"/>
    <row r="51967" ht="12.75"/>
    <row r="51968" ht="12.75"/>
    <row r="51969" ht="12.75"/>
    <row r="51970" ht="12.75"/>
    <row r="51971" ht="12.75"/>
    <row r="51972" ht="12.75"/>
    <row r="51973" ht="12.75"/>
    <row r="51974" ht="12.75"/>
    <row r="51975" ht="12.75"/>
    <row r="51976" ht="12.75"/>
    <row r="51977" ht="12.75"/>
    <row r="51978" ht="12.75"/>
    <row r="51979" ht="12.75"/>
    <row r="51980" ht="12.75"/>
    <row r="51981" ht="12.75"/>
    <row r="51982" ht="12.75"/>
    <row r="51983" ht="12.75"/>
    <row r="51984" ht="12.75"/>
    <row r="51985" ht="12.75"/>
    <row r="51986" ht="12.75"/>
    <row r="51987" ht="12.75"/>
    <row r="51988" ht="12.75"/>
    <row r="51989" ht="12.75"/>
    <row r="51990" ht="12.75"/>
    <row r="51991" ht="12.75"/>
    <row r="51992" ht="12.75"/>
    <row r="51993" ht="12.75"/>
    <row r="51994" ht="12.75"/>
    <row r="51995" ht="12.75"/>
    <row r="51996" ht="12.75"/>
    <row r="51997" ht="12.75"/>
    <row r="51998" ht="12.75"/>
    <row r="51999" ht="12.75"/>
    <row r="52000" ht="12.75"/>
    <row r="52001" ht="12.75"/>
    <row r="52002" ht="12.75"/>
    <row r="52003" ht="12.75"/>
    <row r="52004" ht="12.75"/>
    <row r="52005" ht="12.75"/>
    <row r="52006" ht="12.75"/>
    <row r="52007" ht="12.75"/>
    <row r="52008" ht="12.75"/>
    <row r="52009" ht="12.75"/>
    <row r="52010" ht="12.75"/>
    <row r="52011" ht="12.75"/>
    <row r="52012" ht="12.75"/>
    <row r="52013" ht="12.75"/>
    <row r="52014" ht="12.75"/>
    <row r="52015" ht="12.75"/>
    <row r="52016" ht="12.75"/>
    <row r="52017" ht="12.75"/>
    <row r="52018" ht="12.75"/>
    <row r="52019" ht="12.75"/>
    <row r="52020" ht="12.75"/>
    <row r="52021" ht="12.75"/>
    <row r="52022" ht="12.75"/>
    <row r="52023" ht="12.75"/>
    <row r="52024" ht="12.75"/>
    <row r="52025" ht="12.75"/>
    <row r="52026" ht="12.75"/>
    <row r="52027" ht="12.75"/>
    <row r="52028" ht="12.75"/>
    <row r="52029" ht="12.75"/>
    <row r="52030" ht="12.75"/>
    <row r="52031" ht="12.75"/>
    <row r="52032" ht="12.75"/>
    <row r="52033" ht="12.75"/>
    <row r="52034" ht="12.75"/>
    <row r="52035" ht="12.75"/>
    <row r="52036" ht="12.75"/>
    <row r="52037" ht="12.75"/>
    <row r="52038" ht="12.75"/>
    <row r="52039" ht="12.75"/>
    <row r="52040" ht="12.75"/>
    <row r="52041" ht="12.75"/>
    <row r="52042" ht="12.75"/>
    <row r="52043" ht="12.75"/>
    <row r="52044" ht="12.75"/>
    <row r="52045" ht="12.75"/>
    <row r="52046" ht="12.75"/>
    <row r="52047" ht="12.75"/>
    <row r="52048" ht="12.75"/>
    <row r="52049" ht="12.75"/>
    <row r="52050" ht="12.75"/>
    <row r="52051" ht="12.75"/>
    <row r="52052" ht="12.75"/>
    <row r="52053" ht="12.75"/>
    <row r="52054" ht="12.75"/>
    <row r="52055" ht="12.75"/>
    <row r="52056" ht="12.75"/>
    <row r="52057" ht="12.75"/>
    <row r="52058" ht="12.75"/>
    <row r="52059" ht="12.75"/>
    <row r="52060" ht="12.75"/>
    <row r="52061" ht="12.75"/>
    <row r="52062" ht="12.75"/>
    <row r="52063" ht="12.75"/>
    <row r="52064" ht="12.75"/>
    <row r="52065" ht="12.75"/>
    <row r="52066" ht="12.75"/>
    <row r="52067" ht="12.75"/>
    <row r="52068" ht="12.75"/>
    <row r="52069" ht="12.75"/>
    <row r="52070" ht="12.75"/>
    <row r="52071" ht="12.75"/>
    <row r="52072" ht="12.75"/>
    <row r="52073" ht="12.75"/>
    <row r="52074" ht="12.75"/>
    <row r="52075" ht="12.75"/>
    <row r="52076" ht="12.75"/>
    <row r="52077" ht="12.75"/>
    <row r="52078" ht="12.75"/>
    <row r="52079" ht="12.75"/>
    <row r="52080" ht="12.75"/>
    <row r="52081" ht="12.75"/>
    <row r="52082" ht="12.75"/>
    <row r="52083" ht="12.75"/>
    <row r="52084" ht="12.75"/>
    <row r="52085" ht="12.75"/>
    <row r="52086" ht="12.75"/>
    <row r="52087" ht="12.75"/>
    <row r="52088" ht="12.75"/>
    <row r="52089" ht="12.75"/>
    <row r="52090" ht="12.75"/>
    <row r="52091" ht="12.75"/>
    <row r="52092" ht="12.75"/>
    <row r="52093" ht="12.75"/>
    <row r="52094" ht="12.75"/>
    <row r="52095" ht="12.75"/>
    <row r="52096" ht="12.75"/>
    <row r="52097" ht="12.75"/>
    <row r="52098" ht="12.75"/>
    <row r="52099" ht="12.75"/>
    <row r="52100" ht="12.75"/>
    <row r="52101" ht="12.75"/>
    <row r="52102" ht="12.75"/>
    <row r="52103" ht="12.75"/>
    <row r="52104" ht="12.75"/>
    <row r="52105" ht="12.75"/>
    <row r="52106" ht="12.75"/>
    <row r="52107" ht="12.75"/>
    <row r="52108" ht="12.75"/>
    <row r="52109" ht="12.75"/>
    <row r="52110" ht="12.75"/>
    <row r="52111" ht="12.75"/>
    <row r="52112" ht="12.75"/>
    <row r="52113" ht="12.75"/>
    <row r="52114" ht="12.75"/>
    <row r="52115" ht="12.75"/>
    <row r="52116" ht="12.75"/>
    <row r="52117" ht="12.75"/>
    <row r="52118" ht="12.75"/>
    <row r="52119" ht="12.75"/>
    <row r="52120" ht="12.75"/>
    <row r="52121" ht="12.75"/>
    <row r="52122" ht="12.75"/>
    <row r="52123" ht="12.75"/>
    <row r="52124" ht="12.75"/>
    <row r="52125" ht="12.75"/>
    <row r="52126" ht="12.75"/>
    <row r="52127" ht="12.75"/>
    <row r="52128" ht="12.75"/>
    <row r="52129" ht="12.75"/>
    <row r="52130" ht="12.75"/>
    <row r="52131" ht="12.75"/>
    <row r="52132" ht="12.75"/>
    <row r="52133" ht="12.75"/>
    <row r="52134" ht="12.75"/>
    <row r="52135" ht="12.75"/>
    <row r="52136" ht="12.75"/>
    <row r="52137" ht="12.75"/>
    <row r="52138" ht="12.75"/>
    <row r="52139" ht="12.75"/>
    <row r="52140" ht="12.75"/>
    <row r="52141" ht="12.75"/>
    <row r="52142" ht="12.75"/>
    <row r="52143" ht="12.75"/>
    <row r="52144" ht="12.75"/>
    <row r="52145" ht="12.75"/>
    <row r="52146" ht="12.75"/>
    <row r="52147" ht="12.75"/>
    <row r="52148" ht="12.75"/>
    <row r="52149" ht="12.75"/>
    <row r="52150" ht="12.75"/>
    <row r="52151" ht="12.75"/>
    <row r="52152" ht="12.75"/>
    <row r="52153" ht="12.75"/>
    <row r="52154" ht="12.75"/>
    <row r="52155" ht="12.75"/>
    <row r="52156" ht="12.75"/>
    <row r="52157" ht="12.75"/>
    <row r="52158" ht="12.75"/>
    <row r="52159" ht="12.75"/>
    <row r="52160" ht="12.75"/>
    <row r="52161" ht="12.75"/>
    <row r="52162" ht="12.75"/>
    <row r="52163" ht="12.75"/>
    <row r="52164" ht="12.75"/>
    <row r="52165" ht="12.75"/>
    <row r="52166" ht="12.75"/>
    <row r="52167" ht="12.75"/>
    <row r="52168" ht="12.75"/>
    <row r="52169" ht="12.75"/>
    <row r="52170" ht="12.75"/>
    <row r="52171" ht="12.75"/>
    <row r="52172" ht="12.75"/>
    <row r="52173" ht="12.75"/>
    <row r="52174" ht="12.75"/>
    <row r="52175" ht="12.75"/>
    <row r="52176" ht="12.75"/>
    <row r="52177" ht="12.75"/>
    <row r="52178" ht="12.75"/>
    <row r="52179" ht="12.75"/>
    <row r="52180" ht="12.75"/>
    <row r="52181" ht="12.75"/>
    <row r="52182" ht="12.75"/>
    <row r="52183" ht="12.75"/>
    <row r="52184" ht="12.75"/>
    <row r="52185" ht="12.75"/>
    <row r="52186" ht="12.75"/>
    <row r="52187" ht="12.75"/>
    <row r="52188" ht="12.75"/>
    <row r="52189" ht="12.75"/>
    <row r="52190" ht="12.75"/>
    <row r="52191" ht="12.75"/>
    <row r="52192" ht="12.75"/>
    <row r="52193" ht="12.75"/>
    <row r="52194" ht="12.75"/>
    <row r="52195" ht="12.75"/>
    <row r="52196" ht="12.75"/>
    <row r="52197" ht="12.75"/>
    <row r="52198" ht="12.75"/>
    <row r="52199" ht="12.75"/>
    <row r="52200" ht="12.75"/>
    <row r="52201" ht="12.75"/>
    <row r="52202" ht="12.75"/>
    <row r="52203" ht="12.75"/>
    <row r="52204" ht="12.75"/>
    <row r="52205" ht="12.75"/>
    <row r="52206" ht="12.75"/>
    <row r="52207" ht="12.75"/>
    <row r="52208" ht="12.75"/>
    <row r="52209" ht="12.75"/>
    <row r="52210" ht="12.75"/>
    <row r="52211" ht="12.75"/>
    <row r="52212" ht="12.75"/>
    <row r="52213" ht="12.75"/>
    <row r="52214" ht="12.75"/>
    <row r="52215" ht="12.75"/>
    <row r="52216" ht="12.75"/>
    <row r="52217" ht="12.75"/>
    <row r="52218" ht="12.75"/>
    <row r="52219" ht="12.75"/>
    <row r="52220" ht="12.75"/>
    <row r="52221" ht="12.75"/>
    <row r="52222" ht="12.75"/>
    <row r="52223" ht="12.75"/>
    <row r="52224" ht="12.75"/>
    <row r="52225" ht="12.75"/>
    <row r="52226" ht="12.75"/>
    <row r="52227" ht="12.75"/>
    <row r="52228" ht="12.75"/>
    <row r="52229" ht="12.75"/>
    <row r="52230" ht="12.75"/>
    <row r="52231" ht="12.75"/>
    <row r="52232" ht="12.75"/>
    <row r="52233" ht="12.75"/>
    <row r="52234" ht="12.75"/>
    <row r="52235" ht="12.75"/>
    <row r="52236" ht="12.75"/>
    <row r="52237" ht="12.75"/>
    <row r="52238" ht="12.75"/>
    <row r="52239" ht="12.75"/>
    <row r="52240" ht="12.75"/>
    <row r="52241" ht="12.75"/>
    <row r="52242" ht="12.75"/>
    <row r="52243" ht="12.75"/>
    <row r="52244" ht="12.75"/>
    <row r="52245" ht="12.75"/>
    <row r="52246" ht="12.75"/>
    <row r="52247" ht="12.75"/>
    <row r="52248" ht="12.75"/>
    <row r="52249" ht="12.75"/>
    <row r="52250" ht="12.75"/>
    <row r="52251" ht="12.75"/>
    <row r="52252" ht="12.75"/>
    <row r="52253" ht="12.75"/>
    <row r="52254" ht="12.75"/>
    <row r="52255" ht="12.75"/>
    <row r="52256" ht="12.75"/>
    <row r="52257" ht="12.75"/>
    <row r="52258" ht="12.75"/>
    <row r="52259" ht="12.75"/>
    <row r="52260" ht="12.75"/>
    <row r="52261" ht="12.75"/>
    <row r="52262" ht="12.75"/>
    <row r="52263" ht="12.75"/>
    <row r="52264" ht="12.75"/>
    <row r="52265" ht="12.75"/>
    <row r="52266" ht="12.75"/>
    <row r="52267" ht="12.75"/>
    <row r="52268" ht="12.75"/>
    <row r="52269" ht="12.75"/>
    <row r="52270" ht="12.75"/>
    <row r="52271" ht="12.75"/>
    <row r="52272" ht="12.75"/>
    <row r="52273" ht="12.75"/>
    <row r="52274" ht="12.75"/>
    <row r="52275" ht="12.75"/>
    <row r="52276" ht="12.75"/>
    <row r="52277" ht="12.75"/>
    <row r="52278" ht="12.75"/>
    <row r="52279" ht="12.75"/>
    <row r="52280" ht="12.75"/>
    <row r="52281" ht="12.75"/>
    <row r="52282" ht="12.75"/>
    <row r="52283" ht="12.75"/>
    <row r="52284" ht="12.75"/>
    <row r="52285" ht="12.75"/>
    <row r="52286" ht="12.75"/>
    <row r="52287" ht="12.75"/>
    <row r="52288" ht="12.75"/>
    <row r="52289" ht="12.75"/>
    <row r="52290" ht="12.75"/>
    <row r="52291" ht="12.75"/>
    <row r="52292" ht="12.75"/>
    <row r="52293" ht="12.75"/>
    <row r="52294" ht="12.75"/>
    <row r="52295" ht="12.75"/>
    <row r="52296" ht="12.75"/>
    <row r="52297" ht="12.75"/>
    <row r="52298" ht="12.75"/>
    <row r="52299" ht="12.75"/>
    <row r="52300" ht="12.75"/>
    <row r="52301" ht="12.75"/>
    <row r="52302" ht="12.75"/>
    <row r="52303" ht="12.75"/>
    <row r="52304" ht="12.75"/>
    <row r="52305" ht="12.75"/>
    <row r="52306" ht="12.75"/>
    <row r="52307" ht="12.75"/>
    <row r="52308" ht="12.75"/>
    <row r="52309" ht="12.75"/>
    <row r="52310" ht="12.75"/>
    <row r="52311" ht="12.75"/>
    <row r="52312" ht="12.75"/>
    <row r="52313" ht="12.75"/>
    <row r="52314" ht="12.75"/>
    <row r="52315" ht="12.75"/>
    <row r="52316" ht="12.75"/>
    <row r="52317" ht="12.75"/>
    <row r="52318" ht="12.75"/>
    <row r="52319" ht="12.75"/>
    <row r="52320" ht="12.75"/>
    <row r="52321" ht="12.75"/>
    <row r="52322" ht="12.75"/>
    <row r="52323" ht="12.75"/>
    <row r="52324" ht="12.75"/>
    <row r="52325" ht="12.75"/>
    <row r="52326" ht="12.75"/>
    <row r="52327" ht="12.75"/>
    <row r="52328" ht="12.75"/>
    <row r="52329" ht="12.75"/>
    <row r="52330" ht="12.75"/>
    <row r="52331" ht="12.75"/>
    <row r="52332" ht="12.75"/>
    <row r="52333" ht="12.75"/>
    <row r="52334" ht="12.75"/>
    <row r="52335" ht="12.75"/>
    <row r="52336" ht="12.75"/>
    <row r="52337" ht="12.75"/>
    <row r="52338" ht="12.75"/>
    <row r="52339" ht="12.75"/>
    <row r="52340" ht="12.75"/>
    <row r="52341" ht="12.75"/>
    <row r="52342" ht="12.75"/>
    <row r="52343" ht="12.75"/>
    <row r="52344" ht="12.75"/>
    <row r="52345" ht="12.75"/>
    <row r="52346" ht="12.75"/>
    <row r="52347" ht="12.75"/>
    <row r="52348" ht="12.75"/>
    <row r="52349" ht="12.75"/>
    <row r="52350" ht="12.75"/>
    <row r="52351" ht="12.75"/>
    <row r="52352" ht="12.75"/>
    <row r="52353" ht="12.75"/>
    <row r="52354" ht="12.75"/>
    <row r="52355" ht="12.75"/>
    <row r="52356" ht="12.75"/>
    <row r="52357" ht="12.75"/>
    <row r="52358" ht="12.75"/>
    <row r="52359" ht="12.75"/>
    <row r="52360" ht="12.75"/>
    <row r="52361" ht="12.75"/>
    <row r="52362" ht="12.75"/>
    <row r="52363" ht="12.75"/>
    <row r="52364" ht="12.75"/>
    <row r="52365" ht="12.75"/>
    <row r="52366" ht="12.75"/>
    <row r="52367" ht="12.75"/>
    <row r="52368" ht="12.75"/>
    <row r="52369" ht="12.75"/>
    <row r="52370" ht="12.75"/>
    <row r="52371" ht="12.75"/>
    <row r="52372" ht="12.75"/>
    <row r="52373" ht="12.75"/>
    <row r="52374" ht="12.75"/>
    <row r="52375" ht="12.75"/>
    <row r="52376" ht="12.75"/>
    <row r="52377" ht="12.75"/>
    <row r="52378" ht="12.75"/>
    <row r="52379" ht="12.75"/>
    <row r="52380" ht="12.75"/>
    <row r="52381" ht="12.75"/>
    <row r="52382" ht="12.75"/>
    <row r="52383" ht="12.75"/>
    <row r="52384" ht="12.75"/>
    <row r="52385" ht="12.75"/>
    <row r="52386" ht="12.75"/>
    <row r="52387" ht="12.75"/>
    <row r="52388" ht="12.75"/>
    <row r="52389" ht="12.75"/>
    <row r="52390" ht="12.75"/>
    <row r="52391" ht="12.75"/>
    <row r="52392" ht="12.75"/>
    <row r="52393" ht="12.75"/>
    <row r="52394" ht="12.75"/>
    <row r="52395" ht="12.75"/>
    <row r="52396" ht="12.75"/>
    <row r="52397" ht="12.75"/>
    <row r="52398" ht="12.75"/>
    <row r="52399" ht="12.75"/>
    <row r="52400" ht="12.75"/>
    <row r="52401" ht="12.75"/>
    <row r="52402" ht="12.75"/>
    <row r="52403" ht="12.75"/>
    <row r="52404" ht="12.75"/>
    <row r="52405" ht="12.75"/>
    <row r="52406" ht="12.75"/>
    <row r="52407" ht="12.75"/>
    <row r="52408" ht="12.75"/>
    <row r="52409" ht="12.75"/>
    <row r="52410" ht="12.75"/>
    <row r="52411" ht="12.75"/>
    <row r="52412" ht="12.75"/>
    <row r="52413" ht="12.75"/>
    <row r="52414" ht="12.75"/>
    <row r="52415" ht="12.75"/>
    <row r="52416" ht="12.75"/>
    <row r="52417" ht="12.75"/>
    <row r="52418" ht="12.75"/>
    <row r="52419" ht="12.75"/>
    <row r="52420" ht="12.75"/>
    <row r="52421" ht="12.75"/>
    <row r="52422" ht="12.75"/>
    <row r="52423" ht="12.75"/>
    <row r="52424" ht="12.75"/>
    <row r="52425" ht="12.75"/>
    <row r="52426" ht="12.75"/>
    <row r="52427" ht="12.75"/>
    <row r="52428" ht="12.75"/>
    <row r="52429" ht="12.75"/>
    <row r="52430" ht="12.75"/>
    <row r="52431" ht="12.75"/>
    <row r="52432" ht="12.75"/>
    <row r="52433" ht="12.75"/>
    <row r="52434" ht="12.75"/>
    <row r="52435" ht="12.75"/>
    <row r="52436" ht="12.75"/>
    <row r="52437" ht="12.75"/>
    <row r="52438" ht="12.75"/>
    <row r="52439" ht="12.75"/>
    <row r="52440" ht="12.75"/>
    <row r="52441" ht="12.75"/>
    <row r="52442" ht="12.75"/>
    <row r="52443" ht="12.75"/>
    <row r="52444" ht="12.75"/>
    <row r="52445" ht="12.75"/>
    <row r="52446" ht="12.75"/>
    <row r="52447" ht="12.75"/>
    <row r="52448" ht="12.75"/>
    <row r="52449" ht="12.75"/>
    <row r="52450" ht="12.75"/>
    <row r="52451" ht="12.75"/>
    <row r="52452" ht="12.75"/>
    <row r="52453" ht="12.75"/>
    <row r="52454" ht="12.75"/>
    <row r="52455" ht="12.75"/>
    <row r="52456" ht="12.75"/>
    <row r="52457" ht="12.75"/>
    <row r="52458" ht="12.75"/>
    <row r="52459" ht="12.75"/>
    <row r="52460" ht="12.75"/>
    <row r="52461" ht="12.75"/>
    <row r="52462" ht="12.75"/>
    <row r="52463" ht="12.75"/>
    <row r="52464" ht="12.75"/>
    <row r="52465" ht="12.75"/>
    <row r="52466" ht="12.75"/>
    <row r="52467" ht="12.75"/>
    <row r="52468" ht="12.75"/>
    <row r="52469" ht="12.75"/>
    <row r="52470" ht="12.75"/>
    <row r="52471" ht="12.75"/>
    <row r="52472" ht="12.75"/>
    <row r="52473" ht="12.75"/>
    <row r="52474" ht="12.75"/>
    <row r="52475" ht="12.75"/>
    <row r="52476" ht="12.75"/>
    <row r="52477" ht="12.75"/>
    <row r="52478" ht="12.75"/>
    <row r="52479" ht="12.75"/>
    <row r="52480" ht="12.75"/>
    <row r="52481" ht="12.75"/>
    <row r="52482" ht="12.75"/>
    <row r="52483" ht="12.75"/>
    <row r="52484" ht="12.75"/>
    <row r="52485" ht="12.75"/>
    <row r="52486" ht="12.75"/>
    <row r="52487" ht="12.75"/>
    <row r="52488" ht="12.75"/>
    <row r="52489" ht="12.75"/>
    <row r="52490" ht="12.75"/>
    <row r="52491" ht="12.75"/>
    <row r="52492" ht="12.75"/>
    <row r="52493" ht="12.75"/>
    <row r="52494" ht="12.75"/>
    <row r="52495" ht="12.75"/>
    <row r="52496" ht="12.75"/>
    <row r="52497" ht="12.75"/>
    <row r="52498" ht="12.75"/>
    <row r="52499" ht="12.75"/>
    <row r="52500" ht="12.75"/>
    <row r="52501" ht="12.75"/>
    <row r="52502" ht="12.75"/>
    <row r="52503" ht="12.75"/>
    <row r="52504" ht="12.75"/>
    <row r="52505" ht="12.75"/>
    <row r="52506" ht="12.75"/>
    <row r="52507" ht="12.75"/>
    <row r="52508" ht="12.75"/>
    <row r="52509" ht="12.75"/>
    <row r="52510" ht="12.75"/>
    <row r="52511" ht="12.75"/>
    <row r="52512" ht="12.75"/>
    <row r="52513" ht="12.75"/>
    <row r="52514" ht="12.75"/>
    <row r="52515" ht="12.75"/>
    <row r="52516" ht="12.75"/>
    <row r="52517" ht="12.75"/>
    <row r="52518" ht="12.75"/>
    <row r="52519" ht="12.75"/>
    <row r="52520" ht="12.75"/>
    <row r="52521" ht="12.75"/>
    <row r="52522" ht="12.75"/>
    <row r="52523" ht="12.75"/>
    <row r="52524" ht="12.75"/>
    <row r="52525" ht="12.75"/>
    <row r="52526" ht="12.75"/>
    <row r="52527" ht="12.75"/>
    <row r="52528" ht="12.75"/>
    <row r="52529" ht="12.75"/>
    <row r="52530" ht="12.75"/>
    <row r="52531" ht="12.75"/>
    <row r="52532" ht="12.75"/>
    <row r="52533" ht="12.75"/>
    <row r="52534" ht="12.75"/>
    <row r="52535" ht="12.75"/>
    <row r="52536" ht="12.75"/>
    <row r="52537" ht="12.75"/>
    <row r="52538" ht="12.75"/>
    <row r="52539" ht="12.75"/>
    <row r="52540" ht="12.75"/>
    <row r="52541" ht="12.75"/>
    <row r="52542" ht="12.75"/>
    <row r="52543" ht="12.75"/>
    <row r="52544" ht="12.75"/>
    <row r="52545" ht="12.75"/>
    <row r="52546" ht="12.75"/>
    <row r="52547" ht="12.75"/>
    <row r="52548" ht="12.75"/>
    <row r="52549" ht="12.75"/>
    <row r="52550" ht="12.75"/>
    <row r="52551" ht="12.75"/>
    <row r="52552" ht="12.75"/>
    <row r="52553" ht="12.75"/>
    <row r="52554" ht="12.75"/>
    <row r="52555" ht="12.75"/>
    <row r="52556" ht="12.75"/>
    <row r="52557" ht="12.75"/>
    <row r="52558" ht="12.75"/>
    <row r="52559" ht="12.75"/>
    <row r="52560" ht="12.75"/>
    <row r="52561" ht="12.75"/>
    <row r="52562" ht="12.75"/>
    <row r="52563" ht="12.75"/>
    <row r="52564" ht="12.75"/>
    <row r="52565" ht="12.75"/>
    <row r="52566" ht="12.75"/>
    <row r="52567" ht="12.75"/>
    <row r="52568" ht="12.75"/>
    <row r="52569" ht="12.75"/>
    <row r="52570" ht="12.75"/>
    <row r="52571" ht="12.75"/>
    <row r="52572" ht="12.75"/>
    <row r="52573" ht="12.75"/>
    <row r="52574" ht="12.75"/>
    <row r="52575" ht="12.75"/>
    <row r="52576" ht="12.75"/>
    <row r="52577" ht="12.75"/>
    <row r="52578" ht="12.75"/>
    <row r="52579" ht="12.75"/>
    <row r="52580" ht="12.75"/>
    <row r="52581" ht="12.75"/>
    <row r="52582" ht="12.75"/>
    <row r="52583" ht="12.75"/>
    <row r="52584" ht="12.75"/>
    <row r="52585" ht="12.75"/>
    <row r="52586" ht="12.75"/>
    <row r="52587" ht="12.75"/>
    <row r="52588" ht="12.75"/>
    <row r="52589" ht="12.75"/>
    <row r="52590" ht="12.75"/>
    <row r="52591" ht="12.75"/>
    <row r="52592" ht="12.75"/>
    <row r="52593" ht="12.75"/>
    <row r="52594" ht="12.75"/>
    <row r="52595" ht="12.75"/>
    <row r="52596" ht="12.75"/>
    <row r="52597" ht="12.75"/>
    <row r="52598" ht="12.75"/>
    <row r="52599" ht="12.75"/>
    <row r="52600" ht="12.75"/>
    <row r="52601" ht="12.75"/>
    <row r="52602" ht="12.75"/>
    <row r="52603" ht="12.75"/>
    <row r="52604" ht="12.75"/>
    <row r="52605" ht="12.75"/>
    <row r="52606" ht="12.75"/>
    <row r="52607" ht="12.75"/>
    <row r="52608" ht="12.75"/>
    <row r="52609" ht="12.75"/>
    <row r="52610" ht="12.75"/>
    <row r="52611" ht="12.75"/>
    <row r="52612" ht="12.75"/>
    <row r="52613" ht="12.75"/>
    <row r="52614" ht="12.75"/>
    <row r="52615" ht="12.75"/>
    <row r="52616" ht="12.75"/>
    <row r="52617" ht="12.75"/>
    <row r="52618" ht="12.75"/>
    <row r="52619" ht="12.75"/>
    <row r="52620" ht="12.75"/>
    <row r="52621" ht="12.75"/>
    <row r="52622" ht="12.75"/>
    <row r="52623" ht="12.75"/>
    <row r="52624" ht="12.75"/>
    <row r="52625" ht="12.75"/>
    <row r="52626" ht="12.75"/>
    <row r="52627" ht="12.75"/>
    <row r="52628" ht="12.75"/>
    <row r="52629" ht="12.75"/>
    <row r="52630" ht="12.75"/>
    <row r="52631" ht="12.75"/>
    <row r="52632" ht="12.75"/>
    <row r="52633" ht="12.75"/>
    <row r="52634" ht="12.75"/>
    <row r="52635" ht="12.75"/>
    <row r="52636" ht="12.75"/>
    <row r="52637" ht="12.75"/>
    <row r="52638" ht="12.75"/>
    <row r="52639" ht="12.75"/>
    <row r="52640" ht="12.75"/>
    <row r="52641" ht="12.75"/>
    <row r="52642" ht="12.75"/>
    <row r="52643" ht="12.75"/>
    <row r="52644" ht="12.75"/>
    <row r="52645" ht="12.75"/>
    <row r="52646" ht="12.75"/>
    <row r="52647" ht="12.75"/>
    <row r="52648" ht="12.75"/>
    <row r="52649" ht="12.75"/>
    <row r="52650" ht="12.75"/>
    <row r="52651" ht="12.75"/>
    <row r="52652" ht="12.75"/>
    <row r="52653" ht="12.75"/>
    <row r="52654" ht="12.75"/>
    <row r="52655" ht="12.75"/>
    <row r="52656" ht="12.75"/>
    <row r="52657" ht="12.75"/>
    <row r="52658" ht="12.75"/>
    <row r="52659" ht="12.75"/>
    <row r="52660" ht="12.75"/>
    <row r="52661" ht="12.75"/>
    <row r="52662" ht="12.75"/>
    <row r="52663" ht="12.75"/>
    <row r="52664" ht="12.75"/>
    <row r="52665" ht="12.75"/>
    <row r="52666" ht="12.75"/>
    <row r="52667" ht="12.75"/>
    <row r="52668" ht="12.75"/>
    <row r="52669" ht="12.75"/>
    <row r="52670" ht="12.75"/>
    <row r="52671" ht="12.75"/>
    <row r="52672" ht="12.75"/>
    <row r="52673" ht="12.75"/>
    <row r="52674" ht="12.75"/>
    <row r="52675" ht="12.75"/>
    <row r="52676" ht="12.75"/>
    <row r="52677" ht="12.75"/>
    <row r="52678" ht="12.75"/>
    <row r="52679" ht="12.75"/>
    <row r="52680" ht="12.75"/>
    <row r="52681" ht="12.75"/>
    <row r="52682" ht="12.75"/>
    <row r="52683" ht="12.75"/>
    <row r="52684" ht="12.75"/>
    <row r="52685" ht="12.75"/>
    <row r="52686" ht="12.75"/>
    <row r="52687" ht="12.75"/>
    <row r="52688" ht="12.75"/>
    <row r="52689" ht="12.75"/>
    <row r="52690" ht="12.75"/>
    <row r="52691" ht="12.75"/>
    <row r="52692" ht="12.75"/>
    <row r="52693" ht="12.75"/>
    <row r="52694" ht="12.75"/>
    <row r="52695" ht="12.75"/>
    <row r="52696" ht="12.75"/>
    <row r="52697" ht="12.75"/>
    <row r="52698" ht="12.75"/>
    <row r="52699" ht="12.75"/>
    <row r="52700" ht="12.75"/>
    <row r="52701" ht="12.75"/>
    <row r="52702" ht="12.75"/>
    <row r="52703" ht="12.75"/>
    <row r="52704" ht="12.75"/>
    <row r="52705" ht="12.75"/>
    <row r="52706" ht="12.75"/>
    <row r="52707" ht="12.75"/>
    <row r="52708" ht="12.75"/>
    <row r="52709" ht="12.75"/>
    <row r="52710" ht="12.75"/>
    <row r="52711" ht="12.75"/>
    <row r="52712" ht="12.75"/>
    <row r="52713" ht="12.75"/>
    <row r="52714" ht="12.75"/>
    <row r="52715" ht="12.75"/>
    <row r="52716" ht="12.75"/>
    <row r="52717" ht="12.75"/>
    <row r="52718" ht="12.75"/>
    <row r="52719" ht="12.75"/>
    <row r="52720" ht="12.75"/>
    <row r="52721" ht="12.75"/>
    <row r="52722" ht="12.75"/>
    <row r="52723" ht="12.75"/>
    <row r="52724" ht="12.75"/>
    <row r="52725" ht="12.75"/>
    <row r="52726" ht="12.75"/>
    <row r="52727" ht="12.75"/>
    <row r="52728" ht="12.75"/>
    <row r="52729" ht="12.75"/>
    <row r="52730" ht="12.75"/>
    <row r="52731" ht="12.75"/>
    <row r="52732" ht="12.75"/>
    <row r="52733" ht="12.75"/>
    <row r="52734" ht="12.75"/>
    <row r="52735" ht="12.75"/>
    <row r="52736" ht="12.75"/>
    <row r="52737" ht="12.75"/>
    <row r="52738" ht="12.75"/>
    <row r="52739" ht="12.75"/>
    <row r="52740" ht="12.75"/>
    <row r="52741" ht="12.75"/>
    <row r="52742" ht="12.75"/>
    <row r="52743" ht="12.75"/>
    <row r="52744" ht="12.75"/>
    <row r="52745" ht="12.75"/>
    <row r="52746" ht="12.75"/>
    <row r="52747" ht="12.75"/>
    <row r="52748" ht="12.75"/>
    <row r="52749" ht="12.75"/>
    <row r="52750" ht="12.75"/>
    <row r="52751" ht="12.75"/>
    <row r="52752" ht="12.75"/>
    <row r="52753" ht="12.75"/>
    <row r="52754" ht="12.75"/>
    <row r="52755" ht="12.75"/>
    <row r="52756" ht="12.75"/>
    <row r="52757" ht="12.75"/>
    <row r="52758" ht="12.75"/>
    <row r="52759" ht="12.75"/>
    <row r="52760" ht="12.75"/>
    <row r="52761" ht="12.75"/>
    <row r="52762" ht="12.75"/>
    <row r="52763" ht="12.75"/>
    <row r="52764" ht="12.75"/>
    <row r="52765" ht="12.75"/>
    <row r="52766" ht="12.75"/>
    <row r="52767" ht="12.75"/>
    <row r="52768" ht="12.75"/>
    <row r="52769" ht="12.75"/>
    <row r="52770" ht="12.75"/>
    <row r="52771" ht="12.75"/>
    <row r="52772" ht="12.75"/>
    <row r="52773" ht="12.75"/>
    <row r="52774" ht="12.75"/>
    <row r="52775" ht="12.75"/>
    <row r="52776" ht="12.75"/>
    <row r="52777" ht="12.75"/>
    <row r="52778" ht="12.75"/>
    <row r="52779" ht="12.75"/>
    <row r="52780" ht="12.75"/>
    <row r="52781" ht="12.75"/>
    <row r="52782" ht="12.75"/>
    <row r="52783" ht="12.75"/>
    <row r="52784" ht="12.75"/>
    <row r="52785" ht="12.75"/>
    <row r="52786" ht="12.75"/>
    <row r="52787" ht="12.75"/>
    <row r="52788" ht="12.75"/>
    <row r="52789" ht="12.75"/>
    <row r="52790" ht="12.75"/>
    <row r="52791" ht="12.75"/>
    <row r="52792" ht="12.75"/>
    <row r="52793" ht="12.75"/>
    <row r="52794" ht="12.75"/>
    <row r="52795" ht="12.75"/>
    <row r="52796" ht="12.75"/>
    <row r="52797" ht="12.75"/>
    <row r="52798" ht="12.75"/>
    <row r="52799" ht="12.75"/>
    <row r="52800" ht="12.75"/>
    <row r="52801" ht="12.75"/>
    <row r="52802" ht="12.75"/>
    <row r="52803" ht="12.75"/>
    <row r="52804" ht="12.75"/>
    <row r="52805" ht="12.75"/>
    <row r="52806" ht="12.75"/>
    <row r="52807" ht="12.75"/>
    <row r="52808" ht="12.75"/>
    <row r="52809" ht="12.75"/>
    <row r="52810" ht="12.75"/>
    <row r="52811" ht="12.75"/>
    <row r="52812" ht="12.75"/>
    <row r="52813" ht="12.75"/>
    <row r="52814" ht="12.75"/>
    <row r="52815" ht="12.75"/>
    <row r="52816" ht="12.75"/>
    <row r="52817" ht="12.75"/>
    <row r="52818" ht="12.75"/>
    <row r="52819" ht="12.75"/>
    <row r="52820" ht="12.75"/>
    <row r="52821" ht="12.75"/>
    <row r="52822" ht="12.75"/>
    <row r="52823" ht="12.75"/>
    <row r="52824" ht="12.75"/>
    <row r="52825" ht="12.75"/>
    <row r="52826" ht="12.75"/>
    <row r="52827" ht="12.75"/>
    <row r="52828" ht="12.75"/>
    <row r="52829" ht="12.75"/>
    <row r="52830" ht="12.75"/>
    <row r="52831" ht="12.75"/>
    <row r="52832" ht="12.75"/>
    <row r="52833" ht="12.75"/>
    <row r="52834" ht="12.75"/>
    <row r="52835" ht="12.75"/>
    <row r="52836" ht="12.75"/>
    <row r="52837" ht="12.75"/>
    <row r="52838" ht="12.75"/>
    <row r="52839" ht="12.75"/>
    <row r="52840" ht="12.75"/>
    <row r="52841" ht="12.75"/>
    <row r="52842" ht="12.75"/>
    <row r="52843" ht="12.75"/>
    <row r="52844" ht="12.75"/>
    <row r="52845" ht="12.75"/>
    <row r="52846" ht="12.75"/>
    <row r="52847" ht="12.75"/>
    <row r="52848" ht="12.75"/>
    <row r="52849" ht="12.75"/>
    <row r="52850" ht="12.75"/>
    <row r="52851" ht="12.75"/>
    <row r="52852" ht="12.75"/>
    <row r="52853" ht="12.75"/>
    <row r="52854" ht="12.75"/>
    <row r="52855" ht="12.75"/>
    <row r="52856" ht="12.75"/>
    <row r="52857" ht="12.75"/>
    <row r="52858" ht="12.75"/>
    <row r="52859" ht="12.75"/>
    <row r="52860" ht="12.75"/>
    <row r="52861" ht="12.75"/>
    <row r="52862" ht="12.75"/>
    <row r="52863" ht="12.75"/>
    <row r="52864" ht="12.75"/>
    <row r="52865" ht="12.75"/>
    <row r="52866" ht="12.75"/>
    <row r="52867" ht="12.75"/>
    <row r="52868" ht="12.75"/>
    <row r="52869" ht="12.75"/>
    <row r="52870" ht="12.75"/>
    <row r="52871" ht="12.75"/>
    <row r="52872" ht="12.75"/>
    <row r="52873" ht="12.75"/>
    <row r="52874" ht="12.75"/>
    <row r="52875" ht="12.75"/>
    <row r="52876" ht="12.75"/>
    <row r="52877" ht="12.75"/>
    <row r="52878" ht="12.75"/>
    <row r="52879" ht="12.75"/>
    <row r="52880" ht="12.75"/>
    <row r="52881" ht="12.75"/>
    <row r="52882" ht="12.75"/>
    <row r="52883" ht="12.75"/>
    <row r="52884" ht="12.75"/>
    <row r="52885" ht="12.75"/>
    <row r="52886" ht="12.75"/>
    <row r="52887" ht="12.75"/>
    <row r="52888" ht="12.75"/>
    <row r="52889" ht="12.75"/>
    <row r="52890" ht="12.75"/>
    <row r="52891" ht="12.75"/>
    <row r="52892" ht="12.75"/>
    <row r="52893" ht="12.75"/>
    <row r="52894" ht="12.75"/>
    <row r="52895" ht="12.75"/>
    <row r="52896" ht="12.75"/>
    <row r="52897" ht="12.75"/>
    <row r="52898" ht="12.75"/>
    <row r="52899" ht="12.75"/>
    <row r="52900" ht="12.75"/>
    <row r="52901" ht="12.75"/>
    <row r="52902" ht="12.75"/>
    <row r="52903" ht="12.75"/>
    <row r="52904" ht="12.75"/>
    <row r="52905" ht="12.75"/>
    <row r="52906" ht="12.75"/>
    <row r="52907" ht="12.75"/>
    <row r="52908" ht="12.75"/>
    <row r="52909" ht="12.75"/>
    <row r="52910" ht="12.75"/>
    <row r="52911" ht="12.75"/>
    <row r="52912" ht="12.75"/>
    <row r="52913" ht="12.75"/>
    <row r="52914" ht="12.75"/>
    <row r="52915" ht="12.75"/>
    <row r="52916" ht="12.75"/>
    <row r="52917" ht="12.75"/>
    <row r="52918" ht="12.75"/>
    <row r="52919" ht="12.75"/>
    <row r="52920" ht="12.75"/>
    <row r="52921" ht="12.75"/>
    <row r="52922" ht="12.75"/>
    <row r="52923" ht="12.75"/>
    <row r="52924" ht="12.75"/>
    <row r="52925" ht="12.75"/>
    <row r="52926" ht="12.75"/>
    <row r="52927" ht="12.75"/>
    <row r="52928" ht="12.75"/>
    <row r="52929" ht="12.75"/>
    <row r="52930" ht="12.75"/>
    <row r="52931" ht="12.75"/>
    <row r="52932" ht="12.75"/>
    <row r="52933" ht="12.75"/>
    <row r="52934" ht="12.75"/>
    <row r="52935" ht="12.75"/>
    <row r="52936" ht="12.75"/>
    <row r="52937" ht="12.75"/>
    <row r="52938" ht="12.75"/>
    <row r="52939" ht="12.75"/>
    <row r="52940" ht="12.75"/>
    <row r="52941" ht="12.75"/>
    <row r="52942" ht="12.75"/>
    <row r="52943" ht="12.75"/>
    <row r="52944" ht="12.75"/>
    <row r="52945" ht="12.75"/>
    <row r="52946" ht="12.75"/>
    <row r="52947" ht="12.75"/>
    <row r="52948" ht="12.75"/>
    <row r="52949" ht="12.75"/>
    <row r="52950" ht="12.75"/>
    <row r="52951" ht="12.75"/>
    <row r="52952" ht="12.75"/>
    <row r="52953" ht="12.75"/>
    <row r="52954" ht="12.75"/>
    <row r="52955" ht="12.75"/>
    <row r="52956" ht="12.75"/>
    <row r="52957" ht="12.75"/>
    <row r="52958" ht="12.75"/>
    <row r="52959" ht="12.75"/>
    <row r="52960" ht="12.75"/>
    <row r="52961" ht="12.75"/>
    <row r="52962" ht="12.75"/>
    <row r="52963" ht="12.75"/>
    <row r="52964" ht="12.75"/>
    <row r="52965" ht="12.75"/>
    <row r="52966" ht="12.75"/>
    <row r="52967" ht="12.75"/>
    <row r="52968" ht="12.75"/>
    <row r="52969" ht="12.75"/>
    <row r="52970" ht="12.75"/>
    <row r="52971" ht="12.75"/>
    <row r="52972" ht="12.75"/>
    <row r="52973" ht="12.75"/>
    <row r="52974" ht="12.75"/>
    <row r="52975" ht="12.75"/>
    <row r="52976" ht="12.75"/>
    <row r="52977" ht="12.75"/>
    <row r="52978" ht="12.75"/>
    <row r="52979" ht="12.75"/>
    <row r="52980" ht="12.75"/>
    <row r="52981" ht="12.75"/>
    <row r="52982" ht="12.75"/>
    <row r="52983" ht="12.75"/>
    <row r="52984" ht="12.75"/>
    <row r="52985" ht="12.75"/>
    <row r="52986" ht="12.75"/>
    <row r="52987" ht="12.75"/>
    <row r="52988" ht="12.75"/>
    <row r="52989" ht="12.75"/>
    <row r="52990" ht="12.75"/>
    <row r="52991" ht="12.75"/>
    <row r="52992" ht="12.75"/>
    <row r="52993" ht="12.75"/>
    <row r="52994" ht="12.75"/>
    <row r="52995" ht="12.75"/>
    <row r="52996" ht="12.75"/>
    <row r="52997" ht="12.75"/>
    <row r="52998" ht="12.75"/>
    <row r="52999" ht="12.75"/>
    <row r="53000" ht="12.75"/>
    <row r="53001" ht="12.75"/>
    <row r="53002" ht="12.75"/>
    <row r="53003" ht="12.75"/>
    <row r="53004" ht="12.75"/>
    <row r="53005" ht="12.75"/>
    <row r="53006" ht="12.75"/>
    <row r="53007" ht="12.75"/>
    <row r="53008" ht="12.75"/>
    <row r="53009" ht="12.75"/>
    <row r="53010" ht="12.75"/>
    <row r="53011" ht="12.75"/>
    <row r="53012" ht="12.75"/>
    <row r="53013" ht="12.75"/>
    <row r="53014" ht="12.75"/>
    <row r="53015" ht="12.75"/>
    <row r="53016" ht="12.75"/>
    <row r="53017" ht="12.75"/>
    <row r="53018" ht="12.75"/>
    <row r="53019" ht="12.75"/>
    <row r="53020" ht="12.75"/>
    <row r="53021" ht="12.75"/>
    <row r="53022" ht="12.75"/>
    <row r="53023" ht="12.75"/>
    <row r="53024" ht="12.75"/>
    <row r="53025" ht="12.75"/>
    <row r="53026" ht="12.75"/>
    <row r="53027" ht="12.75"/>
    <row r="53028" ht="12.75"/>
    <row r="53029" ht="12.75"/>
    <row r="53030" ht="12.75"/>
    <row r="53031" ht="12.75"/>
    <row r="53032" ht="12.75"/>
    <row r="53033" ht="12.75"/>
    <row r="53034" ht="12.75"/>
    <row r="53035" ht="12.75"/>
    <row r="53036" ht="12.75"/>
    <row r="53037" ht="12.75"/>
    <row r="53038" ht="12.75"/>
    <row r="53039" ht="12.75"/>
    <row r="53040" ht="12.75"/>
    <row r="53041" ht="12.75"/>
    <row r="53042" ht="12.75"/>
    <row r="53043" ht="12.75"/>
    <row r="53044" ht="12.75"/>
    <row r="53045" ht="12.75"/>
    <row r="53046" ht="12.75"/>
    <row r="53047" ht="12.75"/>
    <row r="53048" ht="12.75"/>
    <row r="53049" ht="12.75"/>
    <row r="53050" ht="12.75"/>
    <row r="53051" ht="12.75"/>
    <row r="53052" ht="12.75"/>
    <row r="53053" ht="12.75"/>
    <row r="53054" ht="12.75"/>
    <row r="53055" ht="12.75"/>
    <row r="53056" ht="12.75"/>
    <row r="53057" ht="12.75"/>
    <row r="53058" ht="12.75"/>
    <row r="53059" ht="12.75"/>
    <row r="53060" ht="12.75"/>
    <row r="53061" ht="12.75"/>
    <row r="53062" ht="12.75"/>
    <row r="53063" ht="12.75"/>
    <row r="53064" ht="12.75"/>
    <row r="53065" ht="12.75"/>
    <row r="53066" ht="12.75"/>
    <row r="53067" ht="12.75"/>
    <row r="53068" ht="12.75"/>
    <row r="53069" ht="12.75"/>
    <row r="53070" ht="12.75"/>
    <row r="53071" ht="12.75"/>
    <row r="53072" ht="12.75"/>
    <row r="53073" ht="12.75"/>
    <row r="53074" ht="12.75"/>
    <row r="53075" ht="12.75"/>
    <row r="53076" ht="12.75"/>
    <row r="53077" ht="12.75"/>
    <row r="53078" ht="12.75"/>
    <row r="53079" ht="12.75"/>
    <row r="53080" ht="12.75"/>
    <row r="53081" ht="12.75"/>
    <row r="53082" ht="12.75"/>
    <row r="53083" ht="12.75"/>
    <row r="53084" ht="12.75"/>
    <row r="53085" ht="12.75"/>
    <row r="53086" ht="12.75"/>
    <row r="53087" ht="12.75"/>
    <row r="53088" ht="12.75"/>
    <row r="53089" ht="12.75"/>
    <row r="53090" ht="12.75"/>
    <row r="53091" ht="12.75"/>
    <row r="53092" ht="12.75"/>
    <row r="53093" ht="12.75"/>
    <row r="53094" ht="12.75"/>
    <row r="53095" ht="12.75"/>
    <row r="53096" ht="12.75"/>
    <row r="53097" ht="12.75"/>
    <row r="53098" ht="12.75"/>
    <row r="53099" ht="12.75"/>
    <row r="53100" ht="12.75"/>
    <row r="53101" ht="12.75"/>
    <row r="53102" ht="12.75"/>
    <row r="53103" ht="12.75"/>
    <row r="53104" ht="12.75"/>
    <row r="53105" ht="12.75"/>
    <row r="53106" ht="12.75"/>
    <row r="53107" ht="12.75"/>
    <row r="53108" ht="12.75"/>
    <row r="53109" ht="12.75"/>
    <row r="53110" ht="12.75"/>
    <row r="53111" ht="12.75"/>
    <row r="53112" ht="12.75"/>
    <row r="53113" ht="12.75"/>
    <row r="53114" ht="12.75"/>
    <row r="53115" ht="12.75"/>
    <row r="53116" ht="12.75"/>
    <row r="53117" ht="12.75"/>
    <row r="53118" ht="12.75"/>
    <row r="53119" ht="12.75"/>
    <row r="53120" ht="12.75"/>
    <row r="53121" ht="12.75"/>
    <row r="53122" ht="12.75"/>
    <row r="53123" ht="12.75"/>
    <row r="53124" ht="12.75"/>
    <row r="53125" ht="12.75"/>
    <row r="53126" ht="12.75"/>
    <row r="53127" ht="12.75"/>
    <row r="53128" ht="12.75"/>
    <row r="53129" ht="12.75"/>
    <row r="53130" ht="12.75"/>
    <row r="53131" ht="12.75"/>
    <row r="53132" ht="12.75"/>
    <row r="53133" ht="12.75"/>
    <row r="53134" ht="12.75"/>
    <row r="53135" ht="12.75"/>
    <row r="53136" ht="12.75"/>
    <row r="53137" ht="12.75"/>
    <row r="53138" ht="12.75"/>
    <row r="53139" ht="12.75"/>
    <row r="53140" ht="12.75"/>
    <row r="53141" ht="12.75"/>
    <row r="53142" ht="12.75"/>
    <row r="53143" ht="12.75"/>
    <row r="53144" ht="12.75"/>
    <row r="53145" ht="12.75"/>
    <row r="53146" ht="12.75"/>
    <row r="53147" ht="12.75"/>
    <row r="53148" ht="12.75"/>
    <row r="53149" ht="12.75"/>
    <row r="53150" ht="12.75"/>
    <row r="53151" ht="12.75"/>
    <row r="53152" ht="12.75"/>
    <row r="53153" ht="12.75"/>
    <row r="53154" ht="12.75"/>
    <row r="53155" ht="12.75"/>
    <row r="53156" ht="12.75"/>
    <row r="53157" ht="12.75"/>
    <row r="53158" ht="12.75"/>
    <row r="53159" ht="12.75"/>
    <row r="53160" ht="12.75"/>
    <row r="53161" ht="12.75"/>
    <row r="53162" ht="12.75"/>
    <row r="53163" ht="12.75"/>
    <row r="53164" ht="12.75"/>
    <row r="53165" ht="12.75"/>
    <row r="53166" ht="12.75"/>
    <row r="53167" ht="12.75"/>
    <row r="53168" ht="12.75"/>
    <row r="53169" ht="12.75"/>
    <row r="53170" ht="12.75"/>
    <row r="53171" ht="12.75"/>
    <row r="53172" ht="12.75"/>
    <row r="53173" ht="12.75"/>
    <row r="53174" ht="12.75"/>
    <row r="53175" ht="12.75"/>
    <row r="53176" ht="12.75"/>
    <row r="53177" ht="12.75"/>
    <row r="53178" ht="12.75"/>
    <row r="53179" ht="12.75"/>
    <row r="53180" ht="12.75"/>
    <row r="53181" ht="12.75"/>
    <row r="53182" ht="12.75"/>
    <row r="53183" ht="12.75"/>
    <row r="53184" ht="12.75"/>
    <row r="53185" ht="12.75"/>
    <row r="53186" ht="12.75"/>
    <row r="53187" ht="12.75"/>
    <row r="53188" ht="12.75"/>
    <row r="53189" ht="12.75"/>
    <row r="53190" ht="12.75"/>
    <row r="53191" ht="12.75"/>
    <row r="53192" ht="12.75"/>
    <row r="53193" ht="12.75"/>
    <row r="53194" ht="12.75"/>
    <row r="53195" ht="12.75"/>
    <row r="53196" ht="12.75"/>
    <row r="53197" ht="12.75"/>
    <row r="53198" ht="12.75"/>
    <row r="53199" ht="12.75"/>
    <row r="53200" ht="12.75"/>
    <row r="53201" ht="12.75"/>
    <row r="53202" ht="12.75"/>
    <row r="53203" ht="12.75"/>
    <row r="53204" ht="12.75"/>
    <row r="53205" ht="12.75"/>
    <row r="53206" ht="12.75"/>
    <row r="53207" ht="12.75"/>
    <row r="53208" ht="12.75"/>
    <row r="53209" ht="12.75"/>
    <row r="53210" ht="12.75"/>
    <row r="53211" ht="12.75"/>
    <row r="53212" ht="12.75"/>
    <row r="53213" ht="12.75"/>
    <row r="53214" ht="12.75"/>
    <row r="53215" ht="12.75"/>
    <row r="53216" ht="12.75"/>
    <row r="53217" ht="12.75"/>
    <row r="53218" ht="12.75"/>
    <row r="53219" ht="12.75"/>
    <row r="53220" ht="12.75"/>
    <row r="53221" ht="12.75"/>
    <row r="53222" ht="12.75"/>
    <row r="53223" ht="12.75"/>
    <row r="53224" ht="12.75"/>
    <row r="53225" ht="12.75"/>
    <row r="53226" ht="12.75"/>
    <row r="53227" ht="12.75"/>
    <row r="53228" ht="12.75"/>
    <row r="53229" ht="12.75"/>
    <row r="53230" ht="12.75"/>
    <row r="53231" ht="12.75"/>
    <row r="53232" ht="12.75"/>
    <row r="53233" ht="12.75"/>
    <row r="53234" ht="12.75"/>
    <row r="53235" ht="12.75"/>
    <row r="53236" ht="12.75"/>
    <row r="53237" ht="12.75"/>
    <row r="53238" ht="12.75"/>
    <row r="53239" ht="12.75"/>
    <row r="53240" ht="12.75"/>
    <row r="53241" ht="12.75"/>
    <row r="53242" ht="12.75"/>
    <row r="53243" ht="12.75"/>
    <row r="53244" ht="12.75"/>
    <row r="53245" ht="12.75"/>
    <row r="53246" ht="12.75"/>
    <row r="53247" ht="12.75"/>
    <row r="53248" ht="12.75"/>
    <row r="53249" ht="12.75"/>
    <row r="53250" ht="12.75"/>
    <row r="53251" ht="12.75"/>
    <row r="53252" ht="12.75"/>
    <row r="53253" ht="12.75"/>
    <row r="53254" ht="12.75"/>
    <row r="53255" ht="12.75"/>
    <row r="53256" ht="12.75"/>
    <row r="53257" ht="12.75"/>
    <row r="53258" ht="12.75"/>
    <row r="53259" ht="12.75"/>
    <row r="53260" ht="12.75"/>
    <row r="53261" ht="12.75"/>
    <row r="53262" ht="12.75"/>
    <row r="53263" ht="12.75"/>
    <row r="53264" ht="12.75"/>
    <row r="53265" ht="12.75"/>
    <row r="53266" ht="12.75"/>
    <row r="53267" ht="12.75"/>
    <row r="53268" ht="12.75"/>
    <row r="53269" ht="12.75"/>
    <row r="53270" ht="12.75"/>
    <row r="53271" ht="12.75"/>
    <row r="53272" ht="12.75"/>
    <row r="53273" ht="12.75"/>
    <row r="53274" ht="12.75"/>
    <row r="53275" ht="12.75"/>
    <row r="53276" ht="12.75"/>
    <row r="53277" ht="12.75"/>
    <row r="53278" ht="12.75"/>
    <row r="53279" ht="12.75"/>
    <row r="53280" ht="12.75"/>
    <row r="53281" ht="12.75"/>
    <row r="53282" ht="12.75"/>
    <row r="53283" ht="12.75"/>
    <row r="53284" ht="12.75"/>
    <row r="53285" ht="12.75"/>
    <row r="53286" ht="12.75"/>
    <row r="53287" ht="12.75"/>
    <row r="53288" ht="12.75"/>
    <row r="53289" ht="12.75"/>
    <row r="53290" ht="12.75"/>
    <row r="53291" ht="12.75"/>
    <row r="53292" ht="12.75"/>
    <row r="53293" ht="12.75"/>
    <row r="53294" ht="12.75"/>
    <row r="53295" ht="12.75"/>
    <row r="53296" ht="12.75"/>
    <row r="53297" ht="12.75"/>
    <row r="53298" ht="12.75"/>
    <row r="53299" ht="12.75"/>
    <row r="53300" ht="12.75"/>
    <row r="53301" ht="12.75"/>
    <row r="53302" ht="12.75"/>
    <row r="53303" ht="12.75"/>
    <row r="53304" ht="12.75"/>
    <row r="53305" ht="12.75"/>
    <row r="53306" ht="12.75"/>
    <row r="53307" ht="12.75"/>
    <row r="53308" ht="12.75"/>
    <row r="53309" ht="12.75"/>
    <row r="53310" ht="12.75"/>
    <row r="53311" ht="12.75"/>
    <row r="53312" ht="12.75"/>
    <row r="53313" ht="12.75"/>
    <row r="53314" ht="12.75"/>
    <row r="53315" ht="12.75"/>
    <row r="53316" ht="12.75"/>
    <row r="53317" ht="12.75"/>
    <row r="53318" ht="12.75"/>
    <row r="53319" ht="12.75"/>
    <row r="53320" ht="12.75"/>
    <row r="53321" ht="12.75"/>
    <row r="53322" ht="12.75"/>
    <row r="53323" ht="12.75"/>
    <row r="53324" ht="12.75"/>
    <row r="53325" ht="12.75"/>
    <row r="53326" ht="12.75"/>
    <row r="53327" ht="12.75"/>
    <row r="53328" ht="12.75"/>
    <row r="53329" ht="12.75"/>
    <row r="53330" ht="12.75"/>
    <row r="53331" ht="12.75"/>
    <row r="53332" ht="12.75"/>
    <row r="53333" ht="12.75"/>
    <row r="53334" ht="12.75"/>
    <row r="53335" ht="12.75"/>
    <row r="53336" ht="12.75"/>
    <row r="53337" ht="12.75"/>
    <row r="53338" ht="12.75"/>
    <row r="53339" ht="12.75"/>
    <row r="53340" ht="12.75"/>
    <row r="53341" ht="12.75"/>
    <row r="53342" ht="12.75"/>
    <row r="53343" ht="12.75"/>
    <row r="53344" ht="12.75"/>
    <row r="53345" ht="12.75"/>
    <row r="53346" ht="12.75"/>
    <row r="53347" ht="12.75"/>
    <row r="53348" ht="12.75"/>
    <row r="53349" ht="12.75"/>
    <row r="53350" ht="12.75"/>
    <row r="53351" ht="12.75"/>
    <row r="53352" ht="12.75"/>
    <row r="53353" ht="12.75"/>
    <row r="53354" ht="12.75"/>
    <row r="53355" ht="12.75"/>
    <row r="53356" ht="12.75"/>
    <row r="53357" ht="12.75"/>
    <row r="53358" ht="12.75"/>
    <row r="53359" ht="12.75"/>
    <row r="53360" ht="12.75"/>
    <row r="53361" ht="12.75"/>
    <row r="53362" ht="12.75"/>
    <row r="53363" ht="12.75"/>
    <row r="53364" ht="12.75"/>
    <row r="53365" ht="12.75"/>
    <row r="53366" ht="12.75"/>
    <row r="53367" ht="12.75"/>
    <row r="53368" ht="12.75"/>
    <row r="53369" ht="12.75"/>
    <row r="53370" ht="12.75"/>
    <row r="53371" ht="12.75"/>
    <row r="53372" ht="12.75"/>
    <row r="53373" ht="12.75"/>
    <row r="53374" ht="12.75"/>
    <row r="53375" ht="12.75"/>
    <row r="53376" ht="12.75"/>
    <row r="53377" ht="12.75"/>
    <row r="53378" ht="12.75"/>
    <row r="53379" ht="12.75"/>
    <row r="53380" ht="12.75"/>
    <row r="53381" ht="12.75"/>
    <row r="53382" ht="12.75"/>
    <row r="53383" ht="12.75"/>
    <row r="53384" ht="12.75"/>
    <row r="53385" ht="12.75"/>
    <row r="53386" ht="12.75"/>
    <row r="53387" ht="12.75"/>
    <row r="53388" ht="12.75"/>
    <row r="53389" ht="12.75"/>
    <row r="53390" ht="12.75"/>
    <row r="53391" ht="12.75"/>
    <row r="53392" ht="12.75"/>
    <row r="53393" ht="12.75"/>
    <row r="53394" ht="12.75"/>
    <row r="53395" ht="12.75"/>
    <row r="53396" ht="12.75"/>
    <row r="53397" ht="12.75"/>
    <row r="53398" ht="12.75"/>
    <row r="53399" ht="12.75"/>
    <row r="53400" ht="12.75"/>
    <row r="53401" ht="12.75"/>
    <row r="53402" ht="12.75"/>
    <row r="53403" ht="12.75"/>
    <row r="53404" ht="12.75"/>
    <row r="53405" ht="12.75"/>
    <row r="53406" ht="12.75"/>
    <row r="53407" ht="12.75"/>
    <row r="53408" ht="12.75"/>
    <row r="53409" ht="12.75"/>
    <row r="53410" ht="12.75"/>
    <row r="53411" ht="12.75"/>
    <row r="53412" ht="12.75"/>
    <row r="53413" ht="12.75"/>
    <row r="53414" ht="12.75"/>
    <row r="53415" ht="12.75"/>
    <row r="53416" ht="12.75"/>
    <row r="53417" ht="12.75"/>
    <row r="53418" ht="12.75"/>
    <row r="53419" ht="12.75"/>
    <row r="53420" ht="12.75"/>
    <row r="53421" ht="12.75"/>
    <row r="53422" ht="12.75"/>
    <row r="53423" ht="12.75"/>
    <row r="53424" ht="12.75"/>
    <row r="53425" ht="12.75"/>
    <row r="53426" ht="12.75"/>
    <row r="53427" ht="12.75"/>
    <row r="53428" ht="12.75"/>
    <row r="53429" ht="12.75"/>
    <row r="53430" ht="12.75"/>
    <row r="53431" ht="12.75"/>
    <row r="53432" ht="12.75"/>
    <row r="53433" ht="12.75"/>
    <row r="53434" ht="12.75"/>
    <row r="53435" ht="12.75"/>
    <row r="53436" ht="12.75"/>
    <row r="53437" ht="12.75"/>
    <row r="53438" ht="12.75"/>
    <row r="53439" ht="12.75"/>
    <row r="53440" ht="12.75"/>
    <row r="53441" ht="12.75"/>
    <row r="53442" ht="12.75"/>
    <row r="53443" ht="12.75"/>
    <row r="53444" ht="12.75"/>
    <row r="53445" ht="12.75"/>
    <row r="53446" ht="12.75"/>
    <row r="53447" ht="12.75"/>
    <row r="53448" ht="12.75"/>
    <row r="53449" ht="12.75"/>
    <row r="53450" ht="12.75"/>
    <row r="53451" ht="12.75"/>
    <row r="53452" ht="12.75"/>
    <row r="53453" ht="12.75"/>
    <row r="53454" ht="12.75"/>
    <row r="53455" ht="12.75"/>
    <row r="53456" ht="12.75"/>
    <row r="53457" ht="12.75"/>
    <row r="53458" ht="12.75"/>
    <row r="53459" ht="12.75"/>
    <row r="53460" ht="12.75"/>
    <row r="53461" ht="12.75"/>
    <row r="53462" ht="12.75"/>
    <row r="53463" ht="12.75"/>
    <row r="53464" ht="12.75"/>
    <row r="53465" ht="12.75"/>
    <row r="53466" ht="12.75"/>
    <row r="53467" ht="12.75"/>
    <row r="53468" ht="12.75"/>
    <row r="53469" ht="12.75"/>
    <row r="53470" ht="12.75"/>
    <row r="53471" ht="12.75"/>
    <row r="53472" ht="12.75"/>
    <row r="53473" ht="12.75"/>
    <row r="53474" ht="12.75"/>
    <row r="53475" ht="12.75"/>
    <row r="53476" ht="12.75"/>
    <row r="53477" ht="12.75"/>
    <row r="53478" ht="12.75"/>
    <row r="53479" ht="12.75"/>
    <row r="53480" ht="12.75"/>
    <row r="53481" ht="12.75"/>
    <row r="53482" ht="12.75"/>
    <row r="53483" ht="12.75"/>
    <row r="53484" ht="12.75"/>
    <row r="53485" ht="12.75"/>
    <row r="53486" ht="12.75"/>
    <row r="53487" ht="12.75"/>
    <row r="53488" ht="12.75"/>
    <row r="53489" ht="12.75"/>
    <row r="53490" ht="12.75"/>
    <row r="53491" ht="12.75"/>
    <row r="53492" ht="12.75"/>
    <row r="53493" ht="12.75"/>
    <row r="53494" ht="12.75"/>
    <row r="53495" ht="12.75"/>
    <row r="53496" ht="12.75"/>
    <row r="53497" ht="12.75"/>
    <row r="53498" ht="12.75"/>
    <row r="53499" ht="12.75"/>
    <row r="53500" ht="12.75"/>
    <row r="53501" ht="12.75"/>
    <row r="53502" ht="12.75"/>
    <row r="53503" ht="12.75"/>
    <row r="53504" ht="12.75"/>
    <row r="53505" ht="12.75"/>
    <row r="53506" ht="12.75"/>
    <row r="53507" ht="12.75"/>
    <row r="53508" ht="12.75"/>
    <row r="53509" ht="12.75"/>
    <row r="53510" ht="12.75"/>
    <row r="53511" ht="12.75"/>
    <row r="53512" ht="12.75"/>
    <row r="53513" ht="12.75"/>
    <row r="53514" ht="12.75"/>
    <row r="53515" ht="12.75"/>
    <row r="53516" ht="12.75"/>
    <row r="53517" ht="12.75"/>
    <row r="53518" ht="12.75"/>
    <row r="53519" ht="12.75"/>
    <row r="53520" ht="12.75"/>
    <row r="53521" ht="12.75"/>
    <row r="53522" ht="12.75"/>
    <row r="53523" ht="12.75"/>
    <row r="53524" ht="12.75"/>
    <row r="53525" ht="12.75"/>
    <row r="53526" ht="12.75"/>
    <row r="53527" ht="12.75"/>
    <row r="53528" ht="12.75"/>
    <row r="53529" ht="12.75"/>
    <row r="53530" ht="12.75"/>
    <row r="53531" ht="12.75"/>
    <row r="53532" ht="12.75"/>
    <row r="53533" ht="12.75"/>
    <row r="53534" ht="12.75"/>
    <row r="53535" ht="12.75"/>
    <row r="53536" ht="12.75"/>
    <row r="53537" ht="12.75"/>
    <row r="53538" ht="12.75"/>
    <row r="53539" ht="12.75"/>
    <row r="53540" ht="12.75"/>
    <row r="53541" ht="12.75"/>
    <row r="53542" ht="12.75"/>
    <row r="53543" ht="12.75"/>
    <row r="53544" ht="12.75"/>
    <row r="53545" ht="12.75"/>
    <row r="53546" ht="12.75"/>
    <row r="53547" ht="12.75"/>
    <row r="53548" ht="12.75"/>
    <row r="53549" ht="12.75"/>
    <row r="53550" ht="12.75"/>
    <row r="53551" ht="12.75"/>
    <row r="53552" ht="12.75"/>
    <row r="53553" ht="12.75"/>
    <row r="53554" ht="12.75"/>
    <row r="53555" ht="12.75"/>
    <row r="53556" ht="12.75"/>
    <row r="53557" ht="12.75"/>
    <row r="53558" ht="12.75"/>
    <row r="53559" ht="12.75"/>
    <row r="53560" ht="12.75"/>
    <row r="53561" ht="12.75"/>
    <row r="53562" ht="12.75"/>
    <row r="53563" ht="12.75"/>
    <row r="53564" ht="12.75"/>
    <row r="53565" ht="12.75"/>
    <row r="53566" ht="12.75"/>
    <row r="53567" ht="12.75"/>
    <row r="53568" ht="12.75"/>
    <row r="53569" ht="12.75"/>
    <row r="53570" ht="12.75"/>
    <row r="53571" ht="12.75"/>
    <row r="53572" ht="12.75"/>
    <row r="53573" ht="12.75"/>
    <row r="53574" ht="12.75"/>
    <row r="53575" ht="12.75"/>
    <row r="53576" ht="12.75"/>
    <row r="53577" ht="12.75"/>
    <row r="53578" ht="12.75"/>
    <row r="53579" ht="12.75"/>
    <row r="53580" ht="12.75"/>
    <row r="53581" ht="12.75"/>
    <row r="53582" ht="12.75"/>
    <row r="53583" ht="12.75"/>
    <row r="53584" ht="12.75"/>
    <row r="53585" ht="12.75"/>
    <row r="53586" ht="12.75"/>
    <row r="53587" ht="12.75"/>
    <row r="53588" ht="12.75"/>
    <row r="53589" ht="12.75"/>
    <row r="53590" ht="12.75"/>
    <row r="53591" ht="12.75"/>
    <row r="53592" ht="12.75"/>
    <row r="53593" ht="12.75"/>
    <row r="53594" ht="12.75"/>
    <row r="53595" ht="12.75"/>
    <row r="53596" ht="12.75"/>
    <row r="53597" ht="12.75"/>
    <row r="53598" ht="12.75"/>
    <row r="53599" ht="12.75"/>
    <row r="53600" ht="12.75"/>
    <row r="53601" ht="12.75"/>
    <row r="53602" ht="12.75"/>
    <row r="53603" ht="12.75"/>
    <row r="53604" ht="12.75"/>
    <row r="53605" ht="12.75"/>
    <row r="53606" ht="12.75"/>
    <row r="53607" ht="12.75"/>
    <row r="53608" ht="12.75"/>
    <row r="53609" ht="12.75"/>
    <row r="53610" ht="12.75"/>
    <row r="53611" ht="12.75"/>
    <row r="53612" ht="12.75"/>
    <row r="53613" ht="12.75"/>
    <row r="53614" ht="12.75"/>
    <row r="53615" ht="12.75"/>
    <row r="53616" ht="12.75"/>
    <row r="53617" ht="12.75"/>
    <row r="53618" ht="12.75"/>
    <row r="53619" ht="12.75"/>
    <row r="53620" ht="12.75"/>
    <row r="53621" ht="12.75"/>
    <row r="53622" ht="12.75"/>
    <row r="53623" ht="12.75"/>
    <row r="53624" ht="12.75"/>
    <row r="53625" ht="12.75"/>
    <row r="53626" ht="12.75"/>
    <row r="53627" ht="12.75"/>
    <row r="53628" ht="12.75"/>
    <row r="53629" ht="12.75"/>
    <row r="53630" ht="12.75"/>
    <row r="53631" ht="12.75"/>
    <row r="53632" ht="12.75"/>
    <row r="53633" ht="12.75"/>
    <row r="53634" ht="12.75"/>
    <row r="53635" ht="12.75"/>
    <row r="53636" ht="12.75"/>
    <row r="53637" ht="12.75"/>
    <row r="53638" ht="12.75"/>
    <row r="53639" ht="12.75"/>
    <row r="53640" ht="12.75"/>
    <row r="53641" ht="12.75"/>
    <row r="53642" ht="12.75"/>
    <row r="53643" ht="12.75"/>
    <row r="53644" ht="12.75"/>
    <row r="53645" ht="12.75"/>
    <row r="53646" ht="12.75"/>
    <row r="53647" ht="12.75"/>
    <row r="53648" ht="12.75"/>
    <row r="53649" ht="12.75"/>
    <row r="53650" ht="12.75"/>
    <row r="53651" ht="12.75"/>
    <row r="53652" ht="12.75"/>
    <row r="53653" ht="12.75"/>
    <row r="53654" ht="12.75"/>
    <row r="53655" ht="12.75"/>
    <row r="53656" ht="12.75"/>
    <row r="53657" ht="12.75"/>
    <row r="53658" ht="12.75"/>
    <row r="53659" ht="12.75"/>
    <row r="53660" ht="12.75"/>
    <row r="53661" ht="12.75"/>
    <row r="53662" ht="12.75"/>
    <row r="53663" ht="12.75"/>
    <row r="53664" ht="12.75"/>
    <row r="53665" ht="12.75"/>
    <row r="53666" ht="12.75"/>
    <row r="53667" ht="12.75"/>
    <row r="53668" ht="12.75"/>
    <row r="53669" ht="12.75"/>
    <row r="53670" ht="12.75"/>
    <row r="53671" ht="12.75"/>
    <row r="53672" ht="12.75"/>
    <row r="53673" ht="12.75"/>
    <row r="53674" ht="12.75"/>
    <row r="53675" ht="12.75"/>
    <row r="53676" ht="12.75"/>
    <row r="53677" ht="12.75"/>
    <row r="53678" ht="12.75"/>
    <row r="53679" ht="12.75"/>
    <row r="53680" ht="12.75"/>
    <row r="53681" ht="12.75"/>
    <row r="53682" ht="12.75"/>
    <row r="53683" ht="12.75"/>
    <row r="53684" ht="12.75"/>
    <row r="53685" ht="12.75"/>
    <row r="53686" ht="12.75"/>
    <row r="53687" ht="12.75"/>
    <row r="53688" ht="12.75"/>
    <row r="53689" ht="12.75"/>
    <row r="53690" ht="12.75"/>
    <row r="53691" ht="12.75"/>
    <row r="53692" ht="12.75"/>
    <row r="53693" ht="12.75"/>
    <row r="53694" ht="12.75"/>
    <row r="53695" ht="12.75"/>
    <row r="53696" ht="12.75"/>
    <row r="53697" ht="12.75"/>
    <row r="53698" ht="12.75"/>
    <row r="53699" ht="12.75"/>
    <row r="53700" ht="12.75"/>
    <row r="53701" ht="12.75"/>
    <row r="53702" ht="12.75"/>
    <row r="53703" ht="12.75"/>
    <row r="53704" ht="12.75"/>
    <row r="53705" ht="12.75"/>
    <row r="53706" ht="12.75"/>
    <row r="53707" ht="12.75"/>
    <row r="53708" ht="12.75"/>
    <row r="53709" ht="12.75"/>
    <row r="53710" ht="12.75"/>
    <row r="53711" ht="12.75"/>
    <row r="53712" ht="12.75"/>
    <row r="53713" ht="12.75"/>
    <row r="53714" ht="12.75"/>
    <row r="53715" ht="12.75"/>
    <row r="53716" ht="12.75"/>
    <row r="53717" ht="12.75"/>
    <row r="53718" ht="12.75"/>
    <row r="53719" ht="12.75"/>
    <row r="53720" ht="12.75"/>
    <row r="53721" ht="12.75"/>
    <row r="53722" ht="12.75"/>
    <row r="53723" ht="12.75"/>
    <row r="53724" ht="12.75"/>
    <row r="53725" ht="12.75"/>
    <row r="53726" ht="12.75"/>
    <row r="53727" ht="12.75"/>
    <row r="53728" ht="12.75"/>
    <row r="53729" ht="12.75"/>
    <row r="53730" ht="12.75"/>
    <row r="53731" ht="12.75"/>
    <row r="53732" ht="12.75"/>
    <row r="53733" ht="12.75"/>
    <row r="53734" ht="12.75"/>
    <row r="53735" ht="12.75"/>
    <row r="53736" ht="12.75"/>
    <row r="53737" ht="12.75"/>
    <row r="53738" ht="12.75"/>
    <row r="53739" ht="12.75"/>
    <row r="53740" ht="12.75"/>
    <row r="53741" ht="12.75"/>
    <row r="53742" ht="12.75"/>
    <row r="53743" ht="12.75"/>
    <row r="53744" ht="12.75"/>
    <row r="53745" ht="12.75"/>
    <row r="53746" ht="12.75"/>
    <row r="53747" ht="12.75"/>
    <row r="53748" ht="12.75"/>
    <row r="53749" ht="12.75"/>
    <row r="53750" ht="12.75"/>
    <row r="53751" ht="12.75"/>
    <row r="53752" ht="12.75"/>
    <row r="53753" ht="12.75"/>
    <row r="53754" ht="12.75"/>
    <row r="53755" ht="12.75"/>
    <row r="53756" ht="12.75"/>
    <row r="53757" ht="12.75"/>
    <row r="53758" ht="12.75"/>
    <row r="53759" ht="12.75"/>
    <row r="53760" ht="12.75"/>
    <row r="53761" ht="12.75"/>
    <row r="53762" ht="12.75"/>
    <row r="53763" ht="12.75"/>
    <row r="53764" ht="12.75"/>
    <row r="53765" ht="12.75"/>
    <row r="53766" ht="12.75"/>
    <row r="53767" ht="12.75"/>
    <row r="53768" ht="12.75"/>
    <row r="53769" ht="12.75"/>
    <row r="53770" ht="12.75"/>
    <row r="53771" ht="12.75"/>
    <row r="53772" ht="12.75"/>
    <row r="53773" ht="12.75"/>
    <row r="53774" ht="12.75"/>
    <row r="53775" ht="12.75"/>
    <row r="53776" ht="12.75"/>
    <row r="53777" ht="12.75"/>
    <row r="53778" ht="12.75"/>
    <row r="53779" ht="12.75"/>
    <row r="53780" ht="12.75"/>
    <row r="53781" ht="12.75"/>
    <row r="53782" ht="12.75"/>
    <row r="53783" ht="12.75"/>
    <row r="53784" ht="12.75"/>
    <row r="53785" ht="12.75"/>
    <row r="53786" ht="12.75"/>
    <row r="53787" ht="12.75"/>
    <row r="53788" ht="12.75"/>
    <row r="53789" ht="12.75"/>
    <row r="53790" ht="12.75"/>
    <row r="53791" ht="12.75"/>
    <row r="53792" ht="12.75"/>
    <row r="53793" ht="12.75"/>
    <row r="53794" ht="12.75"/>
    <row r="53795" ht="12.75"/>
    <row r="53796" ht="12.75"/>
    <row r="53797" ht="12.75"/>
    <row r="53798" ht="12.75"/>
    <row r="53799" ht="12.75"/>
    <row r="53800" ht="12.75"/>
    <row r="53801" ht="12.75"/>
    <row r="53802" ht="12.75"/>
    <row r="53803" ht="12.75"/>
    <row r="53804" ht="12.75"/>
    <row r="53805" ht="12.75"/>
    <row r="53806" ht="12.75"/>
    <row r="53807" ht="12.75"/>
    <row r="53808" ht="12.75"/>
    <row r="53809" ht="12.75"/>
    <row r="53810" ht="12.75"/>
    <row r="53811" ht="12.75"/>
    <row r="53812" ht="12.75"/>
    <row r="53813" ht="12.75"/>
    <row r="53814" ht="12.75"/>
    <row r="53815" ht="12.75"/>
    <row r="53816" ht="12.75"/>
    <row r="53817" ht="12.75"/>
    <row r="53818" ht="12.75"/>
    <row r="53819" ht="12.75"/>
    <row r="53820" ht="12.75"/>
    <row r="53821" ht="12.75"/>
    <row r="53822" ht="12.75"/>
    <row r="53823" ht="12.75"/>
    <row r="53824" ht="12.75"/>
    <row r="53825" ht="12.75"/>
    <row r="53826" ht="12.75"/>
    <row r="53827" ht="12.75"/>
    <row r="53828" ht="12.75"/>
    <row r="53829" ht="12.75"/>
    <row r="53830" ht="12.75"/>
    <row r="53831" ht="12.75"/>
    <row r="53832" ht="12.75"/>
    <row r="53833" ht="12.75"/>
    <row r="53834" ht="12.75"/>
    <row r="53835" ht="12.75"/>
    <row r="53836" ht="12.75"/>
    <row r="53837" ht="12.75"/>
    <row r="53838" ht="12.75"/>
    <row r="53839" ht="12.75"/>
    <row r="53840" ht="12.75"/>
    <row r="53841" ht="12.75"/>
    <row r="53842" ht="12.75"/>
    <row r="53843" ht="12.75"/>
    <row r="53844" ht="12.75"/>
    <row r="53845" ht="12.75"/>
    <row r="53846" ht="12.75"/>
    <row r="53847" ht="12.75"/>
    <row r="53848" ht="12.75"/>
    <row r="53849" ht="12.75"/>
    <row r="53850" ht="12.75"/>
    <row r="53851" ht="12.75"/>
    <row r="53852" ht="12.75"/>
    <row r="53853" ht="12.75"/>
    <row r="53854" ht="12.75"/>
    <row r="53855" ht="12.75"/>
    <row r="53856" ht="12.75"/>
    <row r="53857" ht="12.75"/>
    <row r="53858" ht="12.75"/>
    <row r="53859" ht="12.75"/>
    <row r="53860" ht="12.75"/>
    <row r="53861" ht="12.75"/>
    <row r="53862" ht="12.75"/>
    <row r="53863" ht="12.75"/>
    <row r="53864" ht="12.75"/>
    <row r="53865" ht="12.75"/>
    <row r="53866" ht="12.75"/>
    <row r="53867" ht="12.75"/>
    <row r="53868" ht="12.75"/>
    <row r="53869" ht="12.75"/>
    <row r="53870" ht="12.75"/>
    <row r="53871" ht="12.75"/>
    <row r="53872" ht="12.75"/>
    <row r="53873" ht="12.75"/>
    <row r="53874" ht="12.75"/>
    <row r="53875" ht="12.75"/>
    <row r="53876" ht="12.75"/>
    <row r="53877" ht="12.75"/>
    <row r="53878" ht="12.75"/>
    <row r="53879" ht="12.75"/>
    <row r="53880" ht="12.75"/>
    <row r="53881" ht="12.75"/>
    <row r="53882" ht="12.75"/>
    <row r="53883" ht="12.75"/>
    <row r="53884" ht="12.75"/>
    <row r="53885" ht="12.75"/>
    <row r="53886" ht="12.75"/>
    <row r="53887" ht="12.75"/>
    <row r="53888" ht="12.75"/>
    <row r="53889" ht="12.75"/>
    <row r="53890" ht="12.75"/>
    <row r="53891" ht="12.75"/>
    <row r="53892" ht="12.75"/>
    <row r="53893" ht="12.75"/>
    <row r="53894" ht="12.75"/>
    <row r="53895" ht="12.75"/>
    <row r="53896" ht="12.75"/>
    <row r="53897" ht="12.75"/>
    <row r="53898" ht="12.75"/>
    <row r="53899" ht="12.75"/>
    <row r="53900" ht="12.75"/>
    <row r="53901" ht="12.75"/>
    <row r="53902" ht="12.75"/>
    <row r="53903" ht="12.75"/>
    <row r="53904" ht="12.75"/>
    <row r="53905" ht="12.75"/>
    <row r="53906" ht="12.75"/>
    <row r="53907" ht="12.75"/>
    <row r="53908" ht="12.75"/>
    <row r="53909" ht="12.75"/>
    <row r="53910" ht="12.75"/>
    <row r="53911" ht="12.75"/>
    <row r="53912" ht="12.75"/>
    <row r="53913" ht="12.75"/>
    <row r="53914" ht="12.75"/>
    <row r="53915" ht="12.75"/>
    <row r="53916" ht="12.75"/>
    <row r="53917" ht="12.75"/>
    <row r="53918" ht="12.75"/>
    <row r="53919" ht="12.75"/>
    <row r="53920" ht="12.75"/>
    <row r="53921" ht="12.75"/>
    <row r="53922" ht="12.75"/>
    <row r="53923" ht="12.75"/>
    <row r="53924" ht="12.75"/>
    <row r="53925" ht="12.75"/>
    <row r="53926" ht="12.75"/>
    <row r="53927" ht="12.75"/>
    <row r="53928" ht="12.75"/>
    <row r="53929" ht="12.75"/>
    <row r="53930" ht="12.75"/>
    <row r="53931" ht="12.75"/>
    <row r="53932" ht="12.75"/>
    <row r="53933" ht="12.75"/>
    <row r="53934" ht="12.75"/>
    <row r="53935" ht="12.75"/>
    <row r="53936" ht="12.75"/>
    <row r="53937" ht="12.75"/>
    <row r="53938" ht="12.75"/>
    <row r="53939" ht="12.75"/>
    <row r="53940" ht="12.75"/>
    <row r="53941" ht="12.75"/>
    <row r="53942" ht="12.75"/>
    <row r="53943" ht="12.75"/>
    <row r="53944" ht="12.75"/>
    <row r="53945" ht="12.75"/>
    <row r="53946" ht="12.75"/>
    <row r="53947" ht="12.75"/>
    <row r="53948" ht="12.75"/>
    <row r="53949" ht="12.75"/>
    <row r="53950" ht="12.75"/>
    <row r="53951" ht="12.75"/>
    <row r="53952" ht="12.75"/>
    <row r="53953" ht="12.75"/>
    <row r="53954" ht="12.75"/>
    <row r="53955" ht="12.75"/>
    <row r="53956" ht="12.75"/>
    <row r="53957" ht="12.75"/>
    <row r="53958" ht="12.75"/>
    <row r="53959" ht="12.75"/>
    <row r="53960" ht="12.75"/>
    <row r="53961" ht="12.75"/>
    <row r="53962" ht="12.75"/>
    <row r="53963" ht="12.75"/>
    <row r="53964" ht="12.75"/>
    <row r="53965" ht="12.75"/>
    <row r="53966" ht="12.75"/>
    <row r="53967" ht="12.75"/>
    <row r="53968" ht="12.75"/>
    <row r="53969" ht="12.75"/>
    <row r="53970" ht="12.75"/>
    <row r="53971" ht="12.75"/>
    <row r="53972" ht="12.75"/>
    <row r="53973" ht="12.75"/>
    <row r="53974" ht="12.75"/>
    <row r="53975" ht="12.75"/>
    <row r="53976" ht="12.75"/>
    <row r="53977" ht="12.75"/>
    <row r="53978" ht="12.75"/>
    <row r="53979" ht="12.75"/>
    <row r="53980" ht="12.75"/>
    <row r="53981" ht="12.75"/>
    <row r="53982" ht="12.75"/>
    <row r="53983" ht="12.75"/>
    <row r="53984" ht="12.75"/>
    <row r="53985" ht="12.75"/>
    <row r="53986" ht="12.75"/>
    <row r="53987" ht="12.75"/>
    <row r="53988" ht="12.75"/>
    <row r="53989" ht="12.75"/>
    <row r="53990" ht="12.75"/>
    <row r="53991" ht="12.75"/>
    <row r="53992" ht="12.75"/>
    <row r="53993" ht="12.75"/>
    <row r="53994" ht="12.75"/>
    <row r="53995" ht="12.75"/>
    <row r="53996" ht="12.75"/>
    <row r="53997" ht="12.75"/>
    <row r="53998" ht="12.75"/>
    <row r="53999" ht="12.75"/>
    <row r="54000" ht="12.75"/>
    <row r="54001" ht="12.75"/>
    <row r="54002" ht="12.75"/>
    <row r="54003" ht="12.75"/>
    <row r="54004" ht="12.75"/>
    <row r="54005" ht="12.75"/>
    <row r="54006" ht="12.75"/>
    <row r="54007" ht="12.75"/>
    <row r="54008" ht="12.75"/>
    <row r="54009" ht="12.75"/>
    <row r="54010" ht="12.75"/>
    <row r="54011" ht="12.75"/>
    <row r="54012" ht="12.75"/>
    <row r="54013" ht="12.75"/>
    <row r="54014" ht="12.75"/>
    <row r="54015" ht="12.75"/>
    <row r="54016" ht="12.75"/>
    <row r="54017" ht="12.75"/>
    <row r="54018" ht="12.75"/>
    <row r="54019" ht="12.75"/>
    <row r="54020" ht="12.75"/>
    <row r="54021" ht="12.75"/>
    <row r="54022" ht="12.75"/>
    <row r="54023" ht="12.75"/>
    <row r="54024" ht="12.75"/>
    <row r="54025" ht="12.75"/>
    <row r="54026" ht="12.75"/>
    <row r="54027" ht="12.75"/>
    <row r="54028" ht="12.75"/>
    <row r="54029" ht="12.75"/>
    <row r="54030" ht="12.75"/>
    <row r="54031" ht="12.75"/>
    <row r="54032" ht="12.75"/>
    <row r="54033" ht="12.75"/>
    <row r="54034" ht="12.75"/>
    <row r="54035" ht="12.75"/>
    <row r="54036" ht="12.75"/>
    <row r="54037" ht="12.75"/>
    <row r="54038" ht="12.75"/>
    <row r="54039" ht="12.75"/>
    <row r="54040" ht="12.75"/>
    <row r="54041" ht="12.75"/>
    <row r="54042" ht="12.75"/>
    <row r="54043" ht="12.75"/>
    <row r="54044" ht="12.75"/>
    <row r="54045" ht="12.75"/>
    <row r="54046" ht="12.75"/>
    <row r="54047" ht="12.75"/>
    <row r="54048" ht="12.75"/>
    <row r="54049" ht="12.75"/>
    <row r="54050" ht="12.75"/>
    <row r="54051" ht="12.75"/>
    <row r="54052" ht="12.75"/>
    <row r="54053" ht="12.75"/>
    <row r="54054" ht="12.75"/>
    <row r="54055" ht="12.75"/>
    <row r="54056" ht="12.75"/>
    <row r="54057" ht="12.75"/>
    <row r="54058" ht="12.75"/>
    <row r="54059" ht="12.75"/>
    <row r="54060" ht="12.75"/>
    <row r="54061" ht="12.75"/>
    <row r="54062" ht="12.75"/>
    <row r="54063" ht="12.75"/>
    <row r="54064" ht="12.75"/>
    <row r="54065" ht="12.75"/>
    <row r="54066" ht="12.75"/>
    <row r="54067" ht="12.75"/>
    <row r="54068" ht="12.75"/>
    <row r="54069" ht="12.75"/>
    <row r="54070" ht="12.75"/>
    <row r="54071" ht="12.75"/>
    <row r="54072" ht="12.75"/>
    <row r="54073" ht="12.75"/>
    <row r="54074" ht="12.75"/>
    <row r="54075" ht="12.75"/>
    <row r="54076" ht="12.75"/>
    <row r="54077" ht="12.75"/>
    <row r="54078" ht="12.75"/>
    <row r="54079" ht="12.75"/>
    <row r="54080" ht="12.75"/>
    <row r="54081" ht="12.75"/>
    <row r="54082" ht="12.75"/>
    <row r="54083" ht="12.75"/>
    <row r="54084" ht="12.75"/>
    <row r="54085" ht="12.75"/>
    <row r="54086" ht="12.75"/>
    <row r="54087" ht="12.75"/>
    <row r="54088" ht="12.75"/>
    <row r="54089" ht="12.75"/>
    <row r="54090" ht="12.75"/>
    <row r="54091" ht="12.75"/>
    <row r="54092" ht="12.75"/>
    <row r="54093" ht="12.75"/>
    <row r="54094" ht="12.75"/>
    <row r="54095" ht="12.75"/>
    <row r="54096" ht="12.75"/>
    <row r="54097" ht="12.75"/>
    <row r="54098" ht="12.75"/>
    <row r="54099" ht="12.75"/>
    <row r="54100" ht="12.75"/>
    <row r="54101" ht="12.75"/>
    <row r="54102" ht="12.75"/>
    <row r="54103" ht="12.75"/>
    <row r="54104" ht="12.75"/>
    <row r="54105" ht="12.75"/>
    <row r="54106" ht="12.75"/>
    <row r="54107" ht="12.75"/>
    <row r="54108" ht="12.75"/>
    <row r="54109" ht="12.75"/>
    <row r="54110" ht="12.75"/>
    <row r="54111" ht="12.75"/>
    <row r="54112" ht="12.75"/>
    <row r="54113" ht="12.75"/>
    <row r="54114" ht="12.75"/>
    <row r="54115" ht="12.75"/>
    <row r="54116" ht="12.75"/>
    <row r="54117" ht="12.75"/>
    <row r="54118" ht="12.75"/>
    <row r="54119" ht="12.75"/>
    <row r="54120" ht="12.75"/>
    <row r="54121" ht="12.75"/>
    <row r="54122" ht="12.75"/>
    <row r="54123" ht="12.75"/>
    <row r="54124" ht="12.75"/>
    <row r="54125" ht="12.75"/>
    <row r="54126" ht="12.75"/>
    <row r="54127" ht="12.75"/>
    <row r="54128" ht="12.75"/>
    <row r="54129" ht="12.75"/>
    <row r="54130" ht="12.75"/>
    <row r="54131" ht="12.75"/>
    <row r="54132" ht="12.75"/>
    <row r="54133" ht="12.75"/>
    <row r="54134" ht="12.75"/>
    <row r="54135" ht="12.75"/>
    <row r="54136" ht="12.75"/>
    <row r="54137" ht="12.75"/>
    <row r="54138" ht="12.75"/>
    <row r="54139" ht="12.75"/>
    <row r="54140" ht="12.75"/>
    <row r="54141" ht="12.75"/>
    <row r="54142" ht="12.75"/>
    <row r="54143" ht="12.75"/>
    <row r="54144" ht="12.75"/>
    <row r="54145" ht="12.75"/>
    <row r="54146" ht="12.75"/>
    <row r="54147" ht="12.75"/>
    <row r="54148" ht="12.75"/>
    <row r="54149" ht="12.75"/>
    <row r="54150" ht="12.75"/>
    <row r="54151" ht="12.75"/>
    <row r="54152" ht="12.75"/>
    <row r="54153" ht="12.75"/>
    <row r="54154" ht="12.75"/>
    <row r="54155" ht="12.75"/>
    <row r="54156" ht="12.75"/>
    <row r="54157" ht="12.75"/>
    <row r="54158" ht="12.75"/>
    <row r="54159" ht="12.75"/>
    <row r="54160" ht="12.75"/>
    <row r="54161" ht="12.75"/>
    <row r="54162" ht="12.75"/>
    <row r="54163" ht="12.75"/>
    <row r="54164" ht="12.75"/>
    <row r="54165" ht="12.75"/>
    <row r="54166" ht="12.75"/>
    <row r="54167" ht="12.75"/>
    <row r="54168" ht="12.75"/>
    <row r="54169" ht="12.75"/>
    <row r="54170" ht="12.75"/>
    <row r="54171" ht="12.75"/>
    <row r="54172" ht="12.75"/>
    <row r="54173" ht="12.75"/>
    <row r="54174" ht="12.75"/>
    <row r="54175" ht="12.75"/>
    <row r="54176" ht="12.75"/>
    <row r="54177" ht="12.75"/>
    <row r="54178" ht="12.75"/>
    <row r="54179" ht="12.75"/>
    <row r="54180" ht="12.75"/>
    <row r="54181" ht="12.75"/>
    <row r="54182" ht="12.75"/>
    <row r="54183" ht="12.75"/>
    <row r="54184" ht="12.75"/>
    <row r="54185" ht="12.75"/>
    <row r="54186" ht="12.75"/>
    <row r="54187" ht="12.75"/>
    <row r="54188" ht="12.75"/>
    <row r="54189" ht="12.75"/>
    <row r="54190" ht="12.75"/>
    <row r="54191" ht="12.75"/>
    <row r="54192" ht="12.75"/>
    <row r="54193" ht="12.75"/>
    <row r="54194" ht="12.75"/>
    <row r="54195" ht="12.75"/>
    <row r="54196" ht="12.75"/>
    <row r="54197" ht="12.75"/>
    <row r="54198" ht="12.75"/>
    <row r="54199" ht="12.75"/>
    <row r="54200" ht="12.75"/>
    <row r="54201" ht="12.75"/>
    <row r="54202" ht="12.75"/>
    <row r="54203" ht="12.75"/>
    <row r="54204" ht="12.75"/>
    <row r="54205" ht="12.75"/>
    <row r="54206" ht="12.75"/>
    <row r="54207" ht="12.75"/>
    <row r="54208" ht="12.75"/>
    <row r="54209" ht="12.75"/>
    <row r="54210" ht="12.75"/>
    <row r="54211" ht="12.75"/>
    <row r="54212" ht="12.75"/>
    <row r="54213" ht="12.75"/>
    <row r="54214" ht="12.75"/>
    <row r="54215" ht="12.75"/>
    <row r="54216" ht="12.75"/>
    <row r="54217" ht="12.75"/>
    <row r="54218" ht="12.75"/>
    <row r="54219" ht="12.75"/>
    <row r="54220" ht="12.75"/>
    <row r="54221" ht="12.75"/>
    <row r="54222" ht="12.75"/>
    <row r="54223" ht="12.75"/>
    <row r="54224" ht="12.75"/>
    <row r="54225" ht="12.75"/>
    <row r="54226" ht="12.75"/>
    <row r="54227" ht="12.75"/>
    <row r="54228" ht="12.75"/>
    <row r="54229" ht="12.75"/>
    <row r="54230" ht="12.75"/>
    <row r="54231" ht="12.75"/>
    <row r="54232" ht="12.75"/>
    <row r="54233" ht="12.75"/>
    <row r="54234" ht="12.75"/>
    <row r="54235" ht="12.75"/>
    <row r="54236" ht="12.75"/>
    <row r="54237" ht="12.75"/>
    <row r="54238" ht="12.75"/>
    <row r="54239" ht="12.75"/>
    <row r="54240" ht="12.75"/>
    <row r="54241" ht="12.75"/>
    <row r="54242" ht="12.75"/>
    <row r="54243" ht="12.75"/>
    <row r="54244" ht="12.75"/>
    <row r="54245" ht="12.75"/>
    <row r="54246" ht="12.75"/>
    <row r="54247" ht="12.75"/>
    <row r="54248" ht="12.75"/>
    <row r="54249" ht="12.75"/>
    <row r="54250" ht="12.75"/>
    <row r="54251" ht="12.75"/>
    <row r="54252" ht="12.75"/>
    <row r="54253" ht="12.75"/>
    <row r="54254" ht="12.75"/>
    <row r="54255" ht="12.75"/>
    <row r="54256" ht="12.75"/>
    <row r="54257" ht="12.75"/>
    <row r="54258" ht="12.75"/>
    <row r="54259" ht="12.75"/>
    <row r="54260" ht="12.75"/>
    <row r="54261" ht="12.75"/>
    <row r="54262" ht="12.75"/>
    <row r="54263" ht="12.75"/>
    <row r="54264" ht="12.75"/>
    <row r="54265" ht="12.75"/>
    <row r="54266" ht="12.75"/>
    <row r="54267" ht="12.75"/>
    <row r="54268" ht="12.75"/>
    <row r="54269" ht="12.75"/>
    <row r="54270" ht="12.75"/>
    <row r="54271" ht="12.75"/>
    <row r="54272" ht="12.75"/>
    <row r="54273" ht="12.75"/>
    <row r="54274" ht="12.75"/>
    <row r="54275" ht="12.75"/>
    <row r="54276" ht="12.75"/>
    <row r="54277" ht="12.75"/>
    <row r="54278" ht="12.75"/>
    <row r="54279" ht="12.75"/>
    <row r="54280" ht="12.75"/>
    <row r="54281" ht="12.75"/>
    <row r="54282" ht="12.75"/>
    <row r="54283" ht="12.75"/>
    <row r="54284" ht="12.75"/>
    <row r="54285" ht="12.75"/>
    <row r="54286" ht="12.75"/>
    <row r="54287" ht="12.75"/>
    <row r="54288" ht="12.75"/>
    <row r="54289" ht="12.75"/>
    <row r="54290" ht="12.75"/>
    <row r="54291" ht="12.75"/>
    <row r="54292" ht="12.75"/>
    <row r="54293" ht="12.75"/>
    <row r="54294" ht="12.75"/>
    <row r="54295" ht="12.75"/>
    <row r="54296" ht="12.75"/>
    <row r="54297" ht="12.75"/>
    <row r="54298" ht="12.75"/>
    <row r="54299" ht="12.75"/>
    <row r="54300" ht="12.75"/>
    <row r="54301" ht="12.75"/>
    <row r="54302" ht="12.75"/>
    <row r="54303" ht="12.75"/>
    <row r="54304" ht="12.75"/>
    <row r="54305" ht="12.75"/>
    <row r="54306" ht="12.75"/>
    <row r="54307" ht="12.75"/>
    <row r="54308" ht="12.75"/>
    <row r="54309" ht="12.75"/>
    <row r="54310" ht="12.75"/>
    <row r="54311" ht="12.75"/>
    <row r="54312" ht="12.75"/>
    <row r="54313" ht="12.75"/>
    <row r="54314" ht="12.75"/>
    <row r="54315" ht="12.75"/>
    <row r="54316" ht="12.75"/>
    <row r="54317" ht="12.75"/>
    <row r="54318" ht="12.75"/>
    <row r="54319" ht="12.75"/>
    <row r="54320" ht="12.75"/>
    <row r="54321" ht="12.75"/>
    <row r="54322" ht="12.75"/>
    <row r="54323" ht="12.75"/>
    <row r="54324" ht="12.75"/>
    <row r="54325" ht="12.75"/>
    <row r="54326" ht="12.75"/>
    <row r="54327" ht="12.75"/>
    <row r="54328" ht="12.75"/>
    <row r="54329" ht="12.75"/>
    <row r="54330" ht="12.75"/>
    <row r="54331" ht="12.75"/>
    <row r="54332" ht="12.75"/>
    <row r="54333" ht="12.75"/>
    <row r="54334" ht="12.75"/>
    <row r="54335" ht="12.75"/>
    <row r="54336" ht="12.75"/>
    <row r="54337" ht="12.75"/>
    <row r="54338" ht="12.75"/>
    <row r="54339" ht="12.75"/>
    <row r="54340" ht="12.75"/>
    <row r="54341" ht="12.75"/>
    <row r="54342" ht="12.75"/>
    <row r="54343" ht="12.75"/>
    <row r="54344" ht="12.75"/>
    <row r="54345" ht="12.75"/>
    <row r="54346" ht="12.75"/>
    <row r="54347" ht="12.75"/>
    <row r="54348" ht="12.75"/>
    <row r="54349" ht="12.75"/>
    <row r="54350" ht="12.75"/>
    <row r="54351" ht="12.75"/>
    <row r="54352" ht="12.75"/>
    <row r="54353" ht="12.75"/>
    <row r="54354" ht="12.75"/>
    <row r="54355" ht="12.75"/>
    <row r="54356" ht="12.75"/>
    <row r="54357" ht="12.75"/>
    <row r="54358" ht="12.75"/>
    <row r="54359" ht="12.75"/>
    <row r="54360" ht="12.75"/>
    <row r="54361" ht="12.75"/>
    <row r="54362" ht="12.75"/>
    <row r="54363" ht="12.75"/>
    <row r="54364" ht="12.75"/>
    <row r="54365" ht="12.75"/>
    <row r="54366" ht="12.75"/>
    <row r="54367" ht="12.75"/>
    <row r="54368" ht="12.75"/>
    <row r="54369" ht="12.75"/>
    <row r="54370" ht="12.75"/>
    <row r="54371" ht="12.75"/>
    <row r="54372" ht="12.75"/>
    <row r="54373" ht="12.75"/>
    <row r="54374" ht="12.75"/>
    <row r="54375" ht="12.75"/>
    <row r="54376" ht="12.75"/>
    <row r="54377" ht="12.75"/>
    <row r="54378" ht="12.75"/>
    <row r="54379" ht="12.75"/>
    <row r="54380" ht="12.75"/>
    <row r="54381" ht="12.75"/>
    <row r="54382" ht="12.75"/>
    <row r="54383" ht="12.75"/>
    <row r="54384" ht="12.75"/>
    <row r="54385" ht="12.75"/>
    <row r="54386" ht="12.75"/>
    <row r="54387" ht="12.75"/>
    <row r="54388" ht="12.75"/>
    <row r="54389" ht="12.75"/>
    <row r="54390" ht="12.75"/>
    <row r="54391" ht="12.75"/>
    <row r="54392" ht="12.75"/>
    <row r="54393" ht="12.75"/>
    <row r="54394" ht="12.75"/>
    <row r="54395" ht="12.75"/>
    <row r="54396" ht="12.75"/>
    <row r="54397" ht="12.75"/>
    <row r="54398" ht="12.75"/>
    <row r="54399" ht="12.75"/>
    <row r="54400" ht="12.75"/>
    <row r="54401" ht="12.75"/>
    <row r="54402" ht="12.75"/>
    <row r="54403" ht="12.75"/>
    <row r="54404" ht="12.75"/>
    <row r="54405" ht="12.75"/>
    <row r="54406" ht="12.75"/>
    <row r="54407" ht="12.75"/>
    <row r="54408" ht="12.75"/>
    <row r="54409" ht="12.75"/>
    <row r="54410" ht="12.75"/>
    <row r="54411" ht="12.75"/>
    <row r="54412" ht="12.75"/>
    <row r="54413" ht="12.75"/>
    <row r="54414" ht="12.75"/>
    <row r="54415" ht="12.75"/>
    <row r="54416" ht="12.75"/>
    <row r="54417" ht="12.75"/>
    <row r="54418" ht="12.75"/>
    <row r="54419" ht="12.75"/>
    <row r="54420" ht="12.75"/>
    <row r="54421" ht="12.75"/>
    <row r="54422" ht="12.75"/>
    <row r="54423" ht="12.75"/>
    <row r="54424" ht="12.75"/>
    <row r="54425" ht="12.75"/>
    <row r="54426" ht="12.75"/>
    <row r="54427" ht="12.75"/>
    <row r="54428" ht="12.75"/>
    <row r="54429" ht="12.75"/>
    <row r="54430" ht="12.75"/>
    <row r="54431" ht="12.75"/>
    <row r="54432" ht="12.75"/>
    <row r="54433" ht="12.75"/>
    <row r="54434" ht="12.75"/>
    <row r="54435" ht="12.75"/>
    <row r="54436" ht="12.75"/>
    <row r="54437" ht="12.75"/>
    <row r="54438" ht="12.75"/>
    <row r="54439" ht="12.75"/>
    <row r="54440" ht="12.75"/>
    <row r="54441" ht="12.75"/>
    <row r="54442" ht="12.75"/>
    <row r="54443" ht="12.75"/>
    <row r="54444" ht="12.75"/>
    <row r="54445" ht="12.75"/>
    <row r="54446" ht="12.75"/>
    <row r="54447" ht="12.75"/>
    <row r="54448" ht="12.75"/>
    <row r="54449" ht="12.75"/>
    <row r="54450" ht="12.75"/>
    <row r="54451" ht="12.75"/>
    <row r="54452" ht="12.75"/>
    <row r="54453" ht="12.75"/>
    <row r="54454" ht="12.75"/>
    <row r="54455" ht="12.75"/>
    <row r="54456" ht="12.75"/>
    <row r="54457" ht="12.75"/>
    <row r="54458" ht="12.75"/>
    <row r="54459" ht="12.75"/>
    <row r="54460" ht="12.75"/>
    <row r="54461" ht="12.75"/>
    <row r="54462" ht="12.75"/>
    <row r="54463" ht="12.75"/>
    <row r="54464" ht="12.75"/>
    <row r="54465" ht="12.75"/>
    <row r="54466" ht="12.75"/>
    <row r="54467" ht="12.75"/>
    <row r="54468" ht="12.75"/>
    <row r="54469" ht="12.75"/>
    <row r="54470" ht="12.75"/>
    <row r="54471" ht="12.75"/>
    <row r="54472" ht="12.75"/>
    <row r="54473" ht="12.75"/>
    <row r="54474" ht="12.75"/>
    <row r="54475" ht="12.75"/>
    <row r="54476" ht="12.75"/>
    <row r="54477" ht="12.75"/>
    <row r="54478" ht="12.75"/>
    <row r="54479" ht="12.75"/>
    <row r="54480" ht="12.75"/>
    <row r="54481" ht="12.75"/>
    <row r="54482" ht="12.75"/>
    <row r="54483" ht="12.75"/>
    <row r="54484" ht="12.75"/>
    <row r="54485" ht="12.75"/>
    <row r="54486" ht="12.75"/>
    <row r="54487" ht="12.75"/>
    <row r="54488" ht="12.75"/>
    <row r="54489" ht="12.75"/>
    <row r="54490" ht="12.75"/>
    <row r="54491" ht="12.75"/>
    <row r="54492" ht="12.75"/>
    <row r="54493" ht="12.75"/>
    <row r="54494" ht="12.75"/>
    <row r="54495" ht="12.75"/>
    <row r="54496" ht="12.75"/>
    <row r="54497" ht="12.75"/>
    <row r="54498" ht="12.75"/>
    <row r="54499" ht="12.75"/>
    <row r="54500" ht="12.75"/>
    <row r="54501" ht="12.75"/>
    <row r="54502" ht="12.75"/>
    <row r="54503" ht="12.75"/>
    <row r="54504" ht="12.75"/>
    <row r="54505" ht="12.75"/>
    <row r="54506" ht="12.75"/>
    <row r="54507" ht="12.75"/>
    <row r="54508" ht="12.75"/>
    <row r="54509" ht="12.75"/>
    <row r="54510" ht="12.75"/>
    <row r="54511" ht="12.75"/>
    <row r="54512" ht="12.75"/>
    <row r="54513" ht="12.75"/>
    <row r="54514" ht="12.75"/>
    <row r="54515" ht="12.75"/>
    <row r="54516" ht="12.75"/>
    <row r="54517" ht="12.75"/>
    <row r="54518" ht="12.75"/>
    <row r="54519" ht="12.75"/>
    <row r="54520" ht="12.75"/>
    <row r="54521" ht="12.75"/>
    <row r="54522" ht="12.75"/>
    <row r="54523" ht="12.75"/>
    <row r="54524" ht="12.75"/>
    <row r="54525" ht="12.75"/>
    <row r="54526" ht="12.75"/>
    <row r="54527" ht="12.75"/>
    <row r="54528" ht="12.75"/>
    <row r="54529" ht="12.75"/>
    <row r="54530" ht="12.75"/>
    <row r="54531" ht="12.75"/>
    <row r="54532" ht="12.75"/>
    <row r="54533" ht="12.75"/>
    <row r="54534" ht="12.75"/>
    <row r="54535" ht="12.75"/>
    <row r="54536" ht="12.75"/>
    <row r="54537" ht="12.75"/>
    <row r="54538" ht="12.75"/>
    <row r="54539" ht="12.75"/>
    <row r="54540" ht="12.75"/>
    <row r="54541" ht="12.75"/>
    <row r="54542" ht="12.75"/>
    <row r="54543" ht="12.75"/>
    <row r="54544" ht="12.75"/>
    <row r="54545" ht="12.75"/>
    <row r="54546" ht="12.75"/>
    <row r="54547" ht="12.75"/>
    <row r="54548" ht="12.75"/>
    <row r="54549" ht="12.75"/>
    <row r="54550" ht="12.75"/>
    <row r="54551" ht="12.75"/>
    <row r="54552" ht="12.75"/>
    <row r="54553" ht="12.75"/>
    <row r="54554" ht="12.75"/>
    <row r="54555" ht="12.75"/>
    <row r="54556" ht="12.75"/>
    <row r="54557" ht="12.75"/>
    <row r="54558" ht="12.75"/>
    <row r="54559" ht="12.75"/>
    <row r="54560" ht="12.75"/>
    <row r="54561" ht="12.75"/>
    <row r="54562" ht="12.75"/>
    <row r="54563" ht="12.75"/>
    <row r="54564" ht="12.75"/>
    <row r="54565" ht="12.75"/>
    <row r="54566" ht="12.75"/>
    <row r="54567" ht="12.75"/>
    <row r="54568" ht="12.75"/>
    <row r="54569" ht="12.75"/>
    <row r="54570" ht="12.75"/>
    <row r="54571" ht="12.75"/>
    <row r="54572" ht="12.75"/>
    <row r="54573" ht="12.75"/>
    <row r="54574" ht="12.75"/>
    <row r="54575" ht="12.75"/>
    <row r="54576" ht="12.75"/>
    <row r="54577" ht="12.75"/>
    <row r="54578" ht="12.75"/>
    <row r="54579" ht="12.75"/>
    <row r="54580" ht="12.75"/>
    <row r="54581" ht="12.75"/>
    <row r="54582" ht="12.75"/>
    <row r="54583" ht="12.75"/>
    <row r="54584" ht="12.75"/>
    <row r="54585" ht="12.75"/>
    <row r="54586" ht="12.75"/>
    <row r="54587" ht="12.75"/>
    <row r="54588" ht="12.75"/>
    <row r="54589" ht="12.75"/>
    <row r="54590" ht="12.75"/>
    <row r="54591" ht="12.75"/>
    <row r="54592" ht="12.75"/>
    <row r="54593" ht="12.75"/>
    <row r="54594" ht="12.75"/>
    <row r="54595" ht="12.75"/>
    <row r="54596" ht="12.75"/>
    <row r="54597" ht="12.75"/>
    <row r="54598" ht="12.75"/>
    <row r="54599" ht="12.75"/>
    <row r="54600" ht="12.75"/>
    <row r="54601" ht="12.75"/>
    <row r="54602" ht="12.75"/>
    <row r="54603" ht="12.75"/>
    <row r="54604" ht="12.75"/>
    <row r="54605" ht="12.75"/>
    <row r="54606" ht="12.75"/>
    <row r="54607" ht="12.75"/>
    <row r="54608" ht="12.75"/>
    <row r="54609" ht="12.75"/>
    <row r="54610" ht="12.75"/>
    <row r="54611" ht="12.75"/>
    <row r="54612" ht="12.75"/>
    <row r="54613" ht="12.75"/>
    <row r="54614" ht="12.75"/>
    <row r="54615" ht="12.75"/>
    <row r="54616" ht="12.75"/>
    <row r="54617" ht="12.75"/>
    <row r="54618" ht="12.75"/>
    <row r="54619" ht="12.75"/>
    <row r="54620" ht="12.75"/>
    <row r="54621" ht="12.75"/>
    <row r="54622" ht="12.75"/>
    <row r="54623" ht="12.75"/>
    <row r="54624" ht="12.75"/>
    <row r="54625" ht="12.75"/>
    <row r="54626" ht="12.75"/>
    <row r="54627" ht="12.75"/>
    <row r="54628" ht="12.75"/>
    <row r="54629" ht="12.75"/>
    <row r="54630" ht="12.75"/>
    <row r="54631" ht="12.75"/>
    <row r="54632" ht="12.75"/>
    <row r="54633" ht="12.75"/>
    <row r="54634" ht="12.75"/>
    <row r="54635" ht="12.75"/>
    <row r="54636" ht="12.75"/>
    <row r="54637" ht="12.75"/>
    <row r="54638" ht="12.75"/>
    <row r="54639" ht="12.75"/>
    <row r="54640" ht="12.75"/>
    <row r="54641" ht="12.75"/>
    <row r="54642" ht="12.75"/>
    <row r="54643" ht="12.75"/>
    <row r="54644" ht="12.75"/>
    <row r="54645" ht="12.75"/>
    <row r="54646" ht="12.75"/>
    <row r="54647" ht="12.75"/>
    <row r="54648" ht="12.75"/>
    <row r="54649" ht="12.75"/>
    <row r="54650" ht="12.75"/>
    <row r="54651" ht="12.75"/>
    <row r="54652" ht="12.75"/>
    <row r="54653" ht="12.75"/>
    <row r="54654" ht="12.75"/>
    <row r="54655" ht="12.75"/>
    <row r="54656" ht="12.75"/>
    <row r="54657" ht="12.75"/>
    <row r="54658" ht="12.75"/>
    <row r="54659" ht="12.75"/>
    <row r="54660" ht="12.75"/>
    <row r="54661" ht="12.75"/>
    <row r="54662" ht="12.75"/>
    <row r="54663" ht="12.75"/>
    <row r="54664" ht="12.75"/>
    <row r="54665" ht="12.75"/>
    <row r="54666" ht="12.75"/>
    <row r="54667" ht="12.75"/>
    <row r="54668" ht="12.75"/>
    <row r="54669" ht="12.75"/>
    <row r="54670" ht="12.75"/>
    <row r="54671" ht="12.75"/>
    <row r="54672" ht="12.75"/>
    <row r="54673" ht="12.75"/>
    <row r="54674" ht="12.75"/>
    <row r="54675" ht="12.75"/>
    <row r="54676" ht="12.75"/>
    <row r="54677" ht="12.75"/>
    <row r="54678" ht="12.75"/>
    <row r="54679" ht="12.75"/>
    <row r="54680" ht="12.75"/>
    <row r="54681" ht="12.75"/>
    <row r="54682" ht="12.75"/>
    <row r="54683" ht="12.75"/>
    <row r="54684" ht="12.75"/>
    <row r="54685" ht="12.75"/>
    <row r="54686" ht="12.75"/>
    <row r="54687" ht="12.75"/>
    <row r="54688" ht="12.75"/>
    <row r="54689" ht="12.75"/>
    <row r="54690" ht="12.75"/>
    <row r="54691" ht="12.75"/>
    <row r="54692" ht="12.75"/>
    <row r="54693" ht="12.75"/>
    <row r="54694" ht="12.75"/>
    <row r="54695" ht="12.75"/>
    <row r="54696" ht="12.75"/>
    <row r="54697" ht="12.75"/>
    <row r="54698" ht="12.75"/>
    <row r="54699" ht="12.75"/>
    <row r="54700" ht="12.75"/>
    <row r="54701" ht="12.75"/>
    <row r="54702" ht="12.75"/>
    <row r="54703" ht="12.75"/>
    <row r="54704" ht="12.75"/>
    <row r="54705" ht="12.75"/>
    <row r="54706" ht="12.75"/>
    <row r="54707" ht="12.75"/>
    <row r="54708" ht="12.75"/>
    <row r="54709" ht="12.75"/>
    <row r="54710" ht="12.75"/>
    <row r="54711" ht="12.75"/>
    <row r="54712" ht="12.75"/>
    <row r="54713" ht="12.75"/>
    <row r="54714" ht="12.75"/>
    <row r="54715" ht="12.75"/>
    <row r="54716" ht="12.75"/>
    <row r="54717" ht="12.75"/>
    <row r="54718" ht="12.75"/>
    <row r="54719" ht="12.75"/>
    <row r="54720" ht="12.75"/>
    <row r="54721" ht="12.75"/>
    <row r="54722" ht="12.75"/>
    <row r="54723" ht="12.75"/>
    <row r="54724" ht="12.75"/>
    <row r="54725" ht="12.75"/>
    <row r="54726" ht="12.75"/>
    <row r="54727" ht="12.75"/>
    <row r="54728" ht="12.75"/>
    <row r="54729" ht="12.75"/>
    <row r="54730" ht="12.75"/>
    <row r="54731" ht="12.75"/>
    <row r="54732" ht="12.75"/>
    <row r="54733" ht="12.75"/>
    <row r="54734" ht="12.75"/>
    <row r="54735" ht="12.75"/>
    <row r="54736" ht="12.75"/>
    <row r="54737" ht="12.75"/>
    <row r="54738" ht="12.75"/>
    <row r="54739" ht="12.75"/>
    <row r="54740" ht="12.75"/>
    <row r="54741" ht="12.75"/>
    <row r="54742" ht="12.75"/>
    <row r="54743" ht="12.75"/>
    <row r="54744" ht="12.75"/>
    <row r="54745" ht="12.75"/>
    <row r="54746" ht="12.75"/>
    <row r="54747" ht="12.75"/>
    <row r="54748" ht="12.75"/>
    <row r="54749" ht="12.75"/>
    <row r="54750" ht="12.75"/>
    <row r="54751" ht="12.75"/>
    <row r="54752" ht="12.75"/>
    <row r="54753" ht="12.75"/>
    <row r="54754" ht="12.75"/>
    <row r="54755" ht="12.75"/>
    <row r="54756" ht="12.75"/>
    <row r="54757" ht="12.75"/>
    <row r="54758" ht="12.75"/>
    <row r="54759" ht="12.75"/>
    <row r="54760" ht="12.75"/>
    <row r="54761" ht="12.75"/>
    <row r="54762" ht="12.75"/>
    <row r="54763" ht="12.75"/>
    <row r="54764" ht="12.75"/>
    <row r="54765" ht="12.75"/>
    <row r="54766" ht="12.75"/>
    <row r="54767" ht="12.75"/>
    <row r="54768" ht="12.75"/>
    <row r="54769" ht="12.75"/>
    <row r="54770" ht="12.75"/>
    <row r="54771" ht="12.75"/>
    <row r="54772" ht="12.75"/>
    <row r="54773" ht="12.75"/>
    <row r="54774" ht="12.75"/>
    <row r="54775" ht="12.75"/>
    <row r="54776" ht="12.75"/>
    <row r="54777" ht="12.75"/>
    <row r="54778" ht="12.75"/>
    <row r="54779" ht="12.75"/>
    <row r="54780" ht="12.75"/>
    <row r="54781" ht="12.75"/>
    <row r="54782" ht="12.75"/>
    <row r="54783" ht="12.75"/>
    <row r="54784" ht="12.75"/>
    <row r="54785" ht="12.75"/>
    <row r="54786" ht="12.75"/>
    <row r="54787" ht="12.75"/>
    <row r="54788" ht="12.75"/>
    <row r="54789" ht="12.75"/>
    <row r="54790" ht="12.75"/>
    <row r="54791" ht="12.75"/>
    <row r="54792" ht="12.75"/>
    <row r="54793" ht="12.75"/>
    <row r="54794" ht="12.75"/>
    <row r="54795" ht="12.75"/>
    <row r="54796" ht="12.75"/>
    <row r="54797" ht="12.75"/>
    <row r="54798" ht="12.75"/>
    <row r="54799" ht="12.75"/>
    <row r="54800" ht="12.75"/>
    <row r="54801" ht="12.75"/>
    <row r="54802" ht="12.75"/>
    <row r="54803" ht="12.75"/>
    <row r="54804" ht="12.75"/>
    <row r="54805" ht="12.75"/>
    <row r="54806" ht="12.75"/>
    <row r="54807" ht="12.75"/>
    <row r="54808" ht="12.75"/>
    <row r="54809" ht="12.75"/>
    <row r="54810" ht="12.75"/>
    <row r="54811" ht="12.75"/>
    <row r="54812" ht="12.75"/>
    <row r="54813" ht="12.75"/>
    <row r="54814" ht="12.75"/>
    <row r="54815" ht="12.75"/>
    <row r="54816" ht="12.75"/>
    <row r="54817" ht="12.75"/>
    <row r="54818" ht="12.75"/>
    <row r="54819" ht="12.75"/>
    <row r="54820" ht="12.75"/>
    <row r="54821" ht="12.75"/>
    <row r="54822" ht="12.75"/>
    <row r="54823" ht="12.75"/>
    <row r="54824" ht="12.75"/>
    <row r="54825" ht="12.75"/>
    <row r="54826" ht="12.75"/>
    <row r="54827" ht="12.75"/>
    <row r="54828" ht="12.75"/>
    <row r="54829" ht="12.75"/>
    <row r="54830" ht="12.75"/>
    <row r="54831" ht="12.75"/>
    <row r="54832" ht="12.75"/>
    <row r="54833" ht="12.75"/>
    <row r="54834" ht="12.75"/>
    <row r="54835" ht="12.75"/>
    <row r="54836" ht="12.75"/>
    <row r="54837" ht="12.75"/>
    <row r="54838" ht="12.75"/>
    <row r="54839" ht="12.75"/>
    <row r="54840" ht="12.75"/>
    <row r="54841" ht="12.75"/>
    <row r="54842" ht="12.75"/>
    <row r="54843" ht="12.75"/>
    <row r="54844" ht="12.75"/>
    <row r="54845" ht="12.75"/>
    <row r="54846" ht="12.75"/>
    <row r="54847" ht="12.75"/>
    <row r="54848" ht="12.75"/>
    <row r="54849" ht="12.75"/>
    <row r="54850" ht="12.75"/>
    <row r="54851" ht="12.75"/>
    <row r="54852" ht="12.75"/>
    <row r="54853" ht="12.75"/>
    <row r="54854" ht="12.75"/>
    <row r="54855" ht="12.75"/>
    <row r="54856" ht="12.75"/>
    <row r="54857" ht="12.75"/>
    <row r="54858" ht="12.75"/>
    <row r="54859" ht="12.75"/>
    <row r="54860" ht="12.75"/>
    <row r="54861" ht="12.75"/>
    <row r="54862" ht="12.75"/>
    <row r="54863" ht="12.75"/>
    <row r="54864" ht="12.75"/>
    <row r="54865" ht="12.75"/>
    <row r="54866" ht="12.75"/>
    <row r="54867" ht="12.75"/>
    <row r="54868" ht="12.75"/>
    <row r="54869" ht="12.75"/>
    <row r="54870" ht="12.75"/>
    <row r="54871" ht="12.75"/>
    <row r="54872" ht="12.75"/>
    <row r="54873" ht="12.75"/>
    <row r="54874" ht="12.75"/>
    <row r="54875" ht="12.75"/>
    <row r="54876" ht="12.75"/>
    <row r="54877" ht="12.75"/>
    <row r="54878" ht="12.75"/>
    <row r="54879" ht="12.75"/>
    <row r="54880" ht="12.75"/>
    <row r="54881" ht="12.75"/>
    <row r="54882" ht="12.75"/>
    <row r="54883" ht="12.75"/>
    <row r="54884" ht="12.75"/>
    <row r="54885" ht="12.75"/>
    <row r="54886" ht="12.75"/>
    <row r="54887" ht="12.75"/>
    <row r="54888" ht="12.75"/>
    <row r="54889" ht="12.75"/>
    <row r="54890" ht="12.75"/>
    <row r="54891" ht="12.75"/>
    <row r="54892" ht="12.75"/>
    <row r="54893" ht="12.75"/>
    <row r="54894" ht="12.75"/>
    <row r="54895" ht="12.75"/>
    <row r="54896" ht="12.75"/>
    <row r="54897" ht="12.75"/>
    <row r="54898" ht="12.75"/>
    <row r="54899" ht="12.75"/>
    <row r="54900" ht="12.75"/>
    <row r="54901" ht="12.75"/>
    <row r="54902" ht="12.75"/>
    <row r="54903" ht="12.75"/>
    <row r="54904" ht="12.75"/>
    <row r="54905" ht="12.75"/>
    <row r="54906" ht="12.75"/>
    <row r="54907" ht="12.75"/>
    <row r="54908" ht="12.75"/>
    <row r="54909" ht="12.75"/>
    <row r="54910" ht="12.75"/>
    <row r="54911" ht="12.75"/>
    <row r="54912" ht="12.75"/>
    <row r="54913" ht="12.75"/>
    <row r="54914" ht="12.75"/>
    <row r="54915" ht="12.75"/>
    <row r="54916" ht="12.75"/>
    <row r="54917" ht="12.75"/>
    <row r="54918" ht="12.75"/>
    <row r="54919" ht="12.75"/>
    <row r="54920" ht="12.75"/>
    <row r="54921" ht="12.75"/>
    <row r="54922" ht="12.75"/>
    <row r="54923" ht="12.75"/>
    <row r="54924" ht="12.75"/>
    <row r="54925" ht="12.75"/>
    <row r="54926" ht="12.75"/>
    <row r="54927" ht="12.75"/>
    <row r="54928" ht="12.75"/>
    <row r="54929" ht="12.75"/>
    <row r="54930" ht="12.75"/>
    <row r="54931" ht="12.75"/>
    <row r="54932" ht="12.75"/>
    <row r="54933" ht="12.75"/>
    <row r="54934" ht="12.75"/>
    <row r="54935" ht="12.75"/>
    <row r="54936" ht="12.75"/>
    <row r="54937" ht="12.75"/>
    <row r="54938" ht="12.75"/>
    <row r="54939" ht="12.75"/>
    <row r="54940" ht="12.75"/>
    <row r="54941" ht="12.75"/>
    <row r="54942" ht="12.75"/>
    <row r="54943" ht="12.75"/>
    <row r="54944" ht="12.75"/>
    <row r="54945" ht="12.75"/>
    <row r="54946" ht="12.75"/>
    <row r="54947" ht="12.75"/>
    <row r="54948" ht="12.75"/>
    <row r="54949" ht="12.75"/>
    <row r="54950" ht="12.75"/>
    <row r="54951" ht="12.75"/>
    <row r="54952" ht="12.75"/>
    <row r="54953" ht="12.75"/>
    <row r="54954" ht="12.75"/>
    <row r="54955" ht="12.75"/>
    <row r="54956" ht="12.75"/>
    <row r="54957" ht="12.75"/>
    <row r="54958" ht="12.75"/>
    <row r="54959" ht="12.75"/>
    <row r="54960" ht="12.75"/>
    <row r="54961" ht="12.75"/>
    <row r="54962" ht="12.75"/>
    <row r="54963" ht="12.75"/>
    <row r="54964" ht="12.75"/>
    <row r="54965" ht="12.75"/>
    <row r="54966" ht="12.75"/>
    <row r="54967" ht="12.75"/>
    <row r="54968" ht="12.75"/>
    <row r="54969" ht="12.75"/>
    <row r="54970" ht="12.75"/>
    <row r="54971" ht="12.75"/>
    <row r="54972" ht="12.75"/>
    <row r="54973" ht="12.75"/>
    <row r="54974" ht="12.75"/>
    <row r="54975" ht="12.75"/>
    <row r="54976" ht="12.75"/>
    <row r="54977" ht="12.75"/>
    <row r="54978" ht="12.75"/>
    <row r="54979" ht="12.75"/>
    <row r="54980" ht="12.75"/>
    <row r="54981" ht="12.75"/>
    <row r="54982" ht="12.75"/>
    <row r="54983" ht="12.75"/>
    <row r="54984" ht="12.75"/>
    <row r="54985" ht="12.75"/>
    <row r="54986" ht="12.75"/>
    <row r="54987" ht="12.75"/>
    <row r="54988" ht="12.75"/>
    <row r="54989" ht="12.75"/>
    <row r="54990" ht="12.75"/>
    <row r="54991" ht="12.75"/>
    <row r="54992" ht="12.75"/>
    <row r="54993" ht="12.75"/>
    <row r="54994" ht="12.75"/>
    <row r="54995" ht="12.75"/>
    <row r="54996" ht="12.75"/>
    <row r="54997" ht="12.75"/>
    <row r="54998" ht="12.75"/>
    <row r="54999" ht="12.75"/>
    <row r="55000" ht="12.75"/>
    <row r="55001" ht="12.75"/>
    <row r="55002" ht="12.75"/>
    <row r="55003" ht="12.75"/>
    <row r="55004" ht="12.75"/>
    <row r="55005" ht="12.75"/>
    <row r="55006" ht="12.75"/>
    <row r="55007" ht="12.75"/>
    <row r="55008" ht="12.75"/>
    <row r="55009" ht="12.75"/>
    <row r="55010" ht="12.75"/>
    <row r="55011" ht="12.75"/>
    <row r="55012" ht="12.75"/>
    <row r="55013" ht="12.75"/>
    <row r="55014" ht="12.75"/>
    <row r="55015" ht="12.75"/>
    <row r="55016" ht="12.75"/>
    <row r="55017" ht="12.75"/>
    <row r="55018" ht="12.75"/>
    <row r="55019" ht="12.75"/>
    <row r="55020" ht="12.75"/>
    <row r="55021" ht="12.75"/>
    <row r="55022" ht="12.75"/>
    <row r="55023" ht="12.75"/>
    <row r="55024" ht="12.75"/>
    <row r="55025" ht="12.75"/>
    <row r="55026" ht="12.75"/>
    <row r="55027" ht="12.75"/>
    <row r="55028" ht="12.75"/>
    <row r="55029" ht="12.75"/>
    <row r="55030" ht="12.75"/>
    <row r="55031" ht="12.75"/>
    <row r="55032" ht="12.75"/>
    <row r="55033" ht="12.75"/>
    <row r="55034" ht="12.75"/>
    <row r="55035" ht="12.75"/>
    <row r="55036" ht="12.75"/>
    <row r="55037" ht="12.75"/>
    <row r="55038" ht="12.75"/>
    <row r="55039" ht="12.75"/>
    <row r="55040" ht="12.75"/>
    <row r="55041" ht="12.75"/>
    <row r="55042" ht="12.75"/>
    <row r="55043" ht="12.75"/>
    <row r="55044" ht="12.75"/>
    <row r="55045" ht="12.75"/>
    <row r="55046" ht="12.75"/>
    <row r="55047" ht="12.75"/>
    <row r="55048" ht="12.75"/>
    <row r="55049" ht="12.75"/>
    <row r="55050" ht="12.75"/>
    <row r="55051" ht="12.75"/>
    <row r="55052" ht="12.75"/>
    <row r="55053" ht="12.75"/>
    <row r="55054" ht="12.75"/>
    <row r="55055" ht="12.75"/>
    <row r="55056" ht="12.75"/>
    <row r="55057" ht="12.75"/>
    <row r="55058" ht="12.75"/>
    <row r="55059" ht="12.75"/>
    <row r="55060" ht="12.75"/>
    <row r="55061" ht="12.75"/>
    <row r="55062" ht="12.75"/>
    <row r="55063" ht="12.75"/>
    <row r="55064" ht="12.75"/>
    <row r="55065" ht="12.75"/>
    <row r="55066" ht="12.75"/>
    <row r="55067" ht="12.75"/>
    <row r="55068" ht="12.75"/>
    <row r="55069" ht="12.75"/>
    <row r="55070" ht="12.75"/>
    <row r="55071" ht="12.75"/>
    <row r="55072" ht="12.75"/>
    <row r="55073" ht="12.75"/>
    <row r="55074" ht="12.75"/>
    <row r="55075" ht="12.75"/>
    <row r="55076" ht="12.75"/>
    <row r="55077" ht="12.75"/>
    <row r="55078" ht="12.75"/>
    <row r="55079" ht="12.75"/>
    <row r="55080" ht="12.75"/>
    <row r="55081" ht="12.75"/>
    <row r="55082" ht="12.75"/>
    <row r="55083" ht="12.75"/>
    <row r="55084" ht="12.75"/>
    <row r="55085" ht="12.75"/>
    <row r="55086" ht="12.75"/>
    <row r="55087" ht="12.75"/>
    <row r="55088" ht="12.75"/>
    <row r="55089" ht="12.75"/>
    <row r="55090" ht="12.75"/>
    <row r="55091" ht="12.75"/>
    <row r="55092" ht="12.75"/>
    <row r="55093" ht="12.75"/>
    <row r="55094" ht="12.75"/>
    <row r="55095" ht="12.75"/>
    <row r="55096" ht="12.75"/>
    <row r="55097" ht="12.75"/>
    <row r="55098" ht="12.75"/>
    <row r="55099" ht="12.75"/>
    <row r="55100" ht="12.75"/>
    <row r="55101" ht="12.75"/>
    <row r="55102" ht="12.75"/>
    <row r="55103" ht="12.75"/>
    <row r="55104" ht="12.75"/>
    <row r="55105" ht="12.75"/>
    <row r="55106" ht="12.75"/>
    <row r="55107" ht="12.75"/>
    <row r="55108" ht="12.75"/>
    <row r="55109" ht="12.75"/>
    <row r="55110" ht="12.75"/>
    <row r="55111" ht="12.75"/>
    <row r="55112" ht="12.75"/>
    <row r="55113" ht="12.75"/>
    <row r="55114" ht="12.75"/>
    <row r="55115" ht="12.75"/>
    <row r="55116" ht="12.75"/>
    <row r="55117" ht="12.75"/>
    <row r="55118" ht="12.75"/>
    <row r="55119" ht="12.75"/>
    <row r="55120" ht="12.75"/>
    <row r="55121" ht="12.75"/>
    <row r="55122" ht="12.75"/>
    <row r="55123" ht="12.75"/>
    <row r="55124" ht="12.75"/>
    <row r="55125" ht="12.75"/>
    <row r="55126" ht="12.75"/>
    <row r="55127" ht="12.75"/>
    <row r="55128" ht="12.75"/>
    <row r="55129" ht="12.75"/>
    <row r="55130" ht="12.75"/>
    <row r="55131" ht="12.75"/>
    <row r="55132" ht="12.75"/>
    <row r="55133" ht="12.75"/>
    <row r="55134" ht="12.75"/>
    <row r="55135" ht="12.75"/>
    <row r="55136" ht="12.75"/>
    <row r="55137" ht="12.75"/>
    <row r="55138" ht="12.75"/>
    <row r="55139" ht="12.75"/>
    <row r="55140" ht="12.75"/>
    <row r="55141" ht="12.75"/>
    <row r="55142" ht="12.75"/>
    <row r="55143" ht="12.75"/>
    <row r="55144" ht="12.75"/>
    <row r="55145" ht="12.75"/>
    <row r="55146" ht="12.75"/>
    <row r="55147" ht="12.75"/>
    <row r="55148" ht="12.75"/>
    <row r="55149" ht="12.75"/>
    <row r="55150" ht="12.75"/>
    <row r="55151" ht="12.75"/>
    <row r="55152" ht="12.75"/>
    <row r="55153" ht="12.75"/>
    <row r="55154" ht="12.75"/>
    <row r="55155" ht="12.75"/>
    <row r="55156" ht="12.75"/>
    <row r="55157" ht="12.75"/>
    <row r="55158" ht="12.75"/>
    <row r="55159" ht="12.75"/>
    <row r="55160" ht="12.75"/>
    <row r="55161" ht="12.75"/>
    <row r="55162" ht="12.75"/>
    <row r="55163" ht="12.75"/>
    <row r="55164" ht="12.75"/>
    <row r="55165" ht="12.75"/>
    <row r="55166" ht="12.75"/>
    <row r="55167" ht="12.75"/>
    <row r="55168" ht="12.75"/>
    <row r="55169" ht="12.75"/>
    <row r="55170" ht="12.75"/>
    <row r="55171" ht="12.75"/>
    <row r="55172" ht="12.75"/>
    <row r="55173" ht="12.75"/>
    <row r="55174" ht="12.75"/>
    <row r="55175" ht="12.75"/>
    <row r="55176" ht="12.75"/>
    <row r="55177" ht="12.75"/>
    <row r="55178" ht="12.75"/>
    <row r="55179" ht="12.75"/>
    <row r="55180" ht="12.75"/>
    <row r="55181" ht="12.75"/>
    <row r="55182" ht="12.75"/>
    <row r="55183" ht="12.75"/>
    <row r="55184" ht="12.75"/>
    <row r="55185" ht="12.75"/>
    <row r="55186" ht="12.75"/>
    <row r="55187" ht="12.75"/>
    <row r="55188" ht="12.75"/>
    <row r="55189" ht="12.75"/>
    <row r="55190" ht="12.75"/>
    <row r="55191" ht="12.75"/>
    <row r="55192" ht="12.75"/>
    <row r="55193" ht="12.75"/>
    <row r="55194" ht="12.75"/>
    <row r="55195" ht="12.75"/>
    <row r="55196" ht="12.75"/>
    <row r="55197" ht="12.75"/>
    <row r="55198" ht="12.75"/>
    <row r="55199" ht="12.75"/>
    <row r="55200" ht="12.75"/>
    <row r="55201" ht="12.75"/>
    <row r="55202" ht="12.75"/>
    <row r="55203" ht="12.75"/>
    <row r="55204" ht="12.75"/>
    <row r="55205" ht="12.75"/>
    <row r="55206" ht="12.75"/>
    <row r="55207" ht="12.75"/>
    <row r="55208" ht="12.75"/>
    <row r="55209" ht="12.75"/>
    <row r="55210" ht="12.75"/>
    <row r="55211" ht="12.75"/>
    <row r="55212" ht="12.75"/>
    <row r="55213" ht="12.75"/>
    <row r="55214" ht="12.75"/>
    <row r="55215" ht="12.75"/>
    <row r="55216" ht="12.75"/>
    <row r="55217" ht="12.75"/>
    <row r="55218" ht="12.75"/>
    <row r="55219" ht="12.75"/>
    <row r="55220" ht="12.75"/>
    <row r="55221" ht="12.75"/>
    <row r="55222" ht="12.75"/>
    <row r="55223" ht="12.75"/>
    <row r="55224" ht="12.75"/>
    <row r="55225" ht="12.75"/>
    <row r="55226" ht="12.75"/>
    <row r="55227" ht="12.75"/>
    <row r="55228" ht="12.75"/>
    <row r="55229" ht="12.75"/>
    <row r="55230" ht="12.75"/>
    <row r="55231" ht="12.75"/>
    <row r="55232" ht="12.75"/>
    <row r="55233" ht="12.75"/>
    <row r="55234" ht="12.75"/>
    <row r="55235" ht="12.75"/>
    <row r="55236" ht="12.75"/>
    <row r="55237" ht="12.75"/>
    <row r="55238" ht="12.75"/>
    <row r="55239" ht="12.75"/>
    <row r="55240" ht="12.75"/>
    <row r="55241" ht="12.75"/>
    <row r="55242" ht="12.75"/>
    <row r="55243" ht="12.75"/>
    <row r="55244" ht="12.75"/>
    <row r="55245" ht="12.75"/>
    <row r="55246" ht="12.75"/>
    <row r="55247" ht="12.75"/>
    <row r="55248" ht="12.75"/>
    <row r="55249" ht="12.75"/>
    <row r="55250" ht="12.75"/>
    <row r="55251" ht="12.75"/>
    <row r="55252" ht="12.75"/>
    <row r="55253" ht="12.75"/>
    <row r="55254" ht="12.75"/>
    <row r="55255" ht="12.75"/>
    <row r="55256" ht="12.75"/>
    <row r="55257" ht="12.75"/>
    <row r="55258" ht="12.75"/>
    <row r="55259" ht="12.75"/>
    <row r="55260" ht="12.75"/>
    <row r="55261" ht="12.75"/>
    <row r="55262" ht="12.75"/>
    <row r="55263" ht="12.75"/>
    <row r="55264" ht="12.75"/>
    <row r="55265" ht="12.75"/>
    <row r="55266" ht="12.75"/>
    <row r="55267" ht="12.75"/>
    <row r="55268" ht="12.75"/>
    <row r="55269" ht="12.75"/>
    <row r="55270" ht="12.75"/>
    <row r="55271" ht="12.75"/>
    <row r="55272" ht="12.75"/>
    <row r="55273" ht="12.75"/>
    <row r="55274" ht="12.75"/>
    <row r="55275" ht="12.75"/>
    <row r="55276" ht="12.75"/>
    <row r="55277" ht="12.75"/>
    <row r="55278" ht="12.75"/>
    <row r="55279" ht="12.75"/>
    <row r="55280" ht="12.75"/>
    <row r="55281" ht="12.75"/>
    <row r="55282" ht="12.75"/>
    <row r="55283" ht="12.75"/>
    <row r="55284" ht="12.75"/>
    <row r="55285" ht="12.75"/>
    <row r="55286" ht="12.75"/>
    <row r="55287" ht="12.75"/>
    <row r="55288" ht="12.75"/>
    <row r="55289" ht="12.75"/>
    <row r="55290" ht="12.75"/>
    <row r="55291" ht="12.75"/>
    <row r="55292" ht="12.75"/>
    <row r="55293" ht="12.75"/>
    <row r="55294" ht="12.75"/>
    <row r="55295" ht="12.75"/>
    <row r="55296" ht="12.75"/>
    <row r="55297" ht="12.75"/>
    <row r="55298" ht="12.75"/>
    <row r="55299" ht="12.75"/>
    <row r="55300" ht="12.75"/>
    <row r="55301" ht="12.75"/>
    <row r="55302" ht="12.75"/>
    <row r="55303" ht="12.75"/>
    <row r="55304" ht="12.75"/>
    <row r="55305" ht="12.75"/>
    <row r="55306" ht="12.75"/>
    <row r="55307" ht="12.75"/>
    <row r="55308" ht="12.75"/>
    <row r="55309" ht="12.75"/>
    <row r="55310" ht="12.75"/>
    <row r="55311" ht="12.75"/>
    <row r="55312" ht="12.75"/>
    <row r="55313" ht="12.75"/>
    <row r="55314" ht="12.75"/>
    <row r="55315" ht="12.75"/>
    <row r="55316" ht="12.75"/>
    <row r="55317" ht="12.75"/>
    <row r="55318" ht="12.75"/>
    <row r="55319" ht="12.75"/>
    <row r="55320" ht="12.75"/>
    <row r="55321" ht="12.75"/>
    <row r="55322" ht="12.75"/>
    <row r="55323" ht="12.75"/>
    <row r="55324" ht="12.75"/>
    <row r="55325" ht="12.75"/>
    <row r="55326" ht="12.75"/>
    <row r="55327" ht="12.75"/>
    <row r="55328" ht="12.75"/>
    <row r="55329" ht="12.75"/>
    <row r="55330" ht="12.75"/>
    <row r="55331" ht="12.75"/>
    <row r="55332" ht="12.75"/>
    <row r="55333" ht="12.75"/>
    <row r="55334" ht="12.75"/>
    <row r="55335" ht="12.75"/>
    <row r="55336" ht="12.75"/>
    <row r="55337" ht="12.75"/>
    <row r="55338" ht="12.75"/>
    <row r="55339" ht="12.75"/>
    <row r="55340" ht="12.75"/>
    <row r="55341" ht="12.75"/>
    <row r="55342" ht="12.75"/>
    <row r="55343" ht="12.75"/>
    <row r="55344" ht="12.75"/>
    <row r="55345" ht="12.75"/>
    <row r="55346" ht="12.75"/>
    <row r="55347" ht="12.75"/>
    <row r="55348" ht="12.75"/>
    <row r="55349" ht="12.75"/>
    <row r="55350" ht="12.75"/>
    <row r="55351" ht="12.75"/>
    <row r="55352" ht="12.75"/>
    <row r="55353" ht="12.75"/>
    <row r="55354" ht="12.75"/>
    <row r="55355" ht="12.75"/>
    <row r="55356" ht="12.75"/>
    <row r="55357" ht="12.75"/>
    <row r="55358" ht="12.75"/>
    <row r="55359" ht="12.75"/>
    <row r="55360" ht="12.75"/>
    <row r="55361" ht="12.75"/>
    <row r="55362" ht="12.75"/>
    <row r="55363" ht="12.75"/>
    <row r="55364" ht="12.75"/>
    <row r="55365" ht="12.75"/>
    <row r="55366" ht="12.75"/>
    <row r="55367" ht="12.75"/>
    <row r="55368" ht="12.75"/>
    <row r="55369" ht="12.75"/>
    <row r="55370" ht="12.75"/>
    <row r="55371" ht="12.75"/>
    <row r="55372" ht="12.75"/>
    <row r="55373" ht="12.75"/>
    <row r="55374" ht="12.75"/>
    <row r="55375" ht="12.75"/>
    <row r="55376" ht="12.75"/>
    <row r="55377" ht="12.75"/>
    <row r="55378" ht="12.75"/>
    <row r="55379" ht="12.75"/>
    <row r="55380" ht="12.75"/>
    <row r="55381" ht="12.75"/>
    <row r="55382" ht="12.75"/>
    <row r="55383" ht="12.75"/>
    <row r="55384" ht="12.75"/>
    <row r="55385" ht="12.75"/>
    <row r="55386" ht="12.75"/>
    <row r="55387" ht="12.75"/>
    <row r="55388" ht="12.75"/>
    <row r="55389" ht="12.75"/>
    <row r="55390" ht="12.75"/>
    <row r="55391" ht="12.75"/>
    <row r="55392" ht="12.75"/>
    <row r="55393" ht="12.75"/>
    <row r="55394" ht="12.75"/>
    <row r="55395" ht="12.75"/>
    <row r="55396" ht="12.75"/>
    <row r="55397" ht="12.75"/>
    <row r="55398" ht="12.75"/>
    <row r="55399" ht="12.75"/>
    <row r="55400" ht="12.75"/>
    <row r="55401" ht="12.75"/>
    <row r="55402" ht="12.75"/>
    <row r="55403" ht="12.75"/>
    <row r="55404" ht="12.75"/>
    <row r="55405" ht="12.75"/>
    <row r="55406" ht="12.75"/>
    <row r="55407" ht="12.75"/>
    <row r="55408" ht="12.75"/>
    <row r="55409" ht="12.75"/>
    <row r="55410" ht="12.75"/>
    <row r="55411" ht="12.75"/>
    <row r="55412" ht="12.75"/>
    <row r="55413" ht="12.75"/>
    <row r="55414" ht="12.75"/>
    <row r="55415" ht="12.75"/>
    <row r="55416" ht="12.75"/>
    <row r="55417" ht="12.75"/>
    <row r="55418" ht="12.75"/>
    <row r="55419" ht="12.75"/>
    <row r="55420" ht="12.75"/>
    <row r="55421" ht="12.75"/>
    <row r="55422" ht="12.75"/>
    <row r="55423" ht="12.75"/>
    <row r="55424" ht="12.75"/>
    <row r="55425" ht="12.75"/>
    <row r="55426" ht="12.75"/>
    <row r="55427" ht="12.75"/>
    <row r="55428" ht="12.75"/>
    <row r="55429" ht="12.75"/>
    <row r="55430" ht="12.75"/>
    <row r="55431" ht="12.75"/>
    <row r="55432" ht="12.75"/>
    <row r="55433" ht="12.75"/>
    <row r="55434" ht="12.75"/>
    <row r="55435" ht="12.75"/>
    <row r="55436" ht="12.75"/>
    <row r="55437" ht="12.75"/>
    <row r="55438" ht="12.75"/>
    <row r="55439" ht="12.75"/>
    <row r="55440" ht="12.75"/>
    <row r="55441" ht="12.75"/>
    <row r="55442" ht="12.75"/>
    <row r="55443" ht="12.75"/>
    <row r="55444" ht="12.75"/>
    <row r="55445" ht="12.75"/>
    <row r="55446" ht="12.75"/>
    <row r="55447" ht="12.75"/>
    <row r="55448" ht="12.75"/>
    <row r="55449" ht="12.75"/>
    <row r="55450" ht="12.75"/>
    <row r="55451" ht="12.75"/>
    <row r="55452" ht="12.75"/>
    <row r="55453" ht="12.75"/>
    <row r="55454" ht="12.75"/>
    <row r="55455" ht="12.75"/>
    <row r="55456" ht="12.75"/>
    <row r="55457" ht="12.75"/>
    <row r="55458" ht="12.75"/>
    <row r="55459" ht="12.75"/>
    <row r="55460" ht="12.75"/>
    <row r="55461" ht="12.75"/>
    <row r="55462" ht="12.75"/>
    <row r="55463" ht="12.75"/>
    <row r="55464" ht="12.75"/>
    <row r="55465" ht="12.75"/>
    <row r="55466" ht="12.75"/>
    <row r="55467" ht="12.75"/>
    <row r="55468" ht="12.75"/>
    <row r="55469" ht="12.75"/>
    <row r="55470" ht="12.75"/>
    <row r="55471" ht="12.75"/>
    <row r="55472" ht="12.75"/>
    <row r="55473" ht="12.75"/>
    <row r="55474" ht="12.75"/>
    <row r="55475" ht="12.75"/>
    <row r="55476" ht="12.75"/>
    <row r="55477" ht="12.75"/>
    <row r="55478" ht="12.75"/>
    <row r="55479" ht="12.75"/>
    <row r="55480" ht="12.75"/>
    <row r="55481" ht="12.75"/>
    <row r="55482" ht="12.75"/>
    <row r="55483" ht="12.75"/>
    <row r="55484" ht="12.75"/>
    <row r="55485" ht="12.75"/>
    <row r="55486" ht="12.75"/>
    <row r="55487" ht="12.75"/>
    <row r="55488" ht="12.75"/>
    <row r="55489" ht="12.75"/>
    <row r="55490" ht="12.75"/>
    <row r="55491" ht="12.75"/>
    <row r="55492" ht="12.75"/>
    <row r="55493" ht="12.75"/>
    <row r="55494" ht="12.75"/>
    <row r="55495" ht="12.75"/>
    <row r="55496" ht="12.75"/>
    <row r="55497" ht="12.75"/>
    <row r="55498" ht="12.75"/>
    <row r="55499" ht="12.75"/>
    <row r="55500" ht="12.75"/>
    <row r="55501" ht="12.75"/>
    <row r="55502" ht="12.75"/>
    <row r="55503" ht="12.75"/>
    <row r="55504" ht="12.75"/>
    <row r="55505" ht="12.75"/>
    <row r="55506" ht="12.75"/>
    <row r="55507" ht="12.75"/>
    <row r="55508" ht="12.75"/>
    <row r="55509" ht="12.75"/>
    <row r="55510" ht="12.75"/>
    <row r="55511" ht="12.75"/>
    <row r="55512" ht="12.75"/>
    <row r="55513" ht="12.75"/>
    <row r="55514" ht="12.75"/>
    <row r="55515" ht="12.75"/>
    <row r="55516" ht="12.75"/>
    <row r="55517" ht="12.75"/>
    <row r="55518" ht="12.75"/>
    <row r="55519" ht="12.75"/>
    <row r="55520" ht="12.75"/>
    <row r="55521" ht="12.75"/>
    <row r="55522" ht="12.75"/>
    <row r="55523" ht="12.75"/>
    <row r="55524" ht="12.75"/>
    <row r="55525" ht="12.75"/>
    <row r="55526" ht="12.75"/>
    <row r="55527" ht="12.75"/>
    <row r="55528" ht="12.75"/>
    <row r="55529" ht="12.75"/>
    <row r="55530" ht="12.75"/>
    <row r="55531" ht="12.75"/>
    <row r="55532" ht="12.75"/>
    <row r="55533" ht="12.75"/>
    <row r="55534" ht="12.75"/>
    <row r="55535" ht="12.75"/>
    <row r="55536" ht="12.75"/>
    <row r="55537" ht="12.75"/>
    <row r="55538" ht="12.75"/>
    <row r="55539" ht="12.75"/>
    <row r="55540" ht="12.75"/>
    <row r="55541" ht="12.75"/>
    <row r="55542" ht="12.75"/>
    <row r="55543" ht="12.75"/>
    <row r="55544" ht="12.75"/>
    <row r="55545" ht="12.75"/>
    <row r="55546" ht="12.75"/>
    <row r="55547" ht="12.75"/>
    <row r="55548" ht="12.75"/>
    <row r="55549" ht="12.75"/>
    <row r="55550" ht="12.75"/>
    <row r="55551" ht="12.75"/>
    <row r="55552" ht="12.75"/>
    <row r="55553" ht="12.75"/>
    <row r="55554" ht="12.75"/>
    <row r="55555" ht="12.75"/>
    <row r="55556" ht="12.75"/>
    <row r="55557" ht="12.75"/>
    <row r="55558" ht="12.75"/>
    <row r="55559" ht="12.75"/>
    <row r="55560" ht="12.75"/>
    <row r="55561" ht="12.75"/>
    <row r="55562" ht="12.75"/>
    <row r="55563" ht="12.75"/>
    <row r="55564" ht="12.75"/>
    <row r="55565" ht="12.75"/>
    <row r="55566" ht="12.75"/>
    <row r="55567" ht="12.75"/>
    <row r="55568" ht="12.75"/>
    <row r="55569" ht="12.75"/>
    <row r="55570" ht="12.75"/>
    <row r="55571" ht="12.75"/>
    <row r="55572" ht="12.75"/>
    <row r="55573" ht="12.75"/>
    <row r="55574" ht="12.75"/>
    <row r="55575" ht="12.75"/>
    <row r="55576" ht="12.75"/>
    <row r="55577" ht="12.75"/>
    <row r="55578" ht="12.75"/>
    <row r="55579" ht="12.75"/>
    <row r="55580" ht="12.75"/>
    <row r="55581" ht="12.75"/>
    <row r="55582" ht="12.75"/>
    <row r="55583" ht="12.75"/>
    <row r="55584" ht="12.75"/>
    <row r="55585" ht="12.75"/>
    <row r="55586" ht="12.75"/>
    <row r="55587" ht="12.75"/>
    <row r="55588" ht="12.75"/>
    <row r="55589" ht="12.75"/>
    <row r="55590" ht="12.75"/>
    <row r="55591" ht="12.75"/>
    <row r="55592" ht="12.75"/>
    <row r="55593" ht="12.75"/>
    <row r="55594" ht="12.75"/>
    <row r="55595" ht="12.75"/>
    <row r="55596" ht="12.75"/>
    <row r="55597" ht="12.75"/>
    <row r="55598" ht="12.75"/>
    <row r="55599" ht="12.75"/>
    <row r="55600" ht="12.75"/>
    <row r="55601" ht="12.75"/>
    <row r="55602" ht="12.75"/>
    <row r="55603" ht="12.75"/>
    <row r="55604" ht="12.75"/>
    <row r="55605" ht="12.75"/>
    <row r="55606" ht="12.75"/>
    <row r="55607" ht="12.75"/>
    <row r="55608" ht="12.75"/>
    <row r="55609" ht="12.75"/>
    <row r="55610" ht="12.75"/>
    <row r="55611" ht="12.75"/>
    <row r="55612" ht="12.75"/>
    <row r="55613" ht="12.75"/>
    <row r="55614" ht="12.75"/>
    <row r="55615" ht="12.75"/>
    <row r="55616" ht="12.75"/>
    <row r="55617" ht="12.75"/>
    <row r="55618" ht="12.75"/>
    <row r="55619" ht="12.75"/>
    <row r="55620" ht="12.75"/>
    <row r="55621" ht="12.75"/>
    <row r="55622" ht="12.75"/>
    <row r="55623" ht="12.75"/>
    <row r="55624" ht="12.75"/>
    <row r="55625" ht="12.75"/>
    <row r="55626" ht="12.75"/>
    <row r="55627" ht="12.75"/>
    <row r="55628" ht="12.75"/>
    <row r="55629" ht="12.75"/>
    <row r="55630" ht="12.75"/>
    <row r="55631" ht="12.75"/>
    <row r="55632" ht="12.75"/>
    <row r="55633" ht="12.75"/>
    <row r="55634" ht="12.75"/>
    <row r="55635" ht="12.75"/>
    <row r="55636" ht="12.75"/>
    <row r="55637" ht="12.75"/>
    <row r="55638" ht="12.75"/>
    <row r="55639" ht="12.75"/>
    <row r="55640" ht="12.75"/>
    <row r="55641" ht="12.75"/>
    <row r="55642" ht="12.75"/>
    <row r="55643" ht="12.75"/>
    <row r="55644" ht="12.75"/>
    <row r="55645" ht="12.75"/>
    <row r="55646" ht="12.75"/>
    <row r="55647" ht="12.75"/>
    <row r="55648" ht="12.75"/>
    <row r="55649" ht="12.75"/>
    <row r="55650" ht="12.75"/>
    <row r="55651" ht="12.75"/>
    <row r="55652" ht="12.75"/>
    <row r="55653" ht="12.75"/>
    <row r="55654" ht="12.75"/>
    <row r="55655" ht="12.75"/>
    <row r="55656" ht="12.75"/>
    <row r="55657" ht="12.75"/>
    <row r="55658" ht="12.75"/>
    <row r="55659" ht="12.75"/>
    <row r="55660" ht="12.75"/>
    <row r="55661" ht="12.75"/>
    <row r="55662" ht="12.75"/>
    <row r="55663" ht="12.75"/>
    <row r="55664" ht="12.75"/>
    <row r="55665" ht="12.75"/>
    <row r="55666" ht="12.75"/>
    <row r="55667" ht="12.75"/>
    <row r="55668" ht="12.75"/>
    <row r="55669" ht="12.75"/>
    <row r="55670" ht="12.75"/>
    <row r="55671" ht="12.75"/>
    <row r="55672" ht="12.75"/>
    <row r="55673" ht="12.75"/>
    <row r="55674" ht="12.75"/>
    <row r="55675" ht="12.75"/>
    <row r="55676" ht="12.75"/>
    <row r="55677" ht="12.75"/>
    <row r="55678" ht="12.75"/>
    <row r="55679" ht="12.75"/>
    <row r="55680" ht="12.75"/>
    <row r="55681" ht="12.75"/>
    <row r="55682" ht="12.75"/>
    <row r="55683" ht="12.75"/>
    <row r="55684" ht="12.75"/>
    <row r="55685" ht="12.75"/>
    <row r="55686" ht="12.75"/>
    <row r="55687" ht="12.75"/>
    <row r="55688" ht="12.75"/>
    <row r="55689" ht="12.75"/>
    <row r="55690" ht="12.75"/>
    <row r="55691" ht="12.75"/>
    <row r="55692" ht="12.75"/>
    <row r="55693" ht="12.75"/>
    <row r="55694" ht="12.75"/>
    <row r="55695" ht="12.75"/>
    <row r="55696" ht="12.75"/>
    <row r="55697" ht="12.75"/>
    <row r="55698" ht="12.75"/>
    <row r="55699" ht="12.75"/>
    <row r="55700" ht="12.75"/>
    <row r="55701" ht="12.75"/>
    <row r="55702" ht="12.75"/>
    <row r="55703" ht="12.75"/>
    <row r="55704" ht="12.75"/>
    <row r="55705" ht="12.75"/>
    <row r="55706" ht="12.75"/>
    <row r="55707" ht="12.75"/>
    <row r="55708" ht="12.75"/>
    <row r="55709" ht="12.75"/>
    <row r="55710" ht="12.75"/>
    <row r="55711" ht="12.75"/>
    <row r="55712" ht="12.75"/>
    <row r="55713" ht="12.75"/>
    <row r="55714" ht="12.75"/>
    <row r="55715" ht="12.75"/>
    <row r="55716" ht="12.75"/>
    <row r="55717" ht="12.75"/>
    <row r="55718" ht="12.75"/>
    <row r="55719" ht="12.75"/>
    <row r="55720" ht="12.75"/>
    <row r="55721" ht="12.75"/>
    <row r="55722" ht="12.75"/>
    <row r="55723" ht="12.75"/>
    <row r="55724" ht="12.75"/>
    <row r="55725" ht="12.75"/>
    <row r="55726" ht="12.75"/>
    <row r="55727" ht="12.75"/>
    <row r="55728" ht="12.75"/>
    <row r="55729" ht="12.75"/>
    <row r="55730" ht="12.75"/>
    <row r="55731" ht="12.75"/>
    <row r="55732" ht="12.75"/>
    <row r="55733" ht="12.75"/>
    <row r="55734" ht="12.75"/>
    <row r="55735" ht="12.75"/>
    <row r="55736" ht="12.75"/>
    <row r="55737" ht="12.75"/>
    <row r="55738" ht="12.75"/>
    <row r="55739" ht="12.75"/>
    <row r="55740" ht="12.75"/>
    <row r="55741" ht="12.75"/>
    <row r="55742" ht="12.75"/>
    <row r="55743" ht="12.75"/>
    <row r="55744" ht="12.75"/>
    <row r="55745" ht="12.75"/>
    <row r="55746" ht="12.75"/>
    <row r="55747" ht="12.75"/>
    <row r="55748" ht="12.75"/>
    <row r="55749" ht="12.75"/>
    <row r="55750" ht="12.75"/>
    <row r="55751" ht="12.75"/>
    <row r="55752" ht="12.75"/>
    <row r="55753" ht="12.75"/>
    <row r="55754" ht="12.75"/>
    <row r="55755" ht="12.75"/>
    <row r="55756" ht="12.75"/>
    <row r="55757" ht="12.75"/>
    <row r="55758" ht="12.75"/>
    <row r="55759" ht="12.75"/>
    <row r="55760" ht="12.75"/>
    <row r="55761" ht="12.75"/>
    <row r="55762" ht="12.75"/>
    <row r="55763" ht="12.75"/>
    <row r="55764" ht="12.75"/>
    <row r="55765" ht="12.75"/>
    <row r="55766" ht="12.75"/>
    <row r="55767" ht="12.75"/>
    <row r="55768" ht="12.75"/>
    <row r="55769" ht="12.75"/>
    <row r="55770" ht="12.75"/>
    <row r="55771" ht="12.75"/>
    <row r="55772" ht="12.75"/>
    <row r="55773" ht="12.75"/>
    <row r="55774" ht="12.75"/>
    <row r="55775" ht="12.75"/>
    <row r="55776" ht="12.75"/>
    <row r="55777" ht="12.75"/>
    <row r="55778" ht="12.75"/>
    <row r="55779" ht="12.75"/>
    <row r="55780" ht="12.75"/>
    <row r="55781" ht="12.75"/>
    <row r="55782" ht="12.75"/>
    <row r="55783" ht="12.75"/>
    <row r="55784" ht="12.75"/>
    <row r="55785" ht="12.75"/>
    <row r="55786" ht="12.75"/>
    <row r="55787" ht="12.75"/>
    <row r="55788" ht="12.75"/>
    <row r="55789" ht="12.75"/>
    <row r="55790" ht="12.75"/>
    <row r="55791" ht="12.75"/>
    <row r="55792" ht="12.75"/>
    <row r="55793" ht="12.75"/>
    <row r="55794" ht="12.75"/>
    <row r="55795" ht="12.75"/>
    <row r="55796" ht="12.75"/>
    <row r="55797" ht="12.75"/>
    <row r="55798" ht="12.75"/>
    <row r="55799" ht="12.75"/>
    <row r="55800" ht="12.75"/>
    <row r="55801" ht="12.75"/>
    <row r="55802" ht="12.75"/>
    <row r="55803" ht="12.75"/>
    <row r="55804" ht="12.75"/>
    <row r="55805" ht="12.75"/>
    <row r="55806" ht="12.75"/>
    <row r="55807" ht="12.75"/>
    <row r="55808" ht="12.75"/>
    <row r="55809" ht="12.75"/>
    <row r="55810" ht="12.75"/>
    <row r="55811" ht="12.75"/>
    <row r="55812" ht="12.75"/>
    <row r="55813" ht="12.75"/>
    <row r="55814" ht="12.75"/>
    <row r="55815" ht="12.75"/>
    <row r="55816" ht="12.75"/>
    <row r="55817" ht="12.75"/>
    <row r="55818" ht="12.75"/>
    <row r="55819" ht="12.75"/>
    <row r="55820" ht="12.75"/>
    <row r="55821" ht="12.75"/>
    <row r="55822" ht="12.75"/>
    <row r="55823" ht="12.75"/>
    <row r="55824" ht="12.75"/>
    <row r="55825" ht="12.75"/>
    <row r="55826" ht="12.75"/>
    <row r="55827" ht="12.75"/>
    <row r="55828" ht="12.75"/>
    <row r="55829" ht="12.75"/>
    <row r="55830" ht="12.75"/>
    <row r="55831" ht="12.75"/>
    <row r="55832" ht="12.75"/>
    <row r="55833" ht="12.75"/>
    <row r="55834" ht="12.75"/>
    <row r="55835" ht="12.75"/>
    <row r="55836" ht="12.75"/>
    <row r="55837" ht="12.75"/>
    <row r="55838" ht="12.75"/>
    <row r="55839" ht="12.75"/>
    <row r="55840" ht="12.75"/>
    <row r="55841" ht="12.75"/>
    <row r="55842" ht="12.75"/>
    <row r="55843" ht="12.75"/>
    <row r="55844" ht="12.75"/>
    <row r="55845" ht="12.75"/>
    <row r="55846" ht="12.75"/>
    <row r="55847" ht="12.75"/>
    <row r="55848" ht="12.75"/>
    <row r="55849" ht="12.75"/>
    <row r="55850" ht="12.75"/>
    <row r="55851" ht="12.75"/>
    <row r="55852" ht="12.75"/>
    <row r="55853" ht="12.75"/>
    <row r="55854" ht="12.75"/>
    <row r="55855" ht="12.75"/>
    <row r="55856" ht="12.75"/>
    <row r="55857" ht="12.75"/>
    <row r="55858" ht="12.75"/>
    <row r="55859" ht="12.75"/>
    <row r="55860" ht="12.75"/>
    <row r="55861" ht="12.75"/>
    <row r="55862" ht="12.75"/>
    <row r="55863" ht="12.75"/>
    <row r="55864" ht="12.75"/>
    <row r="55865" ht="12.75"/>
    <row r="55866" ht="12.75"/>
    <row r="55867" ht="12.75"/>
    <row r="55868" ht="12.75"/>
    <row r="55869" ht="12.75"/>
    <row r="55870" ht="12.75"/>
    <row r="55871" ht="12.75"/>
    <row r="55872" ht="12.75"/>
    <row r="55873" ht="12.75"/>
    <row r="55874" ht="12.75"/>
    <row r="55875" ht="12.75"/>
    <row r="55876" ht="12.75"/>
    <row r="55877" ht="12.75"/>
    <row r="55878" ht="12.75"/>
    <row r="55879" ht="12.75"/>
    <row r="55880" ht="12.75"/>
    <row r="55881" ht="12.75"/>
    <row r="55882" ht="12.75"/>
    <row r="55883" ht="12.75"/>
    <row r="55884" ht="12.75"/>
    <row r="55885" ht="12.75"/>
    <row r="55886" ht="12.75"/>
    <row r="55887" ht="12.75"/>
    <row r="55888" ht="12.75"/>
    <row r="55889" ht="12.75"/>
    <row r="55890" ht="12.75"/>
    <row r="55891" ht="12.75"/>
    <row r="55892" ht="12.75"/>
    <row r="55893" ht="12.75"/>
    <row r="55894" ht="12.75"/>
    <row r="55895" ht="12.75"/>
    <row r="55896" ht="12.75"/>
    <row r="55897" ht="12.75"/>
    <row r="55898" ht="12.75"/>
    <row r="55899" ht="12.75"/>
    <row r="55900" ht="12.75"/>
    <row r="55901" ht="12.75"/>
    <row r="55902" ht="12.75"/>
    <row r="55903" ht="12.75"/>
    <row r="55904" ht="12.75"/>
    <row r="55905" ht="12.75"/>
    <row r="55906" ht="12.75"/>
    <row r="55907" ht="12.75"/>
    <row r="55908" ht="12.75"/>
    <row r="55909" ht="12.75"/>
    <row r="55910" ht="12.75"/>
    <row r="55911" ht="12.75"/>
    <row r="55912" ht="12.75"/>
    <row r="55913" ht="12.75"/>
    <row r="55914" ht="12.75"/>
    <row r="55915" ht="12.75"/>
    <row r="55916" ht="12.75"/>
    <row r="55917" ht="12.75"/>
    <row r="55918" ht="12.75"/>
    <row r="55919" ht="12.75"/>
    <row r="55920" ht="12.75"/>
    <row r="55921" ht="12.75"/>
    <row r="55922" ht="12.75"/>
    <row r="55923" ht="12.75"/>
    <row r="55924" ht="12.75"/>
    <row r="55925" ht="12.75"/>
    <row r="55926" ht="12.75"/>
    <row r="55927" ht="12.75"/>
    <row r="55928" ht="12.75"/>
    <row r="55929" ht="12.75"/>
    <row r="55930" ht="12.75"/>
    <row r="55931" ht="12.75"/>
    <row r="55932" ht="12.75"/>
    <row r="55933" ht="12.75"/>
    <row r="55934" ht="12.75"/>
    <row r="55935" ht="12.75"/>
    <row r="55936" ht="12.75"/>
    <row r="55937" ht="12.75"/>
    <row r="55938" ht="12.75"/>
    <row r="55939" ht="12.75"/>
    <row r="55940" ht="12.75"/>
    <row r="55941" ht="12.75"/>
    <row r="55942" ht="12.75"/>
    <row r="55943" ht="12.75"/>
    <row r="55944" ht="12.75"/>
    <row r="55945" ht="12.75"/>
    <row r="55946" ht="12.75"/>
    <row r="55947" ht="12.75"/>
    <row r="55948" ht="12.75"/>
    <row r="55949" ht="12.75"/>
    <row r="55950" ht="12.75"/>
    <row r="55951" ht="12.75"/>
    <row r="55952" ht="12.75"/>
    <row r="55953" ht="12.75"/>
    <row r="55954" ht="12.75"/>
    <row r="55955" ht="12.75"/>
    <row r="55956" ht="12.75"/>
    <row r="55957" ht="12.75"/>
    <row r="55958" ht="12.75"/>
    <row r="55959" ht="12.75"/>
    <row r="55960" ht="12.75"/>
    <row r="55961" ht="12.75"/>
    <row r="55962" ht="12.75"/>
    <row r="55963" ht="12.75"/>
    <row r="55964" ht="12.75"/>
    <row r="55965" ht="12.75"/>
    <row r="55966" ht="12.75"/>
    <row r="55967" ht="12.75"/>
    <row r="55968" ht="12.75"/>
    <row r="55969" ht="12.75"/>
    <row r="55970" ht="12.75"/>
    <row r="55971" ht="12.75"/>
    <row r="55972" ht="12.75"/>
    <row r="55973" ht="12.75"/>
    <row r="55974" ht="12.75"/>
    <row r="55975" ht="12.75"/>
    <row r="55976" ht="12.75"/>
    <row r="55977" ht="12.75"/>
    <row r="55978" ht="12.75"/>
    <row r="55979" ht="12.75"/>
    <row r="55980" ht="12.75"/>
    <row r="55981" ht="12.75"/>
    <row r="55982" ht="12.75"/>
    <row r="55983" ht="12.75"/>
    <row r="55984" ht="12.75"/>
    <row r="55985" ht="12.75"/>
    <row r="55986" ht="12.75"/>
    <row r="55987" ht="12.75"/>
    <row r="55988" ht="12.75"/>
    <row r="55989" ht="12.75"/>
    <row r="55990" ht="12.75"/>
    <row r="55991" ht="12.75"/>
    <row r="55992" ht="12.75"/>
    <row r="55993" ht="12.75"/>
    <row r="55994" ht="12.75"/>
    <row r="55995" ht="12.75"/>
    <row r="55996" ht="12.75"/>
    <row r="55997" ht="12.75"/>
    <row r="55998" ht="12.75"/>
    <row r="55999" ht="12.75"/>
    <row r="56000" ht="12.75"/>
    <row r="56001" ht="12.75"/>
    <row r="56002" ht="12.75"/>
    <row r="56003" ht="12.75"/>
    <row r="56004" ht="12.75"/>
    <row r="56005" ht="12.75"/>
    <row r="56006" ht="12.75"/>
    <row r="56007" ht="12.75"/>
    <row r="56008" ht="12.75"/>
    <row r="56009" ht="12.75"/>
    <row r="56010" ht="12.75"/>
    <row r="56011" ht="12.75"/>
    <row r="56012" ht="12.75"/>
    <row r="56013" ht="12.75"/>
    <row r="56014" ht="12.75"/>
    <row r="56015" ht="12.75"/>
    <row r="56016" ht="12.75"/>
    <row r="56017" ht="12.75"/>
    <row r="56018" ht="12.75"/>
    <row r="56019" ht="12.75"/>
    <row r="56020" ht="12.75"/>
    <row r="56021" ht="12.75"/>
    <row r="56022" ht="12.75"/>
    <row r="56023" ht="12.75"/>
    <row r="56024" ht="12.75"/>
    <row r="56025" ht="12.75"/>
    <row r="56026" ht="12.75"/>
    <row r="56027" ht="12.75"/>
    <row r="56028" ht="12.75"/>
    <row r="56029" ht="12.75"/>
    <row r="56030" ht="12.75"/>
    <row r="56031" ht="12.75"/>
    <row r="56032" ht="12.75"/>
    <row r="56033" ht="12.75"/>
    <row r="56034" ht="12.75"/>
    <row r="56035" ht="12.75"/>
    <row r="56036" ht="12.75"/>
    <row r="56037" ht="12.75"/>
    <row r="56038" ht="12.75"/>
    <row r="56039" ht="12.75"/>
    <row r="56040" ht="12.75"/>
    <row r="56041" ht="12.75"/>
    <row r="56042" ht="12.75"/>
    <row r="56043" ht="12.75"/>
    <row r="56044" ht="12.75"/>
    <row r="56045" ht="12.75"/>
    <row r="56046" ht="12.75"/>
    <row r="56047" ht="12.75"/>
    <row r="56048" ht="12.75"/>
    <row r="56049" ht="12.75"/>
    <row r="56050" ht="12.75"/>
    <row r="56051" ht="12.75"/>
    <row r="56052" ht="12.75"/>
    <row r="56053" ht="12.75"/>
    <row r="56054" ht="12.75"/>
    <row r="56055" ht="12.75"/>
    <row r="56056" ht="12.75"/>
    <row r="56057" ht="12.75"/>
    <row r="56058" ht="12.75"/>
    <row r="56059" ht="12.75"/>
    <row r="56060" ht="12.75"/>
    <row r="56061" ht="12.75"/>
    <row r="56062" ht="12.75"/>
    <row r="56063" ht="12.75"/>
    <row r="56064" ht="12.75"/>
    <row r="56065" ht="12.75"/>
    <row r="56066" ht="12.75"/>
    <row r="56067" ht="12.75"/>
    <row r="56068" ht="12.75"/>
    <row r="56069" ht="12.75"/>
    <row r="56070" ht="12.75"/>
    <row r="56071" ht="12.75"/>
    <row r="56072" ht="12.75"/>
    <row r="56073" ht="12.75"/>
    <row r="56074" ht="12.75"/>
    <row r="56075" ht="12.75"/>
    <row r="56076" ht="12.75"/>
    <row r="56077" ht="12.75"/>
    <row r="56078" ht="12.75"/>
    <row r="56079" ht="12.75"/>
    <row r="56080" ht="12.75"/>
    <row r="56081" ht="12.75"/>
    <row r="56082" ht="12.75"/>
    <row r="56083" ht="12.75"/>
    <row r="56084" ht="12.75"/>
    <row r="56085" ht="12.75"/>
    <row r="56086" ht="12.75"/>
    <row r="56087" ht="12.75"/>
    <row r="56088" ht="12.75"/>
    <row r="56089" ht="12.75"/>
    <row r="56090" ht="12.75"/>
    <row r="56091" ht="12.75"/>
    <row r="56092" ht="12.75"/>
    <row r="56093" ht="12.75"/>
    <row r="56094" ht="12.75"/>
    <row r="56095" ht="12.75"/>
    <row r="56096" ht="12.75"/>
    <row r="56097" ht="12.75"/>
    <row r="56098" ht="12.75"/>
    <row r="56099" ht="12.75"/>
    <row r="56100" ht="12.75"/>
    <row r="56101" ht="12.75"/>
    <row r="56102" ht="12.75"/>
    <row r="56103" ht="12.75"/>
    <row r="56104" ht="12.75"/>
    <row r="56105" ht="12.75"/>
    <row r="56106" ht="12.75"/>
    <row r="56107" ht="12.75"/>
    <row r="56108" ht="12.75"/>
    <row r="56109" ht="12.75"/>
    <row r="56110" ht="12.75"/>
    <row r="56111" ht="12.75"/>
    <row r="56112" ht="12.75"/>
    <row r="56113" ht="12.75"/>
    <row r="56114" ht="12.75"/>
    <row r="56115" ht="12.75"/>
    <row r="56116" ht="12.75"/>
    <row r="56117" ht="12.75"/>
    <row r="56118" ht="12.75"/>
    <row r="56119" ht="12.75"/>
    <row r="56120" ht="12.75"/>
    <row r="56121" ht="12.75"/>
    <row r="56122" ht="12.75"/>
    <row r="56123" ht="12.75"/>
    <row r="56124" ht="12.75"/>
    <row r="56125" ht="12.75"/>
    <row r="56126" ht="12.75"/>
    <row r="56127" ht="12.75"/>
    <row r="56128" ht="12.75"/>
    <row r="56129" ht="12.75"/>
    <row r="56130" ht="12.75"/>
    <row r="56131" ht="12.75"/>
    <row r="56132" ht="12.75"/>
    <row r="56133" ht="12.75"/>
    <row r="56134" ht="12.75"/>
    <row r="56135" ht="12.75"/>
    <row r="56136" ht="12.75"/>
    <row r="56137" ht="12.75"/>
    <row r="56138" ht="12.75"/>
    <row r="56139" ht="12.75"/>
    <row r="56140" ht="12.75"/>
    <row r="56141" ht="12.75"/>
    <row r="56142" ht="12.75"/>
    <row r="56143" ht="12.75"/>
    <row r="56144" ht="12.75"/>
    <row r="56145" ht="12.75"/>
    <row r="56146" ht="12.75"/>
    <row r="56147" ht="12.75"/>
    <row r="56148" ht="12.75"/>
    <row r="56149" ht="12.75"/>
    <row r="56150" ht="12.75"/>
    <row r="56151" ht="12.75"/>
    <row r="56152" ht="12.75"/>
    <row r="56153" ht="12.75"/>
    <row r="56154" ht="12.75"/>
    <row r="56155" ht="12.75"/>
    <row r="56156" ht="12.75"/>
    <row r="56157" ht="12.75"/>
    <row r="56158" ht="12.75"/>
    <row r="56159" ht="12.75"/>
    <row r="56160" ht="12.75"/>
    <row r="56161" ht="12.75"/>
    <row r="56162" ht="12.75"/>
    <row r="56163" ht="12.75"/>
    <row r="56164" ht="12.75"/>
    <row r="56165" ht="12.75"/>
    <row r="56166" ht="12.75"/>
    <row r="56167" ht="12.75"/>
    <row r="56168" ht="12.75"/>
    <row r="56169" ht="12.75"/>
    <row r="56170" ht="12.75"/>
    <row r="56171" ht="12.75"/>
    <row r="56172" ht="12.75"/>
    <row r="56173" ht="12.75"/>
    <row r="56174" ht="12.75"/>
    <row r="56175" ht="12.75"/>
    <row r="56176" ht="12.75"/>
    <row r="56177" ht="12.75"/>
    <row r="56178" ht="12.75"/>
    <row r="56179" ht="12.75"/>
    <row r="56180" ht="12.75"/>
    <row r="56181" ht="12.75"/>
    <row r="56182" ht="12.75"/>
    <row r="56183" ht="12.75"/>
    <row r="56184" ht="12.75"/>
    <row r="56185" ht="12.75"/>
    <row r="56186" ht="12.75"/>
    <row r="56187" ht="12.75"/>
    <row r="56188" ht="12.75"/>
    <row r="56189" ht="12.75"/>
    <row r="56190" ht="12.75"/>
    <row r="56191" ht="12.75"/>
    <row r="56192" ht="12.75"/>
    <row r="56193" ht="12.75"/>
    <row r="56194" ht="12.75"/>
    <row r="56195" ht="12.75"/>
    <row r="56196" ht="12.75"/>
    <row r="56197" ht="12.75"/>
    <row r="56198" ht="12.75"/>
    <row r="56199" ht="12.75"/>
    <row r="56200" ht="12.75"/>
    <row r="56201" ht="12.75"/>
    <row r="56202" ht="12.75"/>
    <row r="56203" ht="12.75"/>
    <row r="56204" ht="12.75"/>
    <row r="56205" ht="12.75"/>
    <row r="56206" ht="12.75"/>
    <row r="56207" ht="12.75"/>
    <row r="56208" ht="12.75"/>
    <row r="56209" ht="12.75"/>
    <row r="56210" ht="12.75"/>
    <row r="56211" ht="12.75"/>
    <row r="56212" ht="12.75"/>
    <row r="56213" ht="12.75"/>
    <row r="56214" ht="12.75"/>
    <row r="56215" ht="12.75"/>
    <row r="56216" ht="12.75"/>
    <row r="56217" ht="12.75"/>
    <row r="56218" ht="12.75"/>
    <row r="56219" ht="12.75"/>
    <row r="56220" ht="12.75"/>
    <row r="56221" ht="12.75"/>
    <row r="56222" ht="12.75"/>
    <row r="56223" ht="12.75"/>
    <row r="56224" ht="12.75"/>
    <row r="56225" ht="12.75"/>
    <row r="56226" ht="12.75"/>
    <row r="56227" ht="12.75"/>
    <row r="56228" ht="12.75"/>
    <row r="56229" ht="12.75"/>
    <row r="56230" ht="12.75"/>
    <row r="56231" ht="12.75"/>
    <row r="56232" ht="12.75"/>
    <row r="56233" ht="12.75"/>
    <row r="56234" ht="12.75"/>
    <row r="56235" ht="12.75"/>
    <row r="56236" ht="12.75"/>
    <row r="56237" ht="12.75"/>
    <row r="56238" ht="12.75"/>
    <row r="56239" ht="12.75"/>
    <row r="56240" ht="12.75"/>
    <row r="56241" ht="12.75"/>
    <row r="56242" ht="12.75"/>
    <row r="56243" ht="12.75"/>
    <row r="56244" ht="12.75"/>
    <row r="56245" ht="12.75"/>
    <row r="56246" ht="12.75"/>
    <row r="56247" ht="12.75"/>
    <row r="56248" ht="12.75"/>
    <row r="56249" ht="12.75"/>
    <row r="56250" ht="12.75"/>
    <row r="56251" ht="12.75"/>
    <row r="56252" ht="12.75"/>
    <row r="56253" ht="12.75"/>
    <row r="56254" ht="12.75"/>
    <row r="56255" ht="12.75"/>
    <row r="56256" ht="12.75"/>
    <row r="56257" ht="12.75"/>
    <row r="56258" ht="12.75"/>
    <row r="56259" ht="12.75"/>
    <row r="56260" ht="12.75"/>
    <row r="56261" ht="12.75"/>
    <row r="56262" ht="12.75"/>
    <row r="56263" ht="12.75"/>
    <row r="56264" ht="12.75"/>
    <row r="56265" ht="12.75"/>
    <row r="56266" ht="12.75"/>
    <row r="56267" ht="12.75"/>
    <row r="56268" ht="12.75"/>
    <row r="56269" ht="12.75"/>
    <row r="56270" ht="12.75"/>
    <row r="56271" ht="12.75"/>
    <row r="56272" ht="12.75"/>
    <row r="56273" ht="12.75"/>
    <row r="56274" ht="12.75"/>
    <row r="56275" ht="12.75"/>
    <row r="56276" ht="12.75"/>
    <row r="56277" ht="12.75"/>
    <row r="56278" ht="12.75"/>
    <row r="56279" ht="12.75"/>
    <row r="56280" ht="12.75"/>
    <row r="56281" ht="12.75"/>
    <row r="56282" ht="12.75"/>
    <row r="56283" ht="12.75"/>
    <row r="56284" ht="12.75"/>
    <row r="56285" ht="12.75"/>
    <row r="56286" ht="12.75"/>
    <row r="56287" ht="12.75"/>
    <row r="56288" ht="12.75"/>
    <row r="56289" ht="12.75"/>
    <row r="56290" ht="12.75"/>
    <row r="56291" ht="12.75"/>
    <row r="56292" ht="12.75"/>
    <row r="56293" ht="12.75"/>
    <row r="56294" ht="12.75"/>
    <row r="56295" ht="12.75"/>
    <row r="56296" ht="12.75"/>
    <row r="56297" ht="12.75"/>
    <row r="56298" ht="12.75"/>
    <row r="56299" ht="12.75"/>
    <row r="56300" ht="12.75"/>
    <row r="56301" ht="12.75"/>
    <row r="56302" ht="12.75"/>
    <row r="56303" ht="12.75"/>
    <row r="56304" ht="12.75"/>
    <row r="56305" ht="12.75"/>
    <row r="56306" ht="12.75"/>
    <row r="56307" ht="12.75"/>
    <row r="56308" ht="12.75"/>
    <row r="56309" ht="12.75"/>
    <row r="56310" ht="12.75"/>
    <row r="56311" ht="12.75"/>
    <row r="56312" ht="12.75"/>
    <row r="56313" ht="12.75"/>
    <row r="56314" ht="12.75"/>
    <row r="56315" ht="12.75"/>
    <row r="56316" ht="12.75"/>
    <row r="56317" ht="12.75"/>
    <row r="56318" ht="12.75"/>
    <row r="56319" ht="12.75"/>
    <row r="56320" ht="12.75"/>
    <row r="56321" ht="12.75"/>
    <row r="56322" ht="12.75"/>
    <row r="56323" ht="12.75"/>
    <row r="56324" ht="12.75"/>
    <row r="56325" ht="12.75"/>
    <row r="56326" ht="12.75"/>
    <row r="56327" ht="12.75"/>
    <row r="56328" ht="12.75"/>
    <row r="56329" ht="12.75"/>
    <row r="56330" ht="12.75"/>
    <row r="56331" ht="12.75"/>
    <row r="56332" ht="12.75"/>
    <row r="56333" ht="12.75"/>
    <row r="56334" ht="12.75"/>
    <row r="56335" ht="12.75"/>
    <row r="56336" ht="12.75"/>
    <row r="56337" ht="12.75"/>
    <row r="56338" ht="12.75"/>
    <row r="56339" ht="12.75"/>
    <row r="56340" ht="12.75"/>
    <row r="56341" ht="12.75"/>
    <row r="56342" ht="12.75"/>
    <row r="56343" ht="12.75"/>
    <row r="56344" ht="12.75"/>
    <row r="56345" ht="12.75"/>
    <row r="56346" ht="12.75"/>
    <row r="56347" ht="12.75"/>
    <row r="56348" ht="12.75"/>
    <row r="56349" ht="12.75"/>
    <row r="56350" ht="12.75"/>
    <row r="56351" ht="12.75"/>
    <row r="56352" ht="12.75"/>
    <row r="56353" ht="12.75"/>
    <row r="56354" ht="12.75"/>
    <row r="56355" ht="12.75"/>
    <row r="56356" ht="12.75"/>
    <row r="56357" ht="12.75"/>
    <row r="56358" ht="12.75"/>
    <row r="56359" ht="12.75"/>
    <row r="56360" ht="12.75"/>
    <row r="56361" ht="12.75"/>
    <row r="56362" ht="12.75"/>
    <row r="56363" ht="12.75"/>
    <row r="56364" ht="12.75"/>
    <row r="56365" ht="12.75"/>
    <row r="56366" ht="12.75"/>
    <row r="56367" ht="12.75"/>
    <row r="56368" ht="12.75"/>
    <row r="56369" ht="12.75"/>
    <row r="56370" ht="12.75"/>
    <row r="56371" ht="12.75"/>
    <row r="56372" ht="12.75"/>
    <row r="56373" ht="12.75"/>
    <row r="56374" ht="12.75"/>
    <row r="56375" ht="12.75"/>
    <row r="56376" ht="12.75"/>
    <row r="56377" ht="12.75"/>
    <row r="56378" ht="12.75"/>
    <row r="56379" ht="12.75"/>
    <row r="56380" ht="12.75"/>
    <row r="56381" ht="12.75"/>
    <row r="56382" ht="12.75"/>
    <row r="56383" ht="12.75"/>
    <row r="56384" ht="12.75"/>
    <row r="56385" ht="12.75"/>
    <row r="56386" ht="12.75"/>
    <row r="56387" ht="12.75"/>
    <row r="56388" ht="12.75"/>
    <row r="56389" ht="12.75"/>
    <row r="56390" ht="12.75"/>
    <row r="56391" ht="12.75"/>
    <row r="56392" ht="12.75"/>
    <row r="56393" ht="12.75"/>
    <row r="56394" ht="12.75"/>
    <row r="56395" ht="12.75"/>
    <row r="56396" ht="12.75"/>
    <row r="56397" ht="12.75"/>
    <row r="56398" ht="12.75"/>
    <row r="56399" ht="12.75"/>
    <row r="56400" ht="12.75"/>
    <row r="56401" ht="12.75"/>
    <row r="56402" ht="12.75"/>
    <row r="56403" ht="12.75"/>
    <row r="56404" ht="12.75"/>
    <row r="56405" ht="12.75"/>
    <row r="56406" ht="12.75"/>
    <row r="56407" ht="12.75"/>
    <row r="56408" ht="12.75"/>
    <row r="56409" ht="12.75"/>
    <row r="56410" ht="12.75"/>
    <row r="56411" ht="12.75"/>
    <row r="56412" ht="12.75"/>
    <row r="56413" ht="12.75"/>
    <row r="56414" ht="12.75"/>
    <row r="56415" ht="12.75"/>
    <row r="56416" ht="12.75"/>
    <row r="56417" ht="12.75"/>
    <row r="56418" ht="12.75"/>
    <row r="56419" ht="12.75"/>
    <row r="56420" ht="12.75"/>
    <row r="56421" ht="12.75"/>
    <row r="56422" ht="12.75"/>
    <row r="56423" ht="12.75"/>
    <row r="56424" ht="12.75"/>
    <row r="56425" ht="12.75"/>
    <row r="56426" ht="12.75"/>
    <row r="56427" ht="12.75"/>
    <row r="56428" ht="12.75"/>
    <row r="56429" ht="12.75"/>
    <row r="56430" ht="12.75"/>
    <row r="56431" ht="12.75"/>
    <row r="56432" ht="12.75"/>
    <row r="56433" ht="12.75"/>
    <row r="56434" ht="12.75"/>
    <row r="56435" ht="12.75"/>
    <row r="56436" ht="12.75"/>
    <row r="56437" ht="12.75"/>
    <row r="56438" ht="12.75"/>
    <row r="56439" ht="12.75"/>
    <row r="56440" ht="12.75"/>
    <row r="56441" ht="12.75"/>
    <row r="56442" ht="12.75"/>
    <row r="56443" ht="12.75"/>
    <row r="56444" ht="12.75"/>
    <row r="56445" ht="12.75"/>
    <row r="56446" ht="12.75"/>
    <row r="56447" ht="12.75"/>
    <row r="56448" ht="12.75"/>
    <row r="56449" ht="12.75"/>
    <row r="56450" ht="12.75"/>
    <row r="56451" ht="12.75"/>
    <row r="56452" ht="12.75"/>
    <row r="56453" ht="12.75"/>
    <row r="56454" ht="12.75"/>
    <row r="56455" ht="12.75"/>
    <row r="56456" ht="12.75"/>
    <row r="56457" ht="12.75"/>
    <row r="56458" ht="12.75"/>
    <row r="56459" ht="12.75"/>
    <row r="56460" ht="12.75"/>
    <row r="56461" ht="12.75"/>
    <row r="56462" ht="12.75"/>
    <row r="56463" ht="12.75"/>
    <row r="56464" ht="12.75"/>
    <row r="56465" ht="12.75"/>
    <row r="56466" ht="12.75"/>
    <row r="56467" ht="12.75"/>
    <row r="56468" ht="12.75"/>
    <row r="56469" ht="12.75"/>
    <row r="56470" ht="12.75"/>
    <row r="56471" ht="12.75"/>
    <row r="56472" ht="12.75"/>
    <row r="56473" ht="12.75"/>
    <row r="56474" ht="12.75"/>
    <row r="56475" ht="12.75"/>
    <row r="56476" ht="12.75"/>
    <row r="56477" ht="12.75"/>
    <row r="56478" ht="12.75"/>
    <row r="56479" ht="12.75"/>
    <row r="56480" ht="12.75"/>
    <row r="56481" ht="12.75"/>
    <row r="56482" ht="12.75"/>
    <row r="56483" ht="12.75"/>
    <row r="56484" ht="12.75"/>
    <row r="56485" ht="12.75"/>
    <row r="56486" ht="12.75"/>
    <row r="56487" ht="12.75"/>
    <row r="56488" ht="12.75"/>
    <row r="56489" ht="12.75"/>
    <row r="56490" ht="12.75"/>
    <row r="56491" ht="12.75"/>
    <row r="56492" ht="12.75"/>
    <row r="56493" ht="12.75"/>
    <row r="56494" ht="12.75"/>
    <row r="56495" ht="12.75"/>
    <row r="56496" ht="12.75"/>
    <row r="56497" ht="12.75"/>
    <row r="56498" ht="12.75"/>
    <row r="56499" ht="12.75"/>
    <row r="56500" ht="12.75"/>
    <row r="56501" ht="12.75"/>
    <row r="56502" ht="12.75"/>
    <row r="56503" ht="12.75"/>
    <row r="56504" ht="12.75"/>
    <row r="56505" ht="12.75"/>
    <row r="56506" ht="12.75"/>
    <row r="56507" ht="12.75"/>
    <row r="56508" ht="12.75"/>
    <row r="56509" ht="12.75"/>
    <row r="56510" ht="12.75"/>
    <row r="56511" ht="12.75"/>
    <row r="56512" ht="12.75"/>
    <row r="56513" ht="12.75"/>
    <row r="56514" ht="12.75"/>
    <row r="56515" ht="12.75"/>
    <row r="56516" ht="12.75"/>
    <row r="56517" ht="12.75"/>
    <row r="56518" ht="12.75"/>
    <row r="56519" ht="12.75"/>
    <row r="56520" ht="12.75"/>
    <row r="56521" ht="12.75"/>
    <row r="56522" ht="12.75"/>
    <row r="56523" ht="12.75"/>
    <row r="56524" ht="12.75"/>
    <row r="56525" ht="12.75"/>
    <row r="56526" ht="12.75"/>
    <row r="56527" ht="12.75"/>
    <row r="56528" ht="12.75"/>
    <row r="56529" ht="12.75"/>
    <row r="56530" ht="12.75"/>
    <row r="56531" ht="12.75"/>
    <row r="56532" ht="12.75"/>
    <row r="56533" ht="12.75"/>
    <row r="56534" ht="12.75"/>
    <row r="56535" ht="12.75"/>
    <row r="56536" ht="12.75"/>
    <row r="56537" ht="12.75"/>
    <row r="56538" ht="12.75"/>
    <row r="56539" ht="12.75"/>
    <row r="56540" ht="12.75"/>
    <row r="56541" ht="12.75"/>
    <row r="56542" ht="12.75"/>
    <row r="56543" ht="12.75"/>
    <row r="56544" ht="12.75"/>
    <row r="56545" ht="12.75"/>
    <row r="56546" ht="12.75"/>
    <row r="56547" ht="12.75"/>
    <row r="56548" ht="12.75"/>
    <row r="56549" ht="12.75"/>
    <row r="56550" ht="12.75"/>
    <row r="56551" ht="12.75"/>
    <row r="56552" ht="12.75"/>
    <row r="56553" ht="12.75"/>
    <row r="56554" ht="12.75"/>
    <row r="56555" ht="12.75"/>
    <row r="56556" ht="12.75"/>
    <row r="56557" ht="12.75"/>
    <row r="56558" ht="12.75"/>
    <row r="56559" ht="12.75"/>
    <row r="56560" ht="12.75"/>
    <row r="56561" ht="12.75"/>
    <row r="56562" ht="12.75"/>
    <row r="56563" ht="12.75"/>
    <row r="56564" ht="12.75"/>
    <row r="56565" ht="12.75"/>
    <row r="56566" ht="12.75"/>
    <row r="56567" ht="12.75"/>
    <row r="56568" ht="12.75"/>
    <row r="56569" ht="12.75"/>
    <row r="56570" ht="12.75"/>
    <row r="56571" ht="12.75"/>
    <row r="56572" ht="12.75"/>
    <row r="56573" ht="12.75"/>
    <row r="56574" ht="12.75"/>
    <row r="56575" ht="12.75"/>
    <row r="56576" ht="12.75"/>
    <row r="56577" ht="12.75"/>
    <row r="56578" ht="12.75"/>
    <row r="56579" ht="12.75"/>
    <row r="56580" ht="12.75"/>
    <row r="56581" ht="12.75"/>
    <row r="56582" ht="12.75"/>
    <row r="56583" ht="12.75"/>
    <row r="56584" ht="12.75"/>
    <row r="56585" ht="12.75"/>
    <row r="56586" ht="12.75"/>
    <row r="56587" ht="12.75"/>
    <row r="56588" ht="12.75"/>
    <row r="56589" ht="12.75"/>
    <row r="56590" ht="12.75"/>
    <row r="56591" ht="12.75"/>
    <row r="56592" ht="12.75"/>
    <row r="56593" ht="12.75"/>
    <row r="56594" ht="12.75"/>
    <row r="56595" ht="12.75"/>
    <row r="56596" ht="12.75"/>
    <row r="56597" ht="12.75"/>
    <row r="56598" ht="12.75"/>
    <row r="56599" ht="12.75"/>
    <row r="56600" ht="12.75"/>
    <row r="56601" ht="12.75"/>
    <row r="56602" ht="12.75"/>
    <row r="56603" ht="12.75"/>
    <row r="56604" ht="12.75"/>
    <row r="56605" ht="12.75"/>
    <row r="56606" ht="12.75"/>
    <row r="56607" ht="12.75"/>
    <row r="56608" ht="12.75"/>
    <row r="56609" ht="12.75"/>
    <row r="56610" ht="12.75"/>
    <row r="56611" ht="12.75"/>
    <row r="56612" ht="12.75"/>
    <row r="56613" ht="12.75"/>
    <row r="56614" ht="12.75"/>
    <row r="56615" ht="12.75"/>
    <row r="56616" ht="12.75"/>
    <row r="56617" ht="12.75"/>
    <row r="56618" ht="12.75"/>
    <row r="56619" ht="12.75"/>
    <row r="56620" ht="12.75"/>
    <row r="56621" ht="12.75"/>
    <row r="56622" ht="12.75"/>
    <row r="56623" ht="12.75"/>
    <row r="56624" ht="12.75"/>
    <row r="56625" ht="12.75"/>
    <row r="56626" ht="12.75"/>
    <row r="56627" ht="12.75"/>
    <row r="56628" ht="12.75"/>
    <row r="56629" ht="12.75"/>
    <row r="56630" ht="12.75"/>
    <row r="56631" ht="12.75"/>
    <row r="56632" ht="12.75"/>
    <row r="56633" ht="12.75"/>
    <row r="56634" ht="12.75"/>
    <row r="56635" ht="12.75"/>
    <row r="56636" ht="12.75"/>
    <row r="56637" ht="12.75"/>
    <row r="56638" ht="12.75"/>
    <row r="56639" ht="12.75"/>
    <row r="56640" ht="12.75"/>
    <row r="56641" ht="12.75"/>
    <row r="56642" ht="12.75"/>
    <row r="56643" ht="12.75"/>
    <row r="56644" ht="12.75"/>
    <row r="56645" ht="12.75"/>
    <row r="56646" ht="12.75"/>
    <row r="56647" ht="12.75"/>
    <row r="56648" ht="12.75"/>
    <row r="56649" ht="12.75"/>
    <row r="56650" ht="12.75"/>
    <row r="56651" ht="12.75"/>
    <row r="56652" ht="12.75"/>
    <row r="56653" ht="12.75"/>
    <row r="56654" ht="12.75"/>
    <row r="56655" ht="12.75"/>
    <row r="56656" ht="12.75"/>
    <row r="56657" ht="12.75"/>
    <row r="56658" ht="12.75"/>
    <row r="56659" ht="12.75"/>
    <row r="56660" ht="12.75"/>
    <row r="56661" ht="12.75"/>
    <row r="56662" ht="12.75"/>
    <row r="56663" ht="12.75"/>
    <row r="56664" ht="12.75"/>
    <row r="56665" ht="12.75"/>
    <row r="56666" ht="12.75"/>
    <row r="56667" ht="12.75"/>
    <row r="56668" ht="12.75"/>
    <row r="56669" ht="12.75"/>
    <row r="56670" ht="12.75"/>
    <row r="56671" ht="12.75"/>
    <row r="56672" ht="12.75"/>
    <row r="56673" ht="12.75"/>
    <row r="56674" ht="12.75"/>
    <row r="56675" ht="12.75"/>
    <row r="56676" ht="12.75"/>
    <row r="56677" ht="12.75"/>
    <row r="56678" ht="12.75"/>
    <row r="56679" ht="12.75"/>
    <row r="56680" ht="12.75"/>
    <row r="56681" ht="12.75"/>
    <row r="56682" ht="12.75"/>
    <row r="56683" ht="12.75"/>
    <row r="56684" ht="12.75"/>
    <row r="56685" ht="12.75"/>
    <row r="56686" ht="12.75"/>
    <row r="56687" ht="12.75"/>
    <row r="56688" ht="12.75"/>
    <row r="56689" ht="12.75"/>
    <row r="56690" ht="12.75"/>
    <row r="56691" ht="12.75"/>
    <row r="56692" ht="12.75"/>
    <row r="56693" ht="12.75"/>
    <row r="56694" ht="12.75"/>
    <row r="56695" ht="12.75"/>
    <row r="56696" ht="12.75"/>
    <row r="56697" ht="12.75"/>
    <row r="56698" ht="12.75"/>
    <row r="56699" ht="12.75"/>
    <row r="56700" ht="12.75"/>
    <row r="56701" ht="12.75"/>
    <row r="56702" ht="12.75"/>
    <row r="56703" ht="12.75"/>
    <row r="56704" ht="12.75"/>
    <row r="56705" ht="12.75"/>
    <row r="56706" ht="12.75"/>
    <row r="56707" ht="12.75"/>
    <row r="56708" ht="12.75"/>
    <row r="56709" ht="12.75"/>
    <row r="56710" ht="12.75"/>
    <row r="56711" ht="12.75"/>
    <row r="56712" ht="12.75"/>
    <row r="56713" ht="12.75"/>
    <row r="56714" ht="12.75"/>
    <row r="56715" ht="12.75"/>
    <row r="56716" ht="12.75"/>
    <row r="56717" ht="12.75"/>
    <row r="56718" ht="12.75"/>
    <row r="56719" ht="12.75"/>
    <row r="56720" ht="12.75"/>
    <row r="56721" ht="12.75"/>
    <row r="56722" ht="12.75"/>
    <row r="56723" ht="12.75"/>
    <row r="56724" ht="12.75"/>
    <row r="56725" ht="12.75"/>
    <row r="56726" ht="12.75"/>
    <row r="56727" ht="12.75"/>
    <row r="56728" ht="12.75"/>
    <row r="56729" ht="12.75"/>
    <row r="56730" ht="12.75"/>
    <row r="56731" ht="12.75"/>
    <row r="56732" ht="12.75"/>
    <row r="56733" ht="12.75"/>
    <row r="56734" ht="12.75"/>
    <row r="56735" ht="12.75"/>
    <row r="56736" ht="12.75"/>
    <row r="56737" ht="12.75"/>
    <row r="56738" ht="12.75"/>
    <row r="56739" ht="12.75"/>
    <row r="56740" ht="12.75"/>
    <row r="56741" ht="12.75"/>
    <row r="56742" ht="12.75"/>
    <row r="56743" ht="12.75"/>
    <row r="56744" ht="12.75"/>
    <row r="56745" ht="12.75"/>
    <row r="56746" ht="12.75"/>
    <row r="56747" ht="12.75"/>
    <row r="56748" ht="12.75"/>
    <row r="56749" ht="12.75"/>
    <row r="56750" ht="12.75"/>
    <row r="56751" ht="12.75"/>
    <row r="56752" ht="12.75"/>
    <row r="56753" ht="12.75"/>
    <row r="56754" ht="12.75"/>
    <row r="56755" ht="12.75"/>
    <row r="56756" ht="12.75"/>
    <row r="56757" ht="12.75"/>
    <row r="56758" ht="12.75"/>
    <row r="56759" ht="12.75"/>
    <row r="56760" ht="12.75"/>
    <row r="56761" ht="12.75"/>
    <row r="56762" ht="12.75"/>
    <row r="56763" ht="12.75"/>
    <row r="56764" ht="12.75"/>
    <row r="56765" ht="12.75"/>
    <row r="56766" ht="12.75"/>
    <row r="56767" ht="12.75"/>
    <row r="56768" ht="12.75"/>
    <row r="56769" ht="12.75"/>
    <row r="56770" ht="12.75"/>
    <row r="56771" ht="12.75"/>
    <row r="56772" ht="12.75"/>
    <row r="56773" ht="12.75"/>
    <row r="56774" ht="12.75"/>
    <row r="56775" ht="12.75"/>
    <row r="56776" ht="12.75"/>
    <row r="56777" ht="12.75"/>
    <row r="56778" ht="12.75"/>
    <row r="56779" ht="12.75"/>
    <row r="56780" ht="12.75"/>
    <row r="56781" ht="12.75"/>
    <row r="56782" ht="12.75"/>
    <row r="56783" ht="12.75"/>
    <row r="56784" ht="12.75"/>
    <row r="56785" ht="12.75"/>
    <row r="56786" ht="12.75"/>
    <row r="56787" ht="12.75"/>
    <row r="56788" ht="12.75"/>
    <row r="56789" ht="12.75"/>
    <row r="56790" ht="12.75"/>
    <row r="56791" ht="12.75"/>
    <row r="56792" ht="12.75"/>
    <row r="56793" ht="12.75"/>
    <row r="56794" ht="12.75"/>
    <row r="56795" ht="12.75"/>
    <row r="56796" ht="12.75"/>
    <row r="56797" ht="12.75"/>
    <row r="56798" ht="12.75"/>
    <row r="56799" ht="12.75"/>
    <row r="56800" ht="12.75"/>
    <row r="56801" ht="12.75"/>
    <row r="56802" ht="12.75"/>
    <row r="56803" ht="12.75"/>
    <row r="56804" ht="12.75"/>
    <row r="56805" ht="12.75"/>
    <row r="56806" ht="12.75"/>
    <row r="56807" ht="12.75"/>
    <row r="56808" ht="12.75"/>
    <row r="56809" ht="12.75"/>
    <row r="56810" ht="12.75"/>
    <row r="56811" ht="12.75"/>
    <row r="56812" ht="12.75"/>
    <row r="56813" ht="12.75"/>
    <row r="56814" ht="12.75"/>
    <row r="56815" ht="12.75"/>
    <row r="56816" ht="12.75"/>
    <row r="56817" ht="12.75"/>
    <row r="56818" ht="12.75"/>
    <row r="56819" ht="12.75"/>
    <row r="56820" ht="12.75"/>
    <row r="56821" ht="12.75"/>
    <row r="56822" ht="12.75"/>
    <row r="56823" ht="12.75"/>
    <row r="56824" ht="12.75"/>
    <row r="56825" ht="12.75"/>
    <row r="56826" ht="12.75"/>
    <row r="56827" ht="12.75"/>
    <row r="56828" ht="12.75"/>
    <row r="56829" ht="12.75"/>
    <row r="56830" ht="12.75"/>
    <row r="56831" ht="12.75"/>
    <row r="56832" ht="12.75"/>
    <row r="56833" ht="12.75"/>
    <row r="56834" ht="12.75"/>
    <row r="56835" ht="12.75"/>
    <row r="56836" ht="12.75"/>
    <row r="56837" ht="12.75"/>
    <row r="56838" ht="12.75"/>
    <row r="56839" ht="12.75"/>
    <row r="56840" ht="12.75"/>
    <row r="56841" ht="12.75"/>
    <row r="56842" ht="12.75"/>
    <row r="56843" ht="12.75"/>
    <row r="56844" ht="12.75"/>
    <row r="56845" ht="12.75"/>
    <row r="56846" ht="12.75"/>
    <row r="56847" ht="12.75"/>
    <row r="56848" ht="12.75"/>
    <row r="56849" ht="12.75"/>
    <row r="56850" ht="12.75"/>
    <row r="56851" ht="12.75"/>
    <row r="56852" ht="12.75"/>
    <row r="56853" ht="12.75"/>
    <row r="56854" ht="12.75"/>
    <row r="56855" ht="12.75"/>
    <row r="56856" ht="12.75"/>
    <row r="56857" ht="12.75"/>
    <row r="56858" ht="12.75"/>
    <row r="56859" ht="12.75"/>
    <row r="56860" ht="12.75"/>
    <row r="56861" ht="12.75"/>
    <row r="56862" ht="12.75"/>
    <row r="56863" ht="12.75"/>
    <row r="56864" ht="12.75"/>
    <row r="56865" ht="12.75"/>
    <row r="56866" ht="12.75"/>
    <row r="56867" ht="12.75"/>
    <row r="56868" ht="12.75"/>
    <row r="56869" ht="12.75"/>
    <row r="56870" ht="12.75"/>
    <row r="56871" ht="12.75"/>
    <row r="56872" ht="12.75"/>
    <row r="56873" ht="12.75"/>
    <row r="56874" ht="12.75"/>
    <row r="56875" ht="12.75"/>
    <row r="56876" ht="12.75"/>
    <row r="56877" ht="12.75"/>
    <row r="56878" ht="12.75"/>
    <row r="56879" ht="12.75"/>
    <row r="56880" ht="12.75"/>
    <row r="56881" ht="12.75"/>
    <row r="56882" ht="12.75"/>
    <row r="56883" ht="12.75"/>
    <row r="56884" ht="12.75"/>
    <row r="56885" ht="12.75"/>
    <row r="56886" ht="12.75"/>
    <row r="56887" ht="12.75"/>
    <row r="56888" ht="12.75"/>
    <row r="56889" ht="12.75"/>
    <row r="56890" ht="12.75"/>
    <row r="56891" ht="12.75"/>
    <row r="56892" ht="12.75"/>
    <row r="56893" ht="12.75"/>
    <row r="56894" ht="12.75"/>
    <row r="56895" ht="12.75"/>
    <row r="56896" ht="12.75"/>
    <row r="56897" ht="12.75"/>
    <row r="56898" ht="12.75"/>
    <row r="56899" ht="12.75"/>
    <row r="56900" ht="12.75"/>
    <row r="56901" ht="12.75"/>
    <row r="56902" ht="12.75"/>
    <row r="56903" ht="12.75"/>
    <row r="56904" ht="12.75"/>
    <row r="56905" ht="12.75"/>
    <row r="56906" ht="12.75"/>
    <row r="56907" ht="12.75"/>
    <row r="56908" ht="12.75"/>
    <row r="56909" ht="12.75"/>
    <row r="56910" ht="12.75"/>
    <row r="56911" ht="12.75"/>
    <row r="56912" ht="12.75"/>
    <row r="56913" ht="12.75"/>
    <row r="56914" ht="12.75"/>
    <row r="56915" ht="12.75"/>
    <row r="56916" ht="12.75"/>
    <row r="56917" ht="12.75"/>
    <row r="56918" ht="12.75"/>
    <row r="56919" ht="12.75"/>
    <row r="56920" ht="12.75"/>
    <row r="56921" ht="12.75"/>
    <row r="56922" ht="12.75"/>
    <row r="56923" ht="12.75"/>
    <row r="56924" ht="12.75"/>
    <row r="56925" ht="12.75"/>
    <row r="56926" ht="12.75"/>
    <row r="56927" ht="12.75"/>
    <row r="56928" ht="12.75"/>
    <row r="56929" ht="12.75"/>
    <row r="56930" ht="12.75"/>
    <row r="56931" ht="12.75"/>
    <row r="56932" ht="12.75"/>
    <row r="56933" ht="12.75"/>
    <row r="56934" ht="12.75"/>
    <row r="56935" ht="12.75"/>
    <row r="56936" ht="12.75"/>
    <row r="56937" ht="12.75"/>
    <row r="56938" ht="12.75"/>
    <row r="56939" ht="12.75"/>
    <row r="56940" ht="12.75"/>
    <row r="56941" ht="12.75"/>
    <row r="56942" ht="12.75"/>
    <row r="56943" ht="12.75"/>
    <row r="56944" ht="12.75"/>
    <row r="56945" ht="12.75"/>
    <row r="56946" ht="12.75"/>
    <row r="56947" ht="12.75"/>
    <row r="56948" ht="12.75"/>
    <row r="56949" ht="12.75"/>
    <row r="56950" ht="12.75"/>
    <row r="56951" ht="12.75"/>
    <row r="56952" ht="12.75"/>
    <row r="56953" ht="12.75"/>
    <row r="56954" ht="12.75"/>
    <row r="56955" ht="12.75"/>
    <row r="56956" ht="12.75"/>
    <row r="56957" ht="12.75"/>
    <row r="56958" ht="12.75"/>
    <row r="56959" ht="12.75"/>
    <row r="56960" ht="12.75"/>
    <row r="56961" ht="12.75"/>
    <row r="56962" ht="12.75"/>
    <row r="56963" ht="12.75"/>
    <row r="56964" ht="12.75"/>
    <row r="56965" ht="12.75"/>
    <row r="56966" ht="12.75"/>
    <row r="56967" ht="12.75"/>
    <row r="56968" ht="12.75"/>
    <row r="56969" ht="12.75"/>
    <row r="56970" ht="12.75"/>
    <row r="56971" ht="12.75"/>
    <row r="56972" ht="12.75"/>
    <row r="56973" ht="12.75"/>
    <row r="56974" ht="12.75"/>
    <row r="56975" ht="12.75"/>
    <row r="56976" ht="12.75"/>
    <row r="56977" ht="12.75"/>
    <row r="56978" ht="12.75"/>
    <row r="56979" ht="12.75"/>
    <row r="56980" ht="12.75"/>
    <row r="56981" ht="12.75"/>
    <row r="56982" ht="12.75"/>
    <row r="56983" ht="12.75"/>
    <row r="56984" ht="12.75"/>
    <row r="56985" ht="12.75"/>
    <row r="56986" ht="12.75"/>
    <row r="56987" ht="12.75"/>
    <row r="56988" ht="12.75"/>
    <row r="56989" ht="12.75"/>
    <row r="56990" ht="12.75"/>
    <row r="56991" ht="12.75"/>
    <row r="56992" ht="12.75"/>
    <row r="56993" ht="12.75"/>
    <row r="56994" ht="12.75"/>
    <row r="56995" ht="12.75"/>
    <row r="56996" ht="12.75"/>
    <row r="56997" ht="12.75"/>
    <row r="56998" ht="12.75"/>
    <row r="56999" ht="12.75"/>
    <row r="57000" ht="12.75"/>
    <row r="57001" ht="12.75"/>
    <row r="57002" ht="12.75"/>
    <row r="57003" ht="12.75"/>
    <row r="57004" ht="12.75"/>
    <row r="57005" ht="12.75"/>
    <row r="57006" ht="12.75"/>
    <row r="57007" ht="12.75"/>
    <row r="57008" ht="12.75"/>
    <row r="57009" ht="12.75"/>
    <row r="57010" ht="12.75"/>
    <row r="57011" ht="12.75"/>
    <row r="57012" ht="12.75"/>
    <row r="57013" ht="12.75"/>
    <row r="57014" ht="12.75"/>
    <row r="57015" ht="12.75"/>
    <row r="57016" ht="12.75"/>
    <row r="57017" ht="12.75"/>
    <row r="57018" ht="12.75"/>
    <row r="57019" ht="12.75"/>
    <row r="57020" ht="12.75"/>
    <row r="57021" ht="12.75"/>
    <row r="57022" ht="12.75"/>
    <row r="57023" ht="12.75"/>
    <row r="57024" ht="12.75"/>
    <row r="57025" ht="12.75"/>
    <row r="57026" ht="12.75"/>
    <row r="57027" ht="12.75"/>
    <row r="57028" ht="12.75"/>
    <row r="57029" ht="12.75"/>
    <row r="57030" ht="12.75"/>
    <row r="57031" ht="12.75"/>
    <row r="57032" ht="12.75"/>
    <row r="57033" ht="12.75"/>
    <row r="57034" ht="12.75"/>
    <row r="57035" ht="12.75"/>
    <row r="57036" ht="12.75"/>
    <row r="57037" ht="12.75"/>
    <row r="57038" ht="12.75"/>
    <row r="57039" ht="12.75"/>
    <row r="57040" ht="12.75"/>
    <row r="57041" ht="12.75"/>
    <row r="57042" ht="12.75"/>
    <row r="57043" ht="12.75"/>
    <row r="57044" ht="12.75"/>
    <row r="57045" ht="12.75"/>
    <row r="57046" ht="12.75"/>
    <row r="57047" ht="12.75"/>
    <row r="57048" ht="12.75"/>
    <row r="57049" ht="12.75"/>
    <row r="57050" ht="12.75"/>
    <row r="57051" ht="12.75"/>
    <row r="57052" ht="12.75"/>
    <row r="57053" ht="12.75"/>
    <row r="57054" ht="12.75"/>
    <row r="57055" ht="12.75"/>
    <row r="57056" ht="12.75"/>
    <row r="57057" ht="12.75"/>
    <row r="57058" ht="12.75"/>
    <row r="57059" ht="12.75"/>
    <row r="57060" ht="12.75"/>
    <row r="57061" ht="12.75"/>
    <row r="57062" ht="12.75"/>
    <row r="57063" ht="12.75"/>
    <row r="57064" ht="12.75"/>
    <row r="57065" ht="12.75"/>
    <row r="57066" ht="12.75"/>
    <row r="57067" ht="12.75"/>
    <row r="57068" ht="12.75"/>
    <row r="57069" ht="12.75"/>
    <row r="57070" ht="12.75"/>
    <row r="57071" ht="12.75"/>
    <row r="57072" ht="12.75"/>
    <row r="57073" ht="12.75"/>
    <row r="57074" ht="12.75"/>
    <row r="57075" ht="12.75"/>
    <row r="57076" ht="12.75"/>
    <row r="57077" ht="12.75"/>
    <row r="57078" ht="12.75"/>
    <row r="57079" ht="12.75"/>
    <row r="57080" ht="12.75"/>
    <row r="57081" ht="12.75"/>
    <row r="57082" ht="12.75"/>
    <row r="57083" ht="12.75"/>
    <row r="57084" ht="12.75"/>
    <row r="57085" ht="12.75"/>
    <row r="57086" ht="12.75"/>
    <row r="57087" ht="12.75"/>
    <row r="57088" ht="12.75"/>
    <row r="57089" ht="12.75"/>
    <row r="57090" ht="12.75"/>
    <row r="57091" ht="12.75"/>
    <row r="57092" ht="12.75"/>
    <row r="57093" ht="12.75"/>
    <row r="57094" ht="12.75"/>
    <row r="57095" ht="12.75"/>
    <row r="57096" ht="12.75"/>
    <row r="57097" ht="12.75"/>
    <row r="57098" ht="12.75"/>
    <row r="57099" ht="12.75"/>
    <row r="57100" ht="12.75"/>
    <row r="57101" ht="12.75"/>
    <row r="57102" ht="12.75"/>
    <row r="57103" ht="12.75"/>
    <row r="57104" ht="12.75"/>
    <row r="57105" ht="12.75"/>
    <row r="57106" ht="12.75"/>
    <row r="57107" ht="12.75"/>
    <row r="57108" ht="12.75"/>
    <row r="57109" ht="12.75"/>
    <row r="57110" ht="12.75"/>
    <row r="57111" ht="12.75"/>
    <row r="57112" ht="12.75"/>
    <row r="57113" ht="12.75"/>
    <row r="57114" ht="12.75"/>
    <row r="57115" ht="12.75"/>
    <row r="57116" ht="12.75"/>
    <row r="57117" ht="12.75"/>
    <row r="57118" ht="12.75"/>
    <row r="57119" ht="12.75"/>
    <row r="57120" ht="12.75"/>
    <row r="57121" ht="12.75"/>
    <row r="57122" ht="12.75"/>
    <row r="57123" ht="12.75"/>
    <row r="57124" ht="12.75"/>
    <row r="57125" ht="12.75"/>
    <row r="57126" ht="12.75"/>
    <row r="57127" ht="12.75"/>
    <row r="57128" ht="12.75"/>
    <row r="57129" ht="12.75"/>
    <row r="57130" ht="12.75"/>
    <row r="57131" ht="12.75"/>
    <row r="57132" ht="12.75"/>
    <row r="57133" ht="12.75"/>
    <row r="57134" ht="12.75"/>
    <row r="57135" ht="12.75"/>
    <row r="57136" ht="12.75"/>
    <row r="57137" ht="12.75"/>
    <row r="57138" ht="12.75"/>
    <row r="57139" ht="12.75"/>
    <row r="57140" ht="12.75"/>
    <row r="57141" ht="12.75"/>
    <row r="57142" ht="12.75"/>
    <row r="57143" ht="12.75"/>
    <row r="57144" ht="12.75"/>
    <row r="57145" ht="12.75"/>
    <row r="57146" ht="12.75"/>
    <row r="57147" ht="12.75"/>
    <row r="57148" ht="12.75"/>
    <row r="57149" ht="12.75"/>
    <row r="57150" ht="12.75"/>
    <row r="57151" ht="12.75"/>
    <row r="57152" ht="12.75"/>
    <row r="57153" ht="12.75"/>
    <row r="57154" ht="12.75"/>
    <row r="57155" ht="12.75"/>
    <row r="57156" ht="12.75"/>
    <row r="57157" ht="12.75"/>
    <row r="57158" ht="12.75"/>
    <row r="57159" ht="12.75"/>
    <row r="57160" ht="12.75"/>
    <row r="57161" ht="12.75"/>
    <row r="57162" ht="12.75"/>
    <row r="57163" ht="12.75"/>
    <row r="57164" ht="12.75"/>
    <row r="57165" ht="12.75"/>
    <row r="57166" ht="12.75"/>
    <row r="57167" ht="12.75"/>
    <row r="57168" ht="12.75"/>
    <row r="57169" ht="12.75"/>
    <row r="57170" ht="12.75"/>
    <row r="57171" ht="12.75"/>
    <row r="57172" ht="12.75"/>
    <row r="57173" ht="12.75"/>
    <row r="57174" ht="12.75"/>
    <row r="57175" ht="12.75"/>
    <row r="57176" ht="12.75"/>
    <row r="57177" ht="12.75"/>
    <row r="57178" ht="12.75"/>
    <row r="57179" ht="12.75"/>
    <row r="57180" ht="12.75"/>
    <row r="57181" ht="12.75"/>
    <row r="57182" ht="12.75"/>
    <row r="57183" ht="12.75"/>
    <row r="57184" ht="12.75"/>
    <row r="57185" ht="12.75"/>
    <row r="57186" ht="12.75"/>
    <row r="57187" ht="12.75"/>
    <row r="57188" ht="12.75"/>
    <row r="57189" ht="12.75"/>
    <row r="57190" ht="12.75"/>
    <row r="57191" ht="12.75"/>
    <row r="57192" ht="12.75"/>
    <row r="57193" ht="12.75"/>
    <row r="57194" ht="12.75"/>
    <row r="57195" ht="12.75"/>
    <row r="57196" ht="12.75"/>
    <row r="57197" ht="12.75"/>
    <row r="57198" ht="12.75"/>
    <row r="57199" ht="12.75"/>
    <row r="57200" ht="12.75"/>
    <row r="57201" ht="12.75"/>
    <row r="57202" ht="12.75"/>
    <row r="57203" ht="12.75"/>
    <row r="57204" ht="12.75"/>
    <row r="57205" ht="12.75"/>
    <row r="57206" ht="12.75"/>
    <row r="57207" ht="12.75"/>
    <row r="57208" ht="12.75"/>
    <row r="57209" ht="12.75"/>
    <row r="57210" ht="12.75"/>
    <row r="57211" ht="12.75"/>
    <row r="57212" ht="12.75"/>
    <row r="57213" ht="12.75"/>
    <row r="57214" ht="12.75"/>
    <row r="57215" ht="12.75"/>
    <row r="57216" ht="12.75"/>
    <row r="57217" ht="12.75"/>
    <row r="57218" ht="12.75"/>
    <row r="57219" ht="12.75"/>
    <row r="57220" ht="12.75"/>
    <row r="57221" ht="12.75"/>
    <row r="57222" ht="12.75"/>
    <row r="57223" ht="12.75"/>
    <row r="57224" ht="12.75"/>
    <row r="57225" ht="12.75"/>
    <row r="57226" ht="12.75"/>
    <row r="57227" ht="12.75"/>
    <row r="57228" ht="12.75"/>
    <row r="57229" ht="12.75"/>
    <row r="57230" ht="12.75"/>
    <row r="57231" ht="12.75"/>
    <row r="57232" ht="12.75"/>
    <row r="57233" ht="12.75"/>
    <row r="57234" ht="12.75"/>
    <row r="57235" ht="12.75"/>
    <row r="57236" ht="12.75"/>
    <row r="57237" ht="12.75"/>
    <row r="57238" ht="12.75"/>
    <row r="57239" ht="12.75"/>
    <row r="57240" ht="12.75"/>
    <row r="57241" ht="12.75"/>
    <row r="57242" ht="12.75"/>
    <row r="57243" ht="12.75"/>
    <row r="57244" ht="12.75"/>
    <row r="57245" ht="12.75"/>
    <row r="57246" ht="12.75"/>
    <row r="57247" ht="12.75"/>
    <row r="57248" ht="12.75"/>
    <row r="57249" ht="12.75"/>
    <row r="57250" ht="12.75"/>
    <row r="57251" ht="12.75"/>
    <row r="57252" ht="12.75"/>
    <row r="57253" ht="12.75"/>
    <row r="57254" ht="12.75"/>
    <row r="57255" ht="12.75"/>
    <row r="57256" ht="12.75"/>
    <row r="57257" ht="12.75"/>
    <row r="57258" ht="12.75"/>
    <row r="57259" ht="12.75"/>
    <row r="57260" ht="12.75"/>
    <row r="57261" ht="12.75"/>
    <row r="57262" ht="12.75"/>
    <row r="57263" ht="12.75"/>
    <row r="57264" ht="12.75"/>
    <row r="57265" ht="12.75"/>
    <row r="57266" ht="12.75"/>
    <row r="57267" ht="12.75"/>
    <row r="57268" ht="12.75"/>
    <row r="57269" ht="12.75"/>
    <row r="57270" ht="12.75"/>
    <row r="57271" ht="12.75"/>
    <row r="57272" ht="12.75"/>
    <row r="57273" ht="12.75"/>
    <row r="57274" ht="12.75"/>
    <row r="57275" ht="12.75"/>
    <row r="57276" ht="12.75"/>
    <row r="57277" ht="12.75"/>
    <row r="57278" ht="12.75"/>
    <row r="57279" ht="12.75"/>
    <row r="57280" ht="12.75"/>
    <row r="57281" ht="12.75"/>
    <row r="57282" ht="12.75"/>
    <row r="57283" ht="12.75"/>
    <row r="57284" ht="12.75"/>
    <row r="57285" ht="12.75"/>
    <row r="57286" ht="12.75"/>
    <row r="57287" ht="12.75"/>
    <row r="57288" ht="12.75"/>
    <row r="57289" ht="12.75"/>
    <row r="57290" ht="12.75"/>
    <row r="57291" ht="12.75"/>
    <row r="57292" ht="12.75"/>
    <row r="57293" ht="12.75"/>
    <row r="57294" ht="12.75"/>
    <row r="57295" ht="12.75"/>
    <row r="57296" ht="12.75"/>
    <row r="57297" ht="12.75"/>
    <row r="57298" ht="12.75"/>
    <row r="57299" ht="12.75"/>
    <row r="57300" ht="12.75"/>
    <row r="57301" ht="12.75"/>
    <row r="57302" ht="12.75"/>
    <row r="57303" ht="12.75"/>
    <row r="57304" ht="12.75"/>
    <row r="57305" ht="12.75"/>
    <row r="57306" ht="12.75"/>
    <row r="57307" ht="12.75"/>
    <row r="57308" ht="12.75"/>
    <row r="57309" ht="12.75"/>
    <row r="57310" ht="12.75"/>
    <row r="57311" ht="12.75"/>
    <row r="57312" ht="12.75"/>
    <row r="57313" ht="12.75"/>
    <row r="57314" ht="12.75"/>
    <row r="57315" ht="12.75"/>
    <row r="57316" ht="12.75"/>
    <row r="57317" ht="12.75"/>
    <row r="57318" ht="12.75"/>
    <row r="57319" ht="12.75"/>
    <row r="57320" ht="12.75"/>
    <row r="57321" ht="12.75"/>
    <row r="57322" ht="12.75"/>
    <row r="57323" ht="12.75"/>
    <row r="57324" ht="12.75"/>
    <row r="57325" ht="12.75"/>
    <row r="57326" ht="12.75"/>
    <row r="57327" ht="12.75"/>
    <row r="57328" ht="12.75"/>
    <row r="57329" ht="12.75"/>
    <row r="57330" ht="12.75"/>
    <row r="57331" ht="12.75"/>
    <row r="57332" ht="12.75"/>
    <row r="57333" ht="12.75"/>
    <row r="57334" ht="12.75"/>
    <row r="57335" ht="12.75"/>
    <row r="57336" ht="12.75"/>
    <row r="57337" ht="12.75"/>
    <row r="57338" ht="12.75"/>
    <row r="57339" ht="12.75"/>
    <row r="57340" ht="12.75"/>
    <row r="57341" ht="12.75"/>
    <row r="57342" ht="12.75"/>
    <row r="57343" ht="12.75"/>
    <row r="57344" ht="12.75"/>
    <row r="57345" ht="12.75"/>
    <row r="57346" ht="12.75"/>
    <row r="57347" ht="12.75"/>
    <row r="57348" ht="12.75"/>
    <row r="57349" ht="12.75"/>
    <row r="57350" ht="12.75"/>
    <row r="57351" ht="12.75"/>
    <row r="57352" ht="12.75"/>
    <row r="57353" ht="12.75"/>
    <row r="57354" ht="12.75"/>
    <row r="57355" ht="12.75"/>
    <row r="57356" ht="12.75"/>
    <row r="57357" ht="12.75"/>
    <row r="57358" ht="12.75"/>
    <row r="57359" ht="12.75"/>
    <row r="57360" ht="12.75"/>
    <row r="57361" ht="12.75"/>
    <row r="57362" ht="12.75"/>
    <row r="57363" ht="12.75"/>
    <row r="57364" ht="12.75"/>
    <row r="57365" ht="12.75"/>
    <row r="57366" ht="12.75"/>
    <row r="57367" ht="12.75"/>
    <row r="57368" ht="12.75"/>
    <row r="57369" ht="12.75"/>
    <row r="57370" ht="12.75"/>
    <row r="57371" ht="12.75"/>
    <row r="57372" ht="12.75"/>
    <row r="57373" ht="12.75"/>
    <row r="57374" ht="12.75"/>
    <row r="57375" ht="12.75"/>
    <row r="57376" ht="12.75"/>
    <row r="57377" ht="12.75"/>
    <row r="57378" ht="12.75"/>
    <row r="57379" ht="12.75"/>
    <row r="57380" ht="12.75"/>
    <row r="57381" ht="12.75"/>
    <row r="57382" ht="12.75"/>
    <row r="57383" ht="12.75"/>
    <row r="57384" ht="12.75"/>
    <row r="57385" ht="12.75"/>
    <row r="57386" ht="12.75"/>
    <row r="57387" ht="12.75"/>
    <row r="57388" ht="12.75"/>
    <row r="57389" ht="12.75"/>
    <row r="57390" ht="12.75"/>
    <row r="57391" ht="12.75"/>
    <row r="57392" ht="12.75"/>
    <row r="57393" ht="12.75"/>
    <row r="57394" ht="12.75"/>
    <row r="57395" ht="12.75"/>
    <row r="57396" ht="12.75"/>
    <row r="57397" ht="12.75"/>
    <row r="57398" ht="12.75"/>
    <row r="57399" ht="12.75"/>
    <row r="57400" ht="12.75"/>
    <row r="57401" ht="12.75"/>
    <row r="57402" ht="12.75"/>
    <row r="57403" ht="12.75"/>
    <row r="57404" ht="12.75"/>
    <row r="57405" ht="12.75"/>
    <row r="57406" ht="12.75"/>
    <row r="57407" ht="12.75"/>
    <row r="57408" ht="12.75"/>
    <row r="57409" ht="12.75"/>
    <row r="57410" ht="12.75"/>
    <row r="57411" ht="12.75"/>
    <row r="57412" ht="12.75"/>
    <row r="57413" ht="12.75"/>
    <row r="57414" ht="12.75"/>
    <row r="57415" ht="12.75"/>
    <row r="57416" ht="12.75"/>
    <row r="57417" ht="12.75"/>
    <row r="57418" ht="12.75"/>
    <row r="57419" ht="12.75"/>
    <row r="57420" ht="12.75"/>
    <row r="57421" ht="12.75"/>
    <row r="57422" ht="12.75"/>
    <row r="57423" ht="12.75"/>
    <row r="57424" ht="12.75"/>
    <row r="57425" ht="12.75"/>
    <row r="57426" ht="12.75"/>
    <row r="57427" ht="12.75"/>
    <row r="57428" ht="12.75"/>
    <row r="57429" ht="12.75"/>
    <row r="57430" ht="12.75"/>
    <row r="57431" ht="12.75"/>
    <row r="57432" ht="12.75"/>
    <row r="57433" ht="12.75"/>
    <row r="57434" ht="12.75"/>
    <row r="57435" ht="12.75"/>
    <row r="57436" ht="12.75"/>
    <row r="57437" ht="12.75"/>
    <row r="57438" ht="12.75"/>
    <row r="57439" ht="12.75"/>
    <row r="57440" ht="12.75"/>
    <row r="57441" ht="12.75"/>
    <row r="57442" ht="12.75"/>
    <row r="57443" ht="12.75"/>
    <row r="57444" ht="12.75"/>
    <row r="57445" ht="12.75"/>
    <row r="57446" ht="12.75"/>
    <row r="57447" ht="12.75"/>
    <row r="57448" ht="12.75"/>
    <row r="57449" ht="12.75"/>
    <row r="57450" ht="12.75"/>
    <row r="57451" ht="12.75"/>
    <row r="57452" ht="12.75"/>
    <row r="57453" ht="12.75"/>
    <row r="57454" ht="12.75"/>
    <row r="57455" ht="12.75"/>
    <row r="57456" ht="12.75"/>
    <row r="57457" ht="12.75"/>
    <row r="57458" ht="12.75"/>
    <row r="57459" ht="12.75"/>
    <row r="57460" ht="12.75"/>
    <row r="57461" ht="12.75"/>
    <row r="57462" ht="12.75"/>
    <row r="57463" ht="12.75"/>
    <row r="57464" ht="12.75"/>
    <row r="57465" ht="12.75"/>
    <row r="57466" ht="12.75"/>
    <row r="57467" ht="12.75"/>
    <row r="57468" ht="12.75"/>
    <row r="57469" ht="12.75"/>
    <row r="57470" ht="12.75"/>
    <row r="57471" ht="12.75"/>
    <row r="57472" ht="12.75"/>
    <row r="57473" ht="12.75"/>
    <row r="57474" ht="12.75"/>
    <row r="57475" ht="12.75"/>
    <row r="57476" ht="12.75"/>
    <row r="57477" ht="12.75"/>
    <row r="57478" ht="12.75"/>
    <row r="57479" ht="12.75"/>
    <row r="57480" ht="12.75"/>
    <row r="57481" ht="12.75"/>
    <row r="57482" ht="12.75"/>
    <row r="57483" ht="12.75"/>
    <row r="57484" ht="12.75"/>
    <row r="57485" ht="12.75"/>
    <row r="57486" ht="12.75"/>
    <row r="57487" ht="12.75"/>
    <row r="57488" ht="12.75"/>
    <row r="57489" ht="12.75"/>
    <row r="57490" ht="12.75"/>
    <row r="57491" ht="12.75"/>
    <row r="57492" ht="12.75"/>
    <row r="57493" ht="12.75"/>
    <row r="57494" ht="12.75"/>
    <row r="57495" ht="12.75"/>
    <row r="57496" ht="12.75"/>
    <row r="57497" ht="12.75"/>
    <row r="57498" ht="12.75"/>
    <row r="57499" ht="12.75"/>
    <row r="57500" ht="12.75"/>
    <row r="57501" ht="12.75"/>
    <row r="57502" ht="12.75"/>
    <row r="57503" ht="12.75"/>
    <row r="57504" ht="12.75"/>
    <row r="57505" ht="12.75"/>
    <row r="57506" ht="12.75"/>
    <row r="57507" ht="12.75"/>
    <row r="57508" ht="12.75"/>
    <row r="57509" ht="12.75"/>
    <row r="57510" ht="12.75"/>
    <row r="57511" ht="12.75"/>
    <row r="57512" ht="12.75"/>
    <row r="57513" ht="12.75"/>
    <row r="57514" ht="12.75"/>
    <row r="57515" ht="12.75"/>
    <row r="57516" ht="12.75"/>
    <row r="57517" ht="12.75"/>
    <row r="57518" ht="12.75"/>
    <row r="57519" ht="12.75"/>
    <row r="57520" ht="12.75"/>
    <row r="57521" ht="12.75"/>
    <row r="57522" ht="12.75"/>
    <row r="57523" ht="12.75"/>
    <row r="57524" ht="12.75"/>
    <row r="57525" ht="12.75"/>
    <row r="57526" ht="12.75"/>
    <row r="57527" ht="12.75"/>
    <row r="57528" ht="12.75"/>
    <row r="57529" ht="12.75"/>
    <row r="57530" ht="12.75"/>
    <row r="57531" ht="12.75"/>
    <row r="57532" ht="12.75"/>
    <row r="57533" ht="12.75"/>
    <row r="57534" ht="12.75"/>
    <row r="57535" ht="12.75"/>
    <row r="57536" ht="12.75"/>
    <row r="57537" ht="12.75"/>
    <row r="57538" ht="12.75"/>
    <row r="57539" ht="12.75"/>
    <row r="57540" ht="12.75"/>
    <row r="57541" ht="12.75"/>
    <row r="57542" ht="12.75"/>
    <row r="57543" ht="12.75"/>
    <row r="57544" ht="12.75"/>
    <row r="57545" ht="12.75"/>
    <row r="57546" ht="12.75"/>
    <row r="57547" ht="12.75"/>
    <row r="57548" ht="12.75"/>
    <row r="57549" ht="12.75"/>
    <row r="57550" ht="12.75"/>
    <row r="57551" ht="12.75"/>
    <row r="57552" ht="12.75"/>
    <row r="57553" ht="12.75"/>
    <row r="57554" ht="12.75"/>
    <row r="57555" ht="12.75"/>
    <row r="57556" ht="12.75"/>
    <row r="57557" ht="12.75"/>
    <row r="57558" ht="12.75"/>
    <row r="57559" ht="12.75"/>
    <row r="57560" ht="12.75"/>
    <row r="57561" ht="12.75"/>
    <row r="57562" ht="12.75"/>
    <row r="57563" ht="12.75"/>
    <row r="57564" ht="12.75"/>
    <row r="57565" ht="12.75"/>
    <row r="57566" ht="12.75"/>
    <row r="57567" ht="12.75"/>
    <row r="57568" ht="12.75"/>
    <row r="57569" ht="12.75"/>
    <row r="57570" ht="12.75"/>
    <row r="57571" ht="12.75"/>
    <row r="57572" ht="12.75"/>
    <row r="57573" ht="12.75"/>
    <row r="57574" ht="12.75"/>
    <row r="57575" ht="12.75"/>
    <row r="57576" ht="12.75"/>
    <row r="57577" ht="12.75"/>
    <row r="57578" ht="12.75"/>
    <row r="57579" ht="12.75"/>
    <row r="57580" ht="12.75"/>
    <row r="57581" ht="12.75"/>
    <row r="57582" ht="12.75"/>
    <row r="57583" ht="12.75"/>
    <row r="57584" ht="12.75"/>
    <row r="57585" ht="12.75"/>
    <row r="57586" ht="12.75"/>
    <row r="57587" ht="12.75"/>
    <row r="57588" ht="12.75"/>
    <row r="57589" ht="12.75"/>
    <row r="57590" ht="12.75"/>
    <row r="57591" ht="12.75"/>
    <row r="57592" ht="12.75"/>
    <row r="57593" ht="12.75"/>
    <row r="57594" ht="12.75"/>
    <row r="57595" ht="12.75"/>
    <row r="57596" ht="12.75"/>
    <row r="57597" ht="12.75"/>
    <row r="57598" ht="12.75"/>
    <row r="57599" ht="12.75"/>
    <row r="57600" ht="12.75"/>
    <row r="57601" ht="12.75"/>
    <row r="57602" ht="12.75"/>
    <row r="57603" ht="12.75"/>
    <row r="57604" ht="12.75"/>
    <row r="57605" ht="12.75"/>
    <row r="57606" ht="12.75"/>
    <row r="57607" ht="12.75"/>
    <row r="57608" ht="12.75"/>
    <row r="57609" ht="12.75"/>
    <row r="57610" ht="12.75"/>
    <row r="57611" ht="12.75"/>
    <row r="57612" ht="12.75"/>
    <row r="57613" ht="12.75"/>
    <row r="57614" ht="12.75"/>
    <row r="57615" ht="12.75"/>
    <row r="57616" ht="12.75"/>
    <row r="57617" ht="12.75"/>
    <row r="57618" ht="12.75"/>
    <row r="57619" ht="12.75"/>
    <row r="57620" ht="12.75"/>
    <row r="57621" ht="12.75"/>
    <row r="57622" ht="12.75"/>
    <row r="57623" ht="12.75"/>
    <row r="57624" ht="12.75"/>
    <row r="57625" ht="12.75"/>
    <row r="57626" ht="12.75"/>
    <row r="57627" ht="12.75"/>
    <row r="57628" ht="12.75"/>
    <row r="57629" ht="12.75"/>
    <row r="57630" ht="12.75"/>
    <row r="57631" ht="12.75"/>
    <row r="57632" ht="12.75"/>
    <row r="57633" ht="12.75"/>
    <row r="57634" ht="12.75"/>
    <row r="57635" ht="12.75"/>
    <row r="57636" ht="12.75"/>
    <row r="57637" ht="12.75"/>
    <row r="57638" ht="12.75"/>
    <row r="57639" ht="12.75"/>
    <row r="57640" ht="12.75"/>
    <row r="57641" ht="12.75"/>
    <row r="57642" ht="12.75"/>
    <row r="57643" ht="12.75"/>
    <row r="57644" ht="12.75"/>
    <row r="57645" ht="12.75"/>
    <row r="57646" ht="12.75"/>
    <row r="57647" ht="12.75"/>
    <row r="57648" ht="12.75"/>
    <row r="57649" ht="12.75"/>
    <row r="57650" ht="12.75"/>
    <row r="57651" ht="12.75"/>
    <row r="57652" ht="12.75"/>
    <row r="57653" ht="12.75"/>
    <row r="57654" ht="12.75"/>
    <row r="57655" ht="12.75"/>
    <row r="57656" ht="12.75"/>
    <row r="57657" ht="12.75"/>
    <row r="57658" ht="12.75"/>
    <row r="57659" ht="12.75"/>
    <row r="57660" ht="12.75"/>
    <row r="57661" ht="12.75"/>
    <row r="57662" ht="12.75"/>
    <row r="57663" ht="12.75"/>
    <row r="57664" ht="12.75"/>
    <row r="57665" ht="12.75"/>
    <row r="57666" ht="12.75"/>
    <row r="57667" ht="12.75"/>
    <row r="57668" ht="12.75"/>
    <row r="57669" ht="12.75"/>
    <row r="57670" ht="12.75"/>
    <row r="57671" ht="12.75"/>
    <row r="57672" ht="12.75"/>
    <row r="57673" ht="12.75"/>
    <row r="57674" ht="12.75"/>
    <row r="57675" ht="12.75"/>
    <row r="57676" ht="12.75"/>
    <row r="57677" ht="12.75"/>
    <row r="57678" ht="12.75"/>
    <row r="57679" ht="12.75"/>
    <row r="57680" ht="12.75"/>
    <row r="57681" ht="12.75"/>
    <row r="57682" ht="12.75"/>
    <row r="57683" ht="12.75"/>
    <row r="57684" ht="12.75"/>
    <row r="57685" ht="12.75"/>
    <row r="57686" ht="12.75"/>
    <row r="57687" ht="12.75"/>
    <row r="57688" ht="12.75"/>
    <row r="57689" ht="12.75"/>
    <row r="57690" ht="12.75"/>
    <row r="57691" ht="12.75"/>
    <row r="57692" ht="12.75"/>
    <row r="57693" ht="12.75"/>
    <row r="57694" ht="12.75"/>
    <row r="57695" ht="12.75"/>
    <row r="57696" ht="12.75"/>
    <row r="57697" ht="12.75"/>
    <row r="57698" ht="12.75"/>
    <row r="57699" ht="12.75"/>
    <row r="57700" ht="12.75"/>
    <row r="57701" ht="12.75"/>
    <row r="57702" ht="12.75"/>
    <row r="57703" ht="12.75"/>
    <row r="57704" ht="12.75"/>
    <row r="57705" ht="12.75"/>
    <row r="57706" ht="12.75"/>
    <row r="57707" ht="12.75"/>
    <row r="57708" ht="12.75"/>
    <row r="57709" ht="12.75"/>
    <row r="57710" ht="12.75"/>
    <row r="57711" ht="12.75"/>
    <row r="57712" ht="12.75"/>
    <row r="57713" ht="12.75"/>
    <row r="57714" ht="12.75"/>
    <row r="57715" ht="12.75"/>
    <row r="57716" ht="12.75"/>
    <row r="57717" ht="12.75"/>
    <row r="57718" ht="12.75"/>
    <row r="57719" ht="12.75"/>
    <row r="57720" ht="12.75"/>
    <row r="57721" ht="12.75"/>
    <row r="57722" ht="12.75"/>
    <row r="57723" ht="12.75"/>
    <row r="57724" ht="12.75"/>
    <row r="57725" ht="12.75"/>
    <row r="57726" ht="12.75"/>
    <row r="57727" ht="12.75"/>
    <row r="57728" ht="12.75"/>
    <row r="57729" ht="12.75"/>
    <row r="57730" ht="12.75"/>
    <row r="57731" ht="12.75"/>
    <row r="57732" ht="12.75"/>
    <row r="57733" ht="12.75"/>
    <row r="57734" ht="12.75"/>
    <row r="57735" ht="12.75"/>
    <row r="57736" ht="12.75"/>
    <row r="57737" ht="12.75"/>
    <row r="57738" ht="12.75"/>
    <row r="57739" ht="12.75"/>
    <row r="57740" ht="12.75"/>
    <row r="57741" ht="12.75"/>
    <row r="57742" ht="12.75"/>
    <row r="57743" ht="12.75"/>
    <row r="57744" ht="12.75"/>
    <row r="57745" ht="12.75"/>
    <row r="57746" ht="12.75"/>
    <row r="57747" ht="12.75"/>
    <row r="57748" ht="12.75"/>
    <row r="57749" ht="12.75"/>
    <row r="57750" ht="12.75"/>
    <row r="57751" ht="12.75"/>
    <row r="57752" ht="12.75"/>
    <row r="57753" ht="12.75"/>
    <row r="57754" ht="12.75"/>
    <row r="57755" ht="12.75"/>
    <row r="57756" ht="12.75"/>
    <row r="57757" ht="12.75"/>
    <row r="57758" ht="12.75"/>
    <row r="57759" ht="12.75"/>
    <row r="57760" ht="12.75"/>
    <row r="57761" ht="12.75"/>
    <row r="57762" ht="12.75"/>
    <row r="57763" ht="12.75"/>
    <row r="57764" ht="12.75"/>
    <row r="57765" ht="12.75"/>
    <row r="57766" ht="12.75"/>
    <row r="57767" ht="12.75"/>
    <row r="57768" ht="12.75"/>
    <row r="57769" ht="12.75"/>
    <row r="57770" ht="12.75"/>
    <row r="57771" ht="12.75"/>
    <row r="57772" ht="12.75"/>
    <row r="57773" ht="12.75"/>
    <row r="57774" ht="12.75"/>
    <row r="57775" ht="12.75"/>
    <row r="57776" ht="12.75"/>
    <row r="57777" ht="12.75"/>
    <row r="57778" ht="12.75"/>
    <row r="57779" ht="12.75"/>
    <row r="57780" ht="12.75"/>
    <row r="57781" ht="12.75"/>
    <row r="57782" ht="12.75"/>
    <row r="57783" ht="12.75"/>
    <row r="57784" ht="12.75"/>
    <row r="57785" ht="12.75"/>
    <row r="57786" ht="12.75"/>
    <row r="57787" ht="12.75"/>
    <row r="57788" ht="12.75"/>
    <row r="57789" ht="12.75"/>
    <row r="57790" ht="12.75"/>
    <row r="57791" ht="12.75"/>
    <row r="57792" ht="12.75"/>
    <row r="57793" ht="12.75"/>
    <row r="57794" ht="12.75"/>
    <row r="57795" ht="12.75"/>
    <row r="57796" ht="12.75"/>
    <row r="57797" ht="12.75"/>
    <row r="57798" ht="12.75"/>
    <row r="57799" ht="12.75"/>
    <row r="57800" ht="12.75"/>
    <row r="57801" ht="12.75"/>
    <row r="57802" ht="12.75"/>
    <row r="57803" ht="12.75"/>
    <row r="57804" ht="12.75"/>
    <row r="57805" ht="12.75"/>
    <row r="57806" ht="12.75"/>
    <row r="57807" ht="12.75"/>
    <row r="57808" ht="12.75"/>
    <row r="57809" ht="12.75"/>
    <row r="57810" ht="12.75"/>
    <row r="57811" ht="12.75"/>
    <row r="57812" ht="12.75"/>
    <row r="57813" ht="12.75"/>
    <row r="57814" ht="12.75"/>
    <row r="57815" ht="12.75"/>
    <row r="57816" ht="12.75"/>
    <row r="57817" ht="12.75"/>
    <row r="57818" ht="12.75"/>
    <row r="57819" ht="12.75"/>
    <row r="57820" ht="12.75"/>
    <row r="57821" ht="12.75"/>
    <row r="57822" ht="12.75"/>
    <row r="57823" ht="12.75"/>
    <row r="57824" ht="12.75"/>
    <row r="57825" ht="12.75"/>
    <row r="57826" ht="12.75"/>
    <row r="57827" ht="12.75"/>
    <row r="57828" ht="12.75"/>
    <row r="57829" ht="12.75"/>
    <row r="57830" ht="12.75"/>
    <row r="57831" ht="12.75"/>
    <row r="57832" ht="12.75"/>
    <row r="57833" ht="12.75"/>
    <row r="57834" ht="12.75"/>
    <row r="57835" ht="12.75"/>
    <row r="57836" ht="12.75"/>
    <row r="57837" ht="12.75"/>
    <row r="57838" ht="12.75"/>
    <row r="57839" ht="12.75"/>
    <row r="57840" ht="12.75"/>
    <row r="57841" ht="12.75"/>
    <row r="57842" ht="12.75"/>
    <row r="57843" ht="12.75"/>
    <row r="57844" ht="12.75"/>
    <row r="57845" ht="12.75"/>
    <row r="57846" ht="12.75"/>
    <row r="57847" ht="12.75"/>
    <row r="57848" ht="12.75"/>
    <row r="57849" ht="12.75"/>
    <row r="57850" ht="12.75"/>
    <row r="57851" ht="12.75"/>
    <row r="57852" ht="12.75"/>
    <row r="57853" ht="12.75"/>
    <row r="57854" ht="12.75"/>
    <row r="57855" ht="12.75"/>
    <row r="57856" ht="12.75"/>
    <row r="57857" ht="12.75"/>
    <row r="57858" ht="12.75"/>
    <row r="57859" ht="12.75"/>
    <row r="57860" ht="12.75"/>
    <row r="57861" ht="12.75"/>
    <row r="57862" ht="12.75"/>
    <row r="57863" ht="12.75"/>
    <row r="57864" ht="12.75"/>
    <row r="57865" ht="12.75"/>
    <row r="57866" ht="12.75"/>
    <row r="57867" ht="12.75"/>
    <row r="57868" ht="12.75"/>
    <row r="57869" ht="12.75"/>
    <row r="57870" ht="12.75"/>
    <row r="57871" ht="12.75"/>
    <row r="57872" ht="12.75"/>
    <row r="57873" ht="12.75"/>
    <row r="57874" ht="12.75"/>
    <row r="57875" ht="12.75"/>
    <row r="57876" ht="12.75"/>
    <row r="57877" ht="12.75"/>
    <row r="57878" ht="12.75"/>
    <row r="57879" ht="12.75"/>
    <row r="57880" ht="12.75"/>
    <row r="57881" ht="12.75"/>
    <row r="57882" ht="12.75"/>
    <row r="57883" ht="12.75"/>
    <row r="57884" ht="12.75"/>
    <row r="57885" ht="12.75"/>
    <row r="57886" ht="12.75"/>
    <row r="57887" ht="12.75"/>
    <row r="57888" ht="12.75"/>
    <row r="57889" ht="12.75"/>
    <row r="57890" ht="12.75"/>
    <row r="57891" ht="12.75"/>
    <row r="57892" ht="12.75"/>
    <row r="57893" ht="12.75"/>
    <row r="57894" ht="12.75"/>
    <row r="57895" ht="12.75"/>
    <row r="57896" ht="12.75"/>
    <row r="57897" ht="12.75"/>
    <row r="57898" ht="12.75"/>
    <row r="57899" ht="12.75"/>
    <row r="57900" ht="12.75"/>
    <row r="57901" ht="12.75"/>
    <row r="57902" ht="12.75"/>
    <row r="57903" ht="12.75"/>
    <row r="57904" ht="12.75"/>
    <row r="57905" ht="12.75"/>
    <row r="57906" ht="12.75"/>
    <row r="57907" ht="12.75"/>
    <row r="57908" ht="12.75"/>
    <row r="57909" ht="12.75"/>
    <row r="57910" ht="12.75"/>
    <row r="57911" ht="12.75"/>
    <row r="57912" ht="12.75"/>
    <row r="57913" ht="12.75"/>
    <row r="57914" ht="12.75"/>
    <row r="57915" ht="12.75"/>
    <row r="57916" ht="12.75"/>
    <row r="57917" ht="12.75"/>
    <row r="57918" ht="12.75"/>
    <row r="57919" ht="12.75"/>
    <row r="57920" ht="12.75"/>
    <row r="57921" ht="12.75"/>
    <row r="57922" ht="12.75"/>
    <row r="57923" ht="12.75"/>
    <row r="57924" ht="12.75"/>
    <row r="57925" ht="12.75"/>
    <row r="57926" ht="12.75"/>
    <row r="57927" ht="12.75"/>
    <row r="57928" ht="12.75"/>
    <row r="57929" ht="12.75"/>
    <row r="57930" ht="12.75"/>
    <row r="57931" ht="12.75"/>
    <row r="57932" ht="12.75"/>
    <row r="57933" ht="12.75"/>
    <row r="57934" ht="12.75"/>
    <row r="57935" ht="12.75"/>
    <row r="57936" ht="12.75"/>
    <row r="57937" ht="12.75"/>
    <row r="57938" ht="12.75"/>
    <row r="57939" ht="12.75"/>
    <row r="57940" ht="12.75"/>
    <row r="57941" ht="12.75"/>
    <row r="57942" ht="12.75"/>
    <row r="57943" ht="12.75"/>
    <row r="57944" ht="12.75"/>
    <row r="57945" ht="12.75"/>
    <row r="57946" ht="12.75"/>
    <row r="57947" ht="12.75"/>
    <row r="57948" ht="12.75"/>
    <row r="57949" ht="12.75"/>
    <row r="57950" ht="12.75"/>
    <row r="57951" ht="12.75"/>
    <row r="57952" ht="12.75"/>
    <row r="57953" ht="12.75"/>
    <row r="57954" ht="12.75"/>
    <row r="57955" ht="12.75"/>
    <row r="57956" ht="12.75"/>
    <row r="57957" ht="12.75"/>
    <row r="57958" ht="12.75"/>
    <row r="57959" ht="12.75"/>
    <row r="57960" ht="12.75"/>
    <row r="57961" ht="12.75"/>
    <row r="57962" ht="12.75"/>
    <row r="57963" ht="12.75"/>
    <row r="57964" ht="12.75"/>
    <row r="57965" ht="12.75"/>
    <row r="57966" ht="12.75"/>
    <row r="57967" ht="12.75"/>
    <row r="57968" ht="12.75"/>
    <row r="57969" ht="12.75"/>
    <row r="57970" ht="12.75"/>
    <row r="57971" ht="12.75"/>
    <row r="57972" ht="12.75"/>
    <row r="57973" ht="12.75"/>
    <row r="57974" ht="12.75"/>
    <row r="57975" ht="12.75"/>
    <row r="57976" ht="12.75"/>
    <row r="57977" ht="12.75"/>
    <row r="57978" ht="12.75"/>
    <row r="57979" ht="12.75"/>
    <row r="57980" ht="12.75"/>
    <row r="57981" ht="12.75"/>
    <row r="57982" ht="12.75"/>
    <row r="57983" ht="12.75"/>
    <row r="57984" ht="12.75"/>
    <row r="57985" ht="12.75"/>
    <row r="57986" ht="12.75"/>
    <row r="57987" ht="12.75"/>
    <row r="57988" ht="12.75"/>
    <row r="57989" ht="12.75"/>
    <row r="57990" ht="12.75"/>
    <row r="57991" ht="12.75"/>
    <row r="57992" ht="12.75"/>
    <row r="57993" ht="12.75"/>
    <row r="57994" ht="12.75"/>
    <row r="57995" ht="12.75"/>
    <row r="57996" ht="12.75"/>
    <row r="57997" ht="12.75"/>
    <row r="57998" ht="12.75"/>
    <row r="57999" ht="12.75"/>
    <row r="58000" ht="12.75"/>
    <row r="58001" ht="12.75"/>
    <row r="58002" ht="12.75"/>
    <row r="58003" ht="12.75"/>
    <row r="58004" ht="12.75"/>
    <row r="58005" ht="12.75"/>
    <row r="58006" ht="12.75"/>
    <row r="58007" ht="12.75"/>
    <row r="58008" ht="12.75"/>
    <row r="58009" ht="12.75"/>
    <row r="58010" ht="12.75"/>
    <row r="58011" ht="12.75"/>
    <row r="58012" ht="12.75"/>
    <row r="58013" ht="12.75"/>
    <row r="58014" ht="12.75"/>
    <row r="58015" ht="12.75"/>
    <row r="58016" ht="12.75"/>
    <row r="58017" ht="12.75"/>
    <row r="58018" ht="12.75"/>
    <row r="58019" ht="12.75"/>
    <row r="58020" ht="12.75"/>
    <row r="58021" ht="12.75"/>
    <row r="58022" ht="12.75"/>
    <row r="58023" ht="12.75"/>
    <row r="58024" ht="12.75"/>
    <row r="58025" ht="12.75"/>
    <row r="58026" ht="12.75"/>
    <row r="58027" ht="12.75"/>
    <row r="58028" ht="12.75"/>
    <row r="58029" ht="12.75"/>
    <row r="58030" ht="12.75"/>
    <row r="58031" ht="12.75"/>
    <row r="58032" ht="12.75"/>
    <row r="58033" ht="12.75"/>
    <row r="58034" ht="12.75"/>
    <row r="58035" ht="12.75"/>
    <row r="58036" ht="12.75"/>
    <row r="58037" ht="12.75"/>
    <row r="58038" ht="12.75"/>
    <row r="58039" ht="12.75"/>
    <row r="58040" ht="12.75"/>
    <row r="58041" ht="12.75"/>
    <row r="58042" ht="12.75"/>
    <row r="58043" ht="12.75"/>
    <row r="58044" ht="12.75"/>
    <row r="58045" ht="12.75"/>
    <row r="58046" ht="12.75"/>
    <row r="58047" ht="12.75"/>
    <row r="58048" ht="12.75"/>
    <row r="58049" ht="12.75"/>
    <row r="58050" ht="12.75"/>
    <row r="58051" ht="12.75"/>
    <row r="58052" ht="12.75"/>
    <row r="58053" ht="12.75"/>
    <row r="58054" ht="12.75"/>
    <row r="58055" ht="12.75"/>
    <row r="58056" ht="12.75"/>
    <row r="58057" ht="12.75"/>
    <row r="58058" ht="12.75"/>
    <row r="58059" ht="12.75"/>
    <row r="58060" ht="12.75"/>
    <row r="58061" ht="12.75"/>
    <row r="58062" ht="12.75"/>
    <row r="58063" ht="12.75"/>
    <row r="58064" ht="12.75"/>
    <row r="58065" ht="12.75"/>
    <row r="58066" ht="12.75"/>
    <row r="58067" ht="12.75"/>
    <row r="58068" ht="12.75"/>
    <row r="58069" ht="12.75"/>
    <row r="58070" ht="12.75"/>
    <row r="58071" ht="12.75"/>
    <row r="58072" ht="12.75"/>
    <row r="58073" ht="12.75"/>
    <row r="58074" ht="12.75"/>
    <row r="58075" ht="12.75"/>
    <row r="58076" ht="12.75"/>
    <row r="58077" ht="12.75"/>
    <row r="58078" ht="12.75"/>
    <row r="58079" ht="12.75"/>
    <row r="58080" ht="12.75"/>
    <row r="58081" ht="12.75"/>
    <row r="58082" ht="12.75"/>
    <row r="58083" ht="12.75"/>
    <row r="58084" ht="12.75"/>
    <row r="58085" ht="12.75"/>
    <row r="58086" ht="12.75"/>
    <row r="58087" ht="12.75"/>
    <row r="58088" ht="12.75"/>
    <row r="58089" ht="12.75"/>
    <row r="58090" ht="12.75"/>
    <row r="58091" ht="12.75"/>
    <row r="58092" ht="12.75"/>
    <row r="58093" ht="12.75"/>
    <row r="58094" ht="12.75"/>
    <row r="58095" ht="12.75"/>
    <row r="58096" ht="12.75"/>
    <row r="58097" ht="12.75"/>
    <row r="58098" ht="12.75"/>
    <row r="58099" ht="12.75"/>
    <row r="58100" ht="12.75"/>
    <row r="58101" ht="12.75"/>
    <row r="58102" ht="12.75"/>
    <row r="58103" ht="12.75"/>
    <row r="58104" ht="12.75"/>
    <row r="58105" ht="12.75"/>
    <row r="58106" ht="12.75"/>
    <row r="58107" ht="12.75"/>
    <row r="58108" ht="12.75"/>
    <row r="58109" ht="12.75"/>
    <row r="58110" ht="12.75"/>
    <row r="58111" ht="12.75"/>
    <row r="58112" ht="12.75"/>
    <row r="58113" ht="12.75"/>
    <row r="58114" ht="12.75"/>
    <row r="58115" ht="12.75"/>
    <row r="58116" ht="12.75"/>
    <row r="58117" ht="12.75"/>
    <row r="58118" ht="12.75"/>
    <row r="58119" ht="12.75"/>
    <row r="58120" ht="12.75"/>
    <row r="58121" ht="12.75"/>
    <row r="58122" ht="12.75"/>
    <row r="58123" ht="12.75"/>
    <row r="58124" ht="12.75"/>
    <row r="58125" ht="12.75"/>
    <row r="58126" ht="12.75"/>
    <row r="58127" ht="12.75"/>
    <row r="58128" ht="12.75"/>
    <row r="58129" ht="12.75"/>
    <row r="58130" ht="12.75"/>
    <row r="58131" ht="12.75"/>
    <row r="58132" ht="12.75"/>
    <row r="58133" ht="12.75"/>
    <row r="58134" ht="12.75"/>
    <row r="58135" ht="12.75"/>
    <row r="58136" ht="12.75"/>
    <row r="58137" ht="12.75"/>
    <row r="58138" ht="12.75"/>
    <row r="58139" ht="12.75"/>
    <row r="58140" ht="12.75"/>
    <row r="58141" ht="12.75"/>
    <row r="58142" ht="12.75"/>
    <row r="58143" ht="12.75"/>
    <row r="58144" ht="12.75"/>
    <row r="58145" ht="12.75"/>
    <row r="58146" ht="12.75"/>
    <row r="58147" ht="12.75"/>
    <row r="58148" ht="12.75"/>
    <row r="58149" ht="12.75"/>
    <row r="58150" ht="12.75"/>
    <row r="58151" ht="12.75"/>
    <row r="58152" ht="12.75"/>
    <row r="58153" ht="12.75"/>
    <row r="58154" ht="12.75"/>
    <row r="58155" ht="12.75"/>
    <row r="58156" ht="12.75"/>
    <row r="58157" ht="12.75"/>
    <row r="58158" ht="12.75"/>
    <row r="58159" ht="12.75"/>
    <row r="58160" ht="12.75"/>
    <row r="58161" ht="12.75"/>
    <row r="58162" ht="12.75"/>
    <row r="58163" ht="12.75"/>
    <row r="58164" ht="12.75"/>
    <row r="58165" ht="12.75"/>
    <row r="58166" ht="12.75"/>
    <row r="58167" ht="12.75"/>
    <row r="58168" ht="12.75"/>
    <row r="58169" ht="12.75"/>
    <row r="58170" ht="12.75"/>
    <row r="58171" ht="12.75"/>
    <row r="58172" ht="12.75"/>
    <row r="58173" ht="12.75"/>
    <row r="58174" ht="12.75"/>
    <row r="58175" ht="12.75"/>
    <row r="58176" ht="12.75"/>
    <row r="58177" ht="12.75"/>
    <row r="58178" ht="12.75"/>
    <row r="58179" ht="12.75"/>
    <row r="58180" ht="12.75"/>
    <row r="58181" ht="12.75"/>
    <row r="58182" ht="12.75"/>
    <row r="58183" ht="12.75"/>
    <row r="58184" ht="12.75"/>
    <row r="58185" ht="12.75"/>
    <row r="58186" ht="12.75"/>
    <row r="58187" ht="12.75"/>
    <row r="58188" ht="12.75"/>
    <row r="58189" ht="12.75"/>
    <row r="58190" ht="12.75"/>
    <row r="58191" ht="12.75"/>
    <row r="58192" ht="12.75"/>
    <row r="58193" ht="12.75"/>
    <row r="58194" ht="12.75"/>
    <row r="58195" ht="12.75"/>
    <row r="58196" ht="12.75"/>
    <row r="58197" ht="12.75"/>
    <row r="58198" ht="12.75"/>
    <row r="58199" ht="12.75"/>
    <row r="58200" ht="12.75"/>
    <row r="58201" ht="12.75"/>
    <row r="58202" ht="12.75"/>
    <row r="58203" ht="12.75"/>
    <row r="58204" ht="12.75"/>
    <row r="58205" ht="12.75"/>
    <row r="58206" ht="12.75"/>
    <row r="58207" ht="12.75"/>
    <row r="58208" ht="12.75"/>
    <row r="58209" ht="12.75"/>
    <row r="58210" ht="12.75"/>
    <row r="58211" ht="12.75"/>
    <row r="58212" ht="12.75"/>
    <row r="58213" ht="12.75"/>
    <row r="58214" ht="12.75"/>
    <row r="58215" ht="12.75"/>
    <row r="58216" ht="12.75"/>
    <row r="58217" ht="12.75"/>
    <row r="58218" ht="12.75"/>
    <row r="58219" ht="12.75"/>
    <row r="58220" ht="12.75"/>
    <row r="58221" ht="12.75"/>
    <row r="58222" ht="12.75"/>
    <row r="58223" ht="12.75"/>
    <row r="58224" ht="12.75"/>
    <row r="58225" ht="12.75"/>
    <row r="58226" ht="12.75"/>
    <row r="58227" ht="12.75"/>
    <row r="58228" ht="12.75"/>
    <row r="58229" ht="12.75"/>
    <row r="58230" ht="12.75"/>
    <row r="58231" ht="12.75"/>
    <row r="58232" ht="12.75"/>
    <row r="58233" ht="12.75"/>
    <row r="58234" ht="12.75"/>
    <row r="58235" ht="12.75"/>
    <row r="58236" ht="12.75"/>
    <row r="58237" ht="12.75"/>
    <row r="58238" ht="12.75"/>
    <row r="58239" ht="12.75"/>
    <row r="58240" ht="12.75"/>
    <row r="58241" ht="12.75"/>
    <row r="58242" ht="12.75"/>
    <row r="58243" ht="12.75"/>
    <row r="58244" ht="12.75"/>
    <row r="58245" ht="12.75"/>
    <row r="58246" ht="12.75"/>
    <row r="58247" ht="12.75"/>
    <row r="58248" ht="12.75"/>
    <row r="58249" ht="12.75"/>
    <row r="58250" ht="12.75"/>
    <row r="58251" ht="12.75"/>
    <row r="58252" ht="12.75"/>
    <row r="58253" ht="12.75"/>
    <row r="58254" ht="12.75"/>
    <row r="58255" ht="12.75"/>
    <row r="58256" ht="12.75"/>
    <row r="58257" ht="12.75"/>
    <row r="58258" ht="12.75"/>
    <row r="58259" ht="12.75"/>
    <row r="58260" ht="12.75"/>
    <row r="58261" ht="12.75"/>
    <row r="58262" ht="12.75"/>
    <row r="58263" ht="12.75"/>
    <row r="58264" ht="12.75"/>
    <row r="58265" ht="12.75"/>
    <row r="58266" ht="12.75"/>
    <row r="58267" ht="12.75"/>
    <row r="58268" ht="12.75"/>
    <row r="58269" ht="12.75"/>
    <row r="58270" ht="12.75"/>
    <row r="58271" ht="12.75"/>
    <row r="58272" ht="12.75"/>
    <row r="58273" ht="12.75"/>
    <row r="58274" ht="12.75"/>
    <row r="58275" ht="12.75"/>
    <row r="58276" ht="12.75"/>
    <row r="58277" ht="12.75"/>
    <row r="58278" ht="12.75"/>
    <row r="58279" ht="12.75"/>
    <row r="58280" ht="12.75"/>
    <row r="58281" ht="12.75"/>
    <row r="58282" ht="12.75"/>
    <row r="58283" ht="12.75"/>
    <row r="58284" ht="12.75"/>
    <row r="58285" ht="12.75"/>
    <row r="58286" ht="12.75"/>
    <row r="58287" ht="12.75"/>
    <row r="58288" ht="12.75"/>
    <row r="58289" ht="12.75"/>
    <row r="58290" ht="12.75"/>
    <row r="58291" ht="12.75"/>
    <row r="58292" ht="12.75"/>
    <row r="58293" ht="12.75"/>
    <row r="58294" ht="12.75"/>
    <row r="58295" ht="12.75"/>
    <row r="58296" ht="12.75"/>
    <row r="58297" ht="12.75"/>
    <row r="58298" ht="12.75"/>
    <row r="58299" ht="12.75"/>
    <row r="58300" ht="12.75"/>
    <row r="58301" ht="12.75"/>
    <row r="58302" ht="12.75"/>
    <row r="58303" ht="12.75"/>
    <row r="58304" ht="12.75"/>
    <row r="58305" ht="12.75"/>
    <row r="58306" ht="12.75"/>
    <row r="58307" ht="12.75"/>
    <row r="58308" ht="12.75"/>
    <row r="58309" ht="12.75"/>
    <row r="58310" ht="12.75"/>
    <row r="58311" ht="12.75"/>
    <row r="58312" ht="12.75"/>
    <row r="58313" ht="12.75"/>
    <row r="58314" ht="12.75"/>
    <row r="58315" ht="12.75"/>
    <row r="58316" ht="12.75"/>
    <row r="58317" ht="12.75"/>
    <row r="58318" ht="12.75"/>
    <row r="58319" ht="12.75"/>
    <row r="58320" ht="12.75"/>
    <row r="58321" ht="12.75"/>
    <row r="58322" ht="12.75"/>
    <row r="58323" ht="12.75"/>
    <row r="58324" ht="12.75"/>
    <row r="58325" ht="12.75"/>
    <row r="58326" ht="12.75"/>
    <row r="58327" ht="12.75"/>
    <row r="58328" ht="12.75"/>
    <row r="58329" ht="12.75"/>
    <row r="58330" ht="12.75"/>
    <row r="58331" ht="12.75"/>
    <row r="58332" ht="12.75"/>
    <row r="58333" ht="12.75"/>
    <row r="58334" ht="12.75"/>
    <row r="58335" ht="12.75"/>
    <row r="58336" ht="12.75"/>
    <row r="58337" ht="12.75"/>
    <row r="58338" ht="12.75"/>
    <row r="58339" ht="12.75"/>
    <row r="58340" ht="12.75"/>
    <row r="58341" ht="12.75"/>
    <row r="58342" ht="12.75"/>
    <row r="58343" ht="12.75"/>
    <row r="58344" ht="12.75"/>
    <row r="58345" ht="12.75"/>
    <row r="58346" ht="12.75"/>
    <row r="58347" ht="12.75"/>
    <row r="58348" ht="12.75"/>
    <row r="58349" ht="12.75"/>
    <row r="58350" ht="12.75"/>
    <row r="58351" ht="12.75"/>
    <row r="58352" ht="12.75"/>
    <row r="58353" ht="12.75"/>
    <row r="58354" ht="12.75"/>
    <row r="58355" ht="12.75"/>
    <row r="58356" ht="12.75"/>
    <row r="58357" ht="12.75"/>
    <row r="58358" ht="12.75"/>
    <row r="58359" ht="12.75"/>
    <row r="58360" ht="12.75"/>
    <row r="58361" ht="12.75"/>
    <row r="58362" ht="12.75"/>
    <row r="58363" ht="12.75"/>
    <row r="58364" ht="12.75"/>
    <row r="58365" ht="12.75"/>
    <row r="58366" ht="12.75"/>
    <row r="58367" ht="12.75"/>
    <row r="58368" ht="12.75"/>
    <row r="58369" ht="12.75"/>
    <row r="58370" ht="12.75"/>
    <row r="58371" ht="12.75"/>
    <row r="58372" ht="12.75"/>
    <row r="58373" ht="12.75"/>
    <row r="58374" ht="12.75"/>
    <row r="58375" ht="12.75"/>
    <row r="58376" ht="12.75"/>
    <row r="58377" ht="12.75"/>
    <row r="58378" ht="12.75"/>
    <row r="58379" ht="12.75"/>
    <row r="58380" ht="12.75"/>
    <row r="58381" ht="12.75"/>
    <row r="58382" ht="12.75"/>
    <row r="58383" ht="12.75"/>
    <row r="58384" ht="12.75"/>
    <row r="58385" ht="12.75"/>
    <row r="58386" ht="12.75"/>
    <row r="58387" ht="12.75"/>
    <row r="58388" ht="12.75"/>
    <row r="58389" ht="12.75"/>
    <row r="58390" ht="12.75"/>
    <row r="58391" ht="12.75"/>
    <row r="58392" ht="12.75"/>
    <row r="58393" ht="12.75"/>
    <row r="58394" ht="12.75"/>
    <row r="58395" ht="12.75"/>
    <row r="58396" ht="12.75"/>
    <row r="58397" ht="12.75"/>
    <row r="58398" ht="12.75"/>
    <row r="58399" ht="12.75"/>
    <row r="58400" ht="12.75"/>
    <row r="58401" ht="12.75"/>
    <row r="58402" ht="12.75"/>
    <row r="58403" ht="12.75"/>
    <row r="58404" ht="12.75"/>
    <row r="58405" ht="12.75"/>
    <row r="58406" ht="12.75"/>
    <row r="58407" ht="12.75"/>
    <row r="58408" ht="12.75"/>
    <row r="58409" ht="12.75"/>
    <row r="58410" ht="12.75"/>
    <row r="58411" ht="12.75"/>
    <row r="58412" ht="12.75"/>
    <row r="58413" ht="12.75"/>
    <row r="58414" ht="12.75"/>
    <row r="58415" ht="12.75"/>
    <row r="58416" ht="12.75"/>
    <row r="58417" ht="12.75"/>
    <row r="58418" ht="12.75"/>
    <row r="58419" ht="12.75"/>
    <row r="58420" ht="12.75"/>
    <row r="58421" ht="12.75"/>
    <row r="58422" ht="12.75"/>
    <row r="58423" ht="12.75"/>
    <row r="58424" ht="12.75"/>
    <row r="58425" ht="12.75"/>
    <row r="58426" ht="12.75"/>
    <row r="58427" ht="12.75"/>
    <row r="58428" ht="12.75"/>
    <row r="58429" ht="12.75"/>
    <row r="58430" ht="12.75"/>
    <row r="58431" ht="12.75"/>
    <row r="58432" ht="12.75"/>
    <row r="58433" ht="12.75"/>
    <row r="58434" ht="12.75"/>
    <row r="58435" ht="12.75"/>
    <row r="58436" ht="12.75"/>
    <row r="58437" ht="12.75"/>
    <row r="58438" ht="12.75"/>
    <row r="58439" ht="12.75"/>
    <row r="58440" ht="12.75"/>
    <row r="58441" ht="12.75"/>
    <row r="58442" ht="12.75"/>
    <row r="58443" ht="12.75"/>
    <row r="58444" ht="12.75"/>
    <row r="58445" ht="12.75"/>
    <row r="58446" ht="12.75"/>
    <row r="58447" ht="12.75"/>
    <row r="58448" ht="12.75"/>
    <row r="58449" ht="12.75"/>
    <row r="58450" ht="12.75"/>
    <row r="58451" ht="12.75"/>
    <row r="58452" ht="12.75"/>
    <row r="58453" ht="12.75"/>
    <row r="58454" ht="12.75"/>
    <row r="58455" ht="12.75"/>
    <row r="58456" ht="12.75"/>
    <row r="58457" ht="12.75"/>
    <row r="58458" ht="12.75"/>
    <row r="58459" ht="12.75"/>
    <row r="58460" ht="12.75"/>
    <row r="58461" ht="12.75"/>
    <row r="58462" ht="12.75"/>
    <row r="58463" ht="12.75"/>
    <row r="58464" ht="12.75"/>
    <row r="58465" ht="12.75"/>
    <row r="58466" ht="12.75"/>
    <row r="58467" ht="12.75"/>
    <row r="58468" ht="12.75"/>
    <row r="58469" ht="12.75"/>
    <row r="58470" ht="12.75"/>
    <row r="58471" ht="12.75"/>
    <row r="58472" ht="12.75"/>
    <row r="58473" ht="12.75"/>
    <row r="58474" ht="12.75"/>
    <row r="58475" ht="12.75"/>
    <row r="58476" ht="12.75"/>
    <row r="58477" ht="12.75"/>
    <row r="58478" ht="12.75"/>
    <row r="58479" ht="12.75"/>
    <row r="58480" ht="12.75"/>
    <row r="58481" ht="12.75"/>
    <row r="58482" ht="12.75"/>
    <row r="58483" ht="12.75"/>
    <row r="58484" ht="12.75"/>
    <row r="58485" ht="12.75"/>
    <row r="58486" ht="12.75"/>
    <row r="58487" ht="12.75"/>
    <row r="58488" ht="12.75"/>
    <row r="58489" ht="12.75"/>
    <row r="58490" ht="12.75"/>
    <row r="58491" ht="12.75"/>
    <row r="58492" ht="12.75"/>
    <row r="58493" ht="12.75"/>
    <row r="58494" ht="12.75"/>
    <row r="58495" ht="12.75"/>
    <row r="58496" ht="12.75"/>
    <row r="58497" ht="12.75"/>
    <row r="58498" ht="12.75"/>
    <row r="58499" ht="12.75"/>
    <row r="58500" ht="12.75"/>
    <row r="58501" ht="12.75"/>
    <row r="58502" ht="12.75"/>
    <row r="58503" ht="12.75"/>
    <row r="58504" ht="12.75"/>
    <row r="58505" ht="12.75"/>
    <row r="58506" ht="12.75"/>
    <row r="58507" ht="12.75"/>
    <row r="58508" ht="12.75"/>
    <row r="58509" ht="12.75"/>
    <row r="58510" ht="12.75"/>
    <row r="58511" ht="12.75"/>
    <row r="58512" ht="12.75"/>
    <row r="58513" ht="12.75"/>
    <row r="58514" ht="12.75"/>
    <row r="58515" ht="12.75"/>
    <row r="58516" ht="12.75"/>
    <row r="58517" ht="12.75"/>
    <row r="58518" ht="12.75"/>
    <row r="58519" ht="12.75"/>
    <row r="58520" ht="12.75"/>
    <row r="58521" ht="12.75"/>
    <row r="58522" ht="12.75"/>
    <row r="58523" ht="12.75"/>
    <row r="58524" ht="12.75"/>
    <row r="58525" ht="12.75"/>
    <row r="58526" ht="12.75"/>
    <row r="58527" ht="12.75"/>
    <row r="58528" ht="12.75"/>
    <row r="58529" ht="12.75"/>
    <row r="58530" ht="12.75"/>
    <row r="58531" ht="12.75"/>
    <row r="58532" ht="12.75"/>
    <row r="58533" ht="12.75"/>
    <row r="58534" ht="12.75"/>
    <row r="58535" ht="12.75"/>
    <row r="58536" ht="12.75"/>
    <row r="58537" ht="12.75"/>
    <row r="58538" ht="12.75"/>
    <row r="58539" ht="12.75"/>
    <row r="58540" ht="12.75"/>
    <row r="58541" ht="12.75"/>
    <row r="58542" ht="12.75"/>
    <row r="58543" ht="12.75"/>
    <row r="58544" ht="12.75"/>
    <row r="58545" ht="12.75"/>
    <row r="58546" ht="12.75"/>
    <row r="58547" ht="12.75"/>
    <row r="58548" ht="12.75"/>
    <row r="58549" ht="12.75"/>
    <row r="58550" ht="12.75"/>
    <row r="58551" ht="12.75"/>
    <row r="58552" ht="12.75"/>
    <row r="58553" ht="12.75"/>
    <row r="58554" ht="12.75"/>
    <row r="58555" ht="12.75"/>
    <row r="58556" ht="12.75"/>
    <row r="58557" ht="12.75"/>
    <row r="58558" ht="12.75"/>
    <row r="58559" ht="12.75"/>
    <row r="58560" ht="12.75"/>
    <row r="58561" ht="12.75"/>
    <row r="58562" ht="12.75"/>
    <row r="58563" ht="12.75"/>
    <row r="58564" ht="12.75"/>
    <row r="58565" ht="12.75"/>
    <row r="58566" ht="12.75"/>
    <row r="58567" ht="12.75"/>
    <row r="58568" ht="12.75"/>
    <row r="58569" ht="12.75"/>
    <row r="58570" ht="12.75"/>
    <row r="58571" ht="12.75"/>
    <row r="58572" ht="12.75"/>
    <row r="58573" ht="12.75"/>
    <row r="58574" ht="12.75"/>
    <row r="58575" ht="12.75"/>
    <row r="58576" ht="12.75"/>
    <row r="58577" ht="12.75"/>
    <row r="58578" ht="12.75"/>
    <row r="58579" ht="12.75"/>
    <row r="58580" ht="12.75"/>
    <row r="58581" ht="12.75"/>
    <row r="58582" ht="12.75"/>
    <row r="58583" ht="12.75"/>
    <row r="58584" ht="12.75"/>
    <row r="58585" ht="12.75"/>
    <row r="58586" ht="12.75"/>
    <row r="58587" ht="12.75"/>
    <row r="58588" ht="12.75"/>
    <row r="58589" ht="12.75"/>
    <row r="58590" ht="12.75"/>
    <row r="58591" ht="12.75"/>
    <row r="58592" ht="12.75"/>
    <row r="58593" ht="12.75"/>
    <row r="58594" ht="12.75"/>
    <row r="58595" ht="12.75"/>
    <row r="58596" ht="12.75"/>
    <row r="58597" ht="12.75"/>
    <row r="58598" ht="12.75"/>
    <row r="58599" ht="12.75"/>
    <row r="58600" ht="12.75"/>
    <row r="58601" ht="12.75"/>
    <row r="58602" ht="12.75"/>
    <row r="58603" ht="12.75"/>
    <row r="58604" ht="12.75"/>
    <row r="58605" ht="12.75"/>
    <row r="58606" ht="12.75"/>
    <row r="58607" ht="12.75"/>
    <row r="58608" ht="12.75"/>
    <row r="58609" ht="12.75"/>
    <row r="58610" ht="12.75"/>
    <row r="58611" ht="12.75"/>
    <row r="58612" ht="12.75"/>
    <row r="58613" ht="12.75"/>
    <row r="58614" ht="12.75"/>
    <row r="58615" ht="12.75"/>
    <row r="58616" ht="12.75"/>
    <row r="58617" ht="12.75"/>
    <row r="58618" ht="12.75"/>
    <row r="58619" ht="12.75"/>
    <row r="58620" ht="12.75"/>
    <row r="58621" ht="12.75"/>
    <row r="58622" ht="12.75"/>
    <row r="58623" ht="12.75"/>
    <row r="58624" ht="12.75"/>
    <row r="58625" ht="12.75"/>
    <row r="58626" ht="12.75"/>
    <row r="58627" ht="12.75"/>
    <row r="58628" ht="12.75"/>
    <row r="58629" ht="12.75"/>
    <row r="58630" ht="12.75"/>
    <row r="58631" ht="12.75"/>
    <row r="58632" ht="12.75"/>
    <row r="58633" ht="12.75"/>
    <row r="58634" ht="12.75"/>
    <row r="58635" ht="12.75"/>
    <row r="58636" ht="12.75"/>
    <row r="58637" ht="12.75"/>
    <row r="58638" ht="12.75"/>
    <row r="58639" ht="12.75"/>
    <row r="58640" ht="12.75"/>
    <row r="58641" ht="12.75"/>
    <row r="58642" ht="12.75"/>
    <row r="58643" ht="12.75"/>
    <row r="58644" ht="12.75"/>
    <row r="58645" ht="12.75"/>
    <row r="58646" ht="12.75"/>
    <row r="58647" ht="12.75"/>
    <row r="58648" ht="12.75"/>
    <row r="58649" ht="12.75"/>
    <row r="58650" ht="12.75"/>
    <row r="58651" ht="12.75"/>
    <row r="58652" ht="12.75"/>
    <row r="58653" ht="12.75"/>
    <row r="58654" ht="12.75"/>
    <row r="58655" ht="12.75"/>
    <row r="58656" ht="12.75"/>
    <row r="58657" ht="12.75"/>
    <row r="58658" ht="12.75"/>
    <row r="58659" ht="12.75"/>
    <row r="58660" ht="12.75"/>
    <row r="58661" ht="12.75"/>
    <row r="58662" ht="12.75"/>
    <row r="58663" ht="12.75"/>
    <row r="58664" ht="12.75"/>
    <row r="58665" ht="12.75"/>
    <row r="58666" ht="12.75"/>
    <row r="58667" ht="12.75"/>
    <row r="58668" ht="12.75"/>
    <row r="58669" ht="12.75"/>
    <row r="58670" ht="12.75"/>
    <row r="58671" ht="12.75"/>
    <row r="58672" ht="12.75"/>
    <row r="58673" ht="12.75"/>
    <row r="58674" ht="12.75"/>
    <row r="58675" ht="12.75"/>
    <row r="58676" ht="12.75"/>
    <row r="58677" ht="12.75"/>
    <row r="58678" ht="12.75"/>
    <row r="58679" ht="12.75"/>
    <row r="58680" ht="12.75"/>
    <row r="58681" ht="12.75"/>
    <row r="58682" ht="12.75"/>
    <row r="58683" ht="12.75"/>
    <row r="58684" ht="12.75"/>
    <row r="58685" ht="12.75"/>
    <row r="58686" ht="12.75"/>
    <row r="58687" ht="12.75"/>
    <row r="58688" ht="12.75"/>
    <row r="58689" ht="12.75"/>
    <row r="58690" ht="12.75"/>
    <row r="58691" ht="12.75"/>
    <row r="58692" ht="12.75"/>
    <row r="58693" ht="12.75"/>
    <row r="58694" ht="12.75"/>
    <row r="58695" ht="12.75"/>
    <row r="58696" ht="12.75"/>
    <row r="58697" ht="12.75"/>
    <row r="58698" ht="12.75"/>
    <row r="58699" ht="12.75"/>
    <row r="58700" ht="12.75"/>
    <row r="58701" ht="12.75"/>
    <row r="58702" ht="12.75"/>
    <row r="58703" ht="12.75"/>
    <row r="58704" ht="12.75"/>
    <row r="58705" ht="12.75"/>
    <row r="58706" ht="12.75"/>
    <row r="58707" ht="12.75"/>
    <row r="58708" ht="12.75"/>
    <row r="58709" ht="12.75"/>
    <row r="58710" ht="12.75"/>
    <row r="58711" ht="12.75"/>
    <row r="58712" ht="12.75"/>
    <row r="58713" ht="12.75"/>
    <row r="58714" ht="12.75"/>
    <row r="58715" ht="12.75"/>
    <row r="58716" ht="12.75"/>
    <row r="58717" ht="12.75"/>
    <row r="58718" ht="12.75"/>
    <row r="58719" ht="12.75"/>
    <row r="58720" ht="12.75"/>
    <row r="58721" ht="12.75"/>
    <row r="58722" ht="12.75"/>
    <row r="58723" ht="12.75"/>
    <row r="58724" ht="12.75"/>
    <row r="58725" ht="12.75"/>
    <row r="58726" ht="12.75"/>
    <row r="58727" ht="12.75"/>
    <row r="58728" ht="12.75"/>
    <row r="58729" ht="12.75"/>
    <row r="58730" ht="12.75"/>
    <row r="58731" ht="12.75"/>
    <row r="58732" ht="12.75"/>
    <row r="58733" ht="12.75"/>
    <row r="58734" ht="12.75"/>
    <row r="58735" ht="12.75"/>
    <row r="58736" ht="12.75"/>
    <row r="58737" ht="12.75"/>
    <row r="58738" ht="12.75"/>
    <row r="58739" ht="12.75"/>
    <row r="58740" ht="12.75"/>
    <row r="58741" ht="12.75"/>
    <row r="58742" ht="12.75"/>
    <row r="58743" ht="12.75"/>
    <row r="58744" ht="12.75"/>
    <row r="58745" ht="12.75"/>
    <row r="58746" ht="12.75"/>
    <row r="58747" ht="12.75"/>
    <row r="58748" ht="12.75"/>
    <row r="58749" ht="12.75"/>
    <row r="58750" ht="12.75"/>
    <row r="58751" ht="12.75"/>
    <row r="58752" ht="12.75"/>
    <row r="58753" ht="12.75"/>
    <row r="58754" ht="12.75"/>
    <row r="58755" ht="12.75"/>
    <row r="58756" ht="12.75"/>
    <row r="58757" ht="12.75"/>
    <row r="58758" ht="12.75"/>
    <row r="58759" ht="12.75"/>
    <row r="58760" ht="12.75"/>
    <row r="58761" ht="12.75"/>
    <row r="58762" ht="12.75"/>
    <row r="58763" ht="12.75"/>
    <row r="58764" ht="12.75"/>
    <row r="58765" ht="12.75"/>
    <row r="58766" ht="12.75"/>
    <row r="58767" ht="12.75"/>
    <row r="58768" ht="12.75"/>
    <row r="58769" ht="12.75"/>
    <row r="58770" ht="12.75"/>
    <row r="58771" ht="12.75"/>
    <row r="58772" ht="12.75"/>
    <row r="58773" ht="12.75"/>
    <row r="58774" ht="12.75"/>
    <row r="58775" ht="12.75"/>
    <row r="58776" ht="12.75"/>
    <row r="58777" ht="12.75"/>
    <row r="58778" ht="12.75"/>
    <row r="58779" ht="12.75"/>
    <row r="58780" ht="12.75"/>
    <row r="58781" ht="12.75"/>
    <row r="58782" ht="12.75"/>
    <row r="58783" ht="12.75"/>
    <row r="58784" ht="12.75"/>
    <row r="58785" ht="12.75"/>
    <row r="58786" ht="12.75"/>
    <row r="58787" ht="12.75"/>
    <row r="58788" ht="12.75"/>
    <row r="58789" ht="12.75"/>
    <row r="58790" ht="12.75"/>
    <row r="58791" ht="12.75"/>
    <row r="58792" ht="12.75"/>
    <row r="58793" ht="12.75"/>
    <row r="58794" ht="12.75"/>
    <row r="58795" ht="12.75"/>
    <row r="58796" ht="12.75"/>
    <row r="58797" ht="12.75"/>
    <row r="58798" ht="12.75"/>
    <row r="58799" ht="12.75"/>
    <row r="58800" ht="12.75"/>
    <row r="58801" ht="12.75"/>
    <row r="58802" ht="12.75"/>
    <row r="58803" ht="12.75"/>
    <row r="58804" ht="12.75"/>
    <row r="58805" ht="12.75"/>
    <row r="58806" ht="12.75"/>
    <row r="58807" ht="12.75"/>
    <row r="58808" ht="12.75"/>
    <row r="58809" ht="12.75"/>
    <row r="58810" ht="12.75"/>
    <row r="58811" ht="12.75"/>
    <row r="58812" ht="12.75"/>
    <row r="58813" ht="12.75"/>
    <row r="58814" ht="12.75"/>
    <row r="58815" ht="12.75"/>
    <row r="58816" ht="12.75"/>
    <row r="58817" ht="12.75"/>
    <row r="58818" ht="12.75"/>
    <row r="58819" ht="12.75"/>
    <row r="58820" ht="12.75"/>
    <row r="58821" ht="12.75"/>
    <row r="58822" ht="12.75"/>
    <row r="58823" ht="12.75"/>
    <row r="58824" ht="12.75"/>
    <row r="58825" ht="12.75"/>
    <row r="58826" ht="12.75"/>
    <row r="58827" ht="12.75"/>
    <row r="58828" ht="12.75"/>
    <row r="58829" ht="12.75"/>
    <row r="58830" ht="12.75"/>
    <row r="58831" ht="12.75"/>
    <row r="58832" ht="12.75"/>
    <row r="58833" ht="12.75"/>
    <row r="58834" ht="12.75"/>
    <row r="58835" ht="12.75"/>
    <row r="58836" ht="12.75"/>
    <row r="58837" ht="12.75"/>
    <row r="58838" ht="12.75"/>
    <row r="58839" ht="12.75"/>
    <row r="58840" ht="12.75"/>
    <row r="58841" ht="12.75"/>
    <row r="58842" ht="12.75"/>
    <row r="58843" ht="12.75"/>
    <row r="58844" ht="12.75"/>
    <row r="58845" ht="12.75"/>
    <row r="58846" ht="12.75"/>
    <row r="58847" ht="12.75"/>
    <row r="58848" ht="12.75"/>
    <row r="58849" ht="12.75"/>
    <row r="58850" ht="12.75"/>
    <row r="58851" ht="12.75"/>
    <row r="58852" ht="12.75"/>
    <row r="58853" ht="12.75"/>
    <row r="58854" ht="12.75"/>
    <row r="58855" ht="12.75"/>
    <row r="58856" ht="12.75"/>
    <row r="58857" ht="12.75"/>
    <row r="58858" ht="12.75"/>
    <row r="58859" ht="12.75"/>
    <row r="58860" ht="12.75"/>
    <row r="58861" ht="12.75"/>
    <row r="58862" ht="12.75"/>
    <row r="58863" ht="12.75"/>
    <row r="58864" ht="12.75"/>
    <row r="58865" ht="12.75"/>
    <row r="58866" ht="12.75"/>
    <row r="58867" ht="12.75"/>
    <row r="58868" ht="12.75"/>
    <row r="58869" ht="12.75"/>
    <row r="58870" ht="12.75"/>
    <row r="58871" ht="12.75"/>
    <row r="58872" ht="12.75"/>
    <row r="58873" ht="12.75"/>
    <row r="58874" ht="12.75"/>
    <row r="58875" ht="12.75"/>
    <row r="58876" ht="12.75"/>
    <row r="58877" ht="12.75"/>
    <row r="58878" ht="12.75"/>
    <row r="58879" ht="12.75"/>
    <row r="58880" ht="12.75"/>
    <row r="58881" ht="12.75"/>
    <row r="58882" ht="12.75"/>
    <row r="58883" ht="12.75"/>
    <row r="58884" ht="12.75"/>
    <row r="58885" ht="12.75"/>
    <row r="58886" ht="12.75"/>
    <row r="58887" ht="12.75"/>
    <row r="58888" ht="12.75"/>
    <row r="58889" ht="12.75"/>
    <row r="58890" ht="12.75"/>
    <row r="58891" ht="12.75"/>
    <row r="58892" ht="12.75"/>
    <row r="58893" ht="12.75"/>
    <row r="58894" ht="12.75"/>
    <row r="58895" ht="12.75"/>
    <row r="58896" ht="12.75"/>
    <row r="58897" ht="12.75"/>
    <row r="58898" ht="12.75"/>
    <row r="58899" ht="12.75"/>
    <row r="58900" ht="12.75"/>
    <row r="58901" ht="12.75"/>
    <row r="58902" ht="12.75"/>
    <row r="58903" ht="12.75"/>
    <row r="58904" ht="12.75"/>
    <row r="58905" ht="12.75"/>
    <row r="58906" ht="12.75"/>
    <row r="58907" ht="12.75"/>
    <row r="58908" ht="12.75"/>
    <row r="58909" ht="12.75"/>
    <row r="58910" ht="12.75"/>
    <row r="58911" ht="12.75"/>
    <row r="58912" ht="12.75"/>
    <row r="58913" ht="12.75"/>
    <row r="58914" ht="12.75"/>
    <row r="58915" ht="12.75"/>
    <row r="58916" ht="12.75"/>
    <row r="58917" ht="12.75"/>
    <row r="58918" ht="12.75"/>
    <row r="58919" ht="12.75"/>
    <row r="58920" ht="12.75"/>
    <row r="58921" ht="12.75"/>
    <row r="58922" ht="12.75"/>
    <row r="58923" ht="12.75"/>
    <row r="58924" ht="12.75"/>
    <row r="58925" ht="12.75"/>
    <row r="58926" ht="12.75"/>
    <row r="58927" ht="12.75"/>
    <row r="58928" ht="12.75"/>
    <row r="58929" ht="12.75"/>
    <row r="58930" ht="12.75"/>
    <row r="58931" ht="12.75"/>
    <row r="58932" ht="12.75"/>
    <row r="58933" ht="12.75"/>
    <row r="58934" ht="12.75"/>
    <row r="58935" ht="12.75"/>
    <row r="58936" ht="12.75"/>
    <row r="58937" ht="12.75"/>
    <row r="58938" ht="12.75"/>
    <row r="58939" ht="12.75"/>
    <row r="58940" ht="12.75"/>
    <row r="58941" ht="12.75"/>
    <row r="58942" ht="12.75"/>
    <row r="58943" ht="12.75"/>
    <row r="58944" ht="12.75"/>
    <row r="58945" ht="12.75"/>
    <row r="58946" ht="12.75"/>
    <row r="58947" ht="12.75"/>
    <row r="58948" ht="12.75"/>
    <row r="58949" ht="12.75"/>
    <row r="58950" ht="12.75"/>
    <row r="58951" ht="12.75"/>
    <row r="58952" ht="12.75"/>
    <row r="58953" ht="12.75"/>
    <row r="58954" ht="12.75"/>
    <row r="58955" ht="12.75"/>
    <row r="58956" ht="12.75"/>
    <row r="58957" ht="12.75"/>
    <row r="58958" ht="12.75"/>
    <row r="58959" ht="12.75"/>
    <row r="58960" ht="12.75"/>
    <row r="58961" ht="12.75"/>
    <row r="58962" ht="12.75"/>
    <row r="58963" ht="12.75"/>
    <row r="58964" ht="12.75"/>
    <row r="58965" ht="12.75"/>
    <row r="58966" ht="12.75"/>
    <row r="58967" ht="12.75"/>
    <row r="58968" ht="12.75"/>
    <row r="58969" ht="12.75"/>
    <row r="58970" ht="12.75"/>
    <row r="58971" ht="12.75"/>
    <row r="58972" ht="12.75"/>
    <row r="58973" ht="12.75"/>
    <row r="58974" ht="12.75"/>
    <row r="58975" ht="12.75"/>
    <row r="58976" ht="12.75"/>
    <row r="58977" ht="12.75"/>
    <row r="58978" ht="12.75"/>
    <row r="58979" ht="12.75"/>
    <row r="58980" ht="12.75"/>
    <row r="58981" ht="12.75"/>
    <row r="58982" ht="12.75"/>
    <row r="58983" ht="12.75"/>
    <row r="58984" ht="12.75"/>
    <row r="58985" ht="12.75"/>
    <row r="58986" ht="12.75"/>
    <row r="58987" ht="12.75"/>
    <row r="58988" ht="12.75"/>
    <row r="58989" ht="12.75"/>
    <row r="58990" ht="12.75"/>
    <row r="58991" ht="12.75"/>
    <row r="58992" ht="12.75"/>
    <row r="58993" ht="12.75"/>
    <row r="58994" ht="12.75"/>
    <row r="58995" ht="12.75"/>
    <row r="58996" ht="12.75"/>
    <row r="58997" ht="12.75"/>
    <row r="58998" ht="12.75"/>
    <row r="58999" ht="12.75"/>
    <row r="59000" ht="12.75"/>
    <row r="59001" ht="12.75"/>
    <row r="59002" ht="12.75"/>
    <row r="59003" ht="12.75"/>
    <row r="59004" ht="12.75"/>
    <row r="59005" ht="12.75"/>
    <row r="59006" ht="12.75"/>
    <row r="59007" ht="12.75"/>
    <row r="59008" ht="12.75"/>
    <row r="59009" ht="12.75"/>
    <row r="59010" ht="12.75"/>
    <row r="59011" ht="12.75"/>
    <row r="59012" ht="12.75"/>
    <row r="59013" ht="12.75"/>
    <row r="59014" ht="12.75"/>
    <row r="59015" ht="12.75"/>
    <row r="59016" ht="12.75"/>
    <row r="59017" ht="12.75"/>
    <row r="59018" ht="12.75"/>
    <row r="59019" ht="12.75"/>
    <row r="59020" ht="12.75"/>
    <row r="59021" ht="12.75"/>
    <row r="59022" ht="12.75"/>
    <row r="59023" ht="12.75"/>
    <row r="59024" ht="12.75"/>
    <row r="59025" ht="12.75"/>
    <row r="59026" ht="12.75"/>
    <row r="59027" ht="12.75"/>
    <row r="59028" ht="12.75"/>
    <row r="59029" ht="12.75"/>
    <row r="59030" ht="12.75"/>
    <row r="59031" ht="12.75"/>
    <row r="59032" ht="12.75"/>
    <row r="59033" ht="12.75"/>
    <row r="59034" ht="12.75"/>
    <row r="59035" ht="12.75"/>
    <row r="59036" ht="12.75"/>
    <row r="59037" ht="12.75"/>
    <row r="59038" ht="12.75"/>
    <row r="59039" ht="12.75"/>
    <row r="59040" ht="12.75"/>
    <row r="59041" ht="12.75"/>
    <row r="59042" ht="12.75"/>
    <row r="59043" ht="12.75"/>
    <row r="59044" ht="12.75"/>
    <row r="59045" ht="12.75"/>
    <row r="59046" ht="12.75"/>
    <row r="59047" ht="12.75"/>
    <row r="59048" ht="12.75"/>
    <row r="59049" ht="12.75"/>
    <row r="59050" ht="12.75"/>
    <row r="59051" ht="12.75"/>
    <row r="59052" ht="12.75"/>
    <row r="59053" ht="12.75"/>
    <row r="59054" ht="12.75"/>
    <row r="59055" ht="12.75"/>
    <row r="59056" ht="12.75"/>
    <row r="59057" ht="12.75"/>
    <row r="59058" ht="12.75"/>
    <row r="59059" ht="12.75"/>
    <row r="59060" ht="12.75"/>
    <row r="59061" ht="12.75"/>
    <row r="59062" ht="12.75"/>
    <row r="59063" ht="12.75"/>
    <row r="59064" ht="12.75"/>
    <row r="59065" ht="12.75"/>
    <row r="59066" ht="12.75"/>
    <row r="59067" ht="12.75"/>
    <row r="59068" ht="12.75"/>
    <row r="59069" ht="12.75"/>
    <row r="59070" ht="12.75"/>
    <row r="59071" ht="12.75"/>
    <row r="59072" ht="12.75"/>
    <row r="59073" ht="12.75"/>
    <row r="59074" ht="12.75"/>
    <row r="59075" ht="12.75"/>
    <row r="59076" ht="12.75"/>
    <row r="59077" ht="12.75"/>
    <row r="59078" ht="12.75"/>
    <row r="59079" ht="12.75"/>
    <row r="59080" ht="12.75"/>
    <row r="59081" ht="12.75"/>
    <row r="59082" ht="12.75"/>
    <row r="59083" ht="12.75"/>
    <row r="59084" ht="12.75"/>
    <row r="59085" ht="12.75"/>
    <row r="59086" ht="12.75"/>
    <row r="59087" ht="12.75"/>
    <row r="59088" ht="12.75"/>
    <row r="59089" ht="12.75"/>
    <row r="59090" ht="12.75"/>
    <row r="59091" ht="12.75"/>
    <row r="59092" ht="12.75"/>
    <row r="59093" ht="12.75"/>
    <row r="59094" ht="12.75"/>
    <row r="59095" ht="12.75"/>
    <row r="59096" ht="12.75"/>
    <row r="59097" ht="12.75"/>
    <row r="59098" ht="12.75"/>
    <row r="59099" ht="12.75"/>
    <row r="59100" ht="12.75"/>
    <row r="59101" ht="12.75"/>
    <row r="59102" ht="12.75"/>
    <row r="59103" ht="12.75"/>
    <row r="59104" ht="12.75"/>
    <row r="59105" ht="12.75"/>
    <row r="59106" ht="12.75"/>
    <row r="59107" ht="12.75"/>
    <row r="59108" ht="12.75"/>
    <row r="59109" ht="12.75"/>
    <row r="59110" ht="12.75"/>
    <row r="59111" ht="12.75"/>
    <row r="59112" ht="12.75"/>
    <row r="59113" ht="12.75"/>
    <row r="59114" ht="12.75"/>
    <row r="59115" ht="12.75"/>
    <row r="59116" ht="12.75"/>
    <row r="59117" ht="12.75"/>
    <row r="59118" ht="12.75"/>
    <row r="59119" ht="12.75"/>
    <row r="59120" ht="12.75"/>
    <row r="59121" ht="12.75"/>
    <row r="59122" ht="12.75"/>
    <row r="59123" ht="12.75"/>
    <row r="59124" ht="12.75"/>
    <row r="59125" ht="12.75"/>
    <row r="59126" ht="12.75"/>
    <row r="59127" ht="12.75"/>
    <row r="59128" ht="12.75"/>
    <row r="59129" ht="12.75"/>
    <row r="59130" ht="12.75"/>
    <row r="59131" ht="12.75"/>
    <row r="59132" ht="12.75"/>
    <row r="59133" ht="12.75"/>
    <row r="59134" ht="12.75"/>
    <row r="59135" ht="12.75"/>
    <row r="59136" ht="12.75"/>
    <row r="59137" ht="12.75"/>
    <row r="59138" ht="12.75"/>
    <row r="59139" ht="12.75"/>
    <row r="59140" ht="12.75"/>
    <row r="59141" ht="12.75"/>
    <row r="59142" ht="12.75"/>
    <row r="59143" ht="12.75"/>
    <row r="59144" ht="12.75"/>
    <row r="59145" ht="12.75"/>
    <row r="59146" ht="12.75"/>
    <row r="59147" ht="12.75"/>
    <row r="59148" ht="12.75"/>
    <row r="59149" ht="12.75"/>
    <row r="59150" ht="12.75"/>
    <row r="59151" ht="12.75"/>
    <row r="59152" ht="12.75"/>
    <row r="59153" ht="12.75"/>
    <row r="59154" ht="12.75"/>
    <row r="59155" ht="12.75"/>
    <row r="59156" ht="12.75"/>
    <row r="59157" ht="12.75"/>
    <row r="59158" ht="12.75"/>
    <row r="59159" ht="12.75"/>
    <row r="59160" ht="12.75"/>
    <row r="59161" ht="12.75"/>
    <row r="59162" ht="12.75"/>
    <row r="59163" ht="12.75"/>
    <row r="59164" ht="12.75"/>
    <row r="59165" ht="12.75"/>
    <row r="59166" ht="12.75"/>
    <row r="59167" ht="12.75"/>
    <row r="59168" ht="12.75"/>
    <row r="59169" ht="12.75"/>
    <row r="59170" ht="12.75"/>
    <row r="59171" ht="12.75"/>
    <row r="59172" ht="12.75"/>
    <row r="59173" ht="12.75"/>
    <row r="59174" ht="12.75"/>
    <row r="59175" ht="12.75"/>
    <row r="59176" ht="12.75"/>
    <row r="59177" ht="12.75"/>
    <row r="59178" ht="12.75"/>
    <row r="59179" ht="12.75"/>
    <row r="59180" ht="12.75"/>
    <row r="59181" ht="12.75"/>
    <row r="59182" ht="12.75"/>
    <row r="59183" ht="12.75"/>
    <row r="59184" ht="12.75"/>
    <row r="59185" ht="12.75"/>
    <row r="59186" ht="12.75"/>
    <row r="59187" ht="12.75"/>
    <row r="59188" ht="12.75"/>
    <row r="59189" ht="12.75"/>
    <row r="59190" ht="12.75"/>
    <row r="59191" ht="12.75"/>
    <row r="59192" ht="12.75"/>
    <row r="59193" ht="12.75"/>
    <row r="59194" ht="12.75"/>
    <row r="59195" ht="12.75"/>
    <row r="59196" ht="12.75"/>
    <row r="59197" ht="12.75"/>
    <row r="59198" ht="12.75"/>
    <row r="59199" ht="12.75"/>
    <row r="59200" ht="12.75"/>
    <row r="59201" ht="12.75"/>
    <row r="59202" ht="12.75"/>
    <row r="59203" ht="12.75"/>
    <row r="59204" ht="12.75"/>
    <row r="59205" ht="12.75"/>
    <row r="59206" ht="12.75"/>
    <row r="59207" ht="12.75"/>
    <row r="59208" ht="12.75"/>
    <row r="59209" ht="12.75"/>
    <row r="59210" ht="12.75"/>
    <row r="59211" ht="12.75"/>
    <row r="59212" ht="12.75"/>
    <row r="59213" ht="12.75"/>
    <row r="59214" ht="12.75"/>
    <row r="59215" ht="12.75"/>
    <row r="59216" ht="12.75"/>
    <row r="59217" ht="12.75"/>
    <row r="59218" ht="12.75"/>
    <row r="59219" ht="12.75"/>
    <row r="59220" ht="12.75"/>
    <row r="59221" ht="12.75"/>
    <row r="59222" ht="12.75"/>
    <row r="59223" ht="12.75"/>
    <row r="59224" ht="12.75"/>
    <row r="59225" ht="12.75"/>
    <row r="59226" ht="12.75"/>
    <row r="59227" ht="12.75"/>
    <row r="59228" ht="12.75"/>
    <row r="59229" ht="12.75"/>
    <row r="59230" ht="12.75"/>
    <row r="59231" ht="12.75"/>
    <row r="59232" ht="12.75"/>
    <row r="59233" ht="12.75"/>
    <row r="59234" ht="12.75"/>
    <row r="59235" ht="12.75"/>
    <row r="59236" ht="12.75"/>
    <row r="59237" ht="12.75"/>
    <row r="59238" ht="12.75"/>
    <row r="59239" ht="12.75"/>
    <row r="59240" ht="12.75"/>
    <row r="59241" ht="12.75"/>
    <row r="59242" ht="12.75"/>
    <row r="59243" ht="12.75"/>
    <row r="59244" ht="12.75"/>
    <row r="59245" ht="12.75"/>
    <row r="59246" ht="12.75"/>
    <row r="59247" ht="12.75"/>
    <row r="59248" ht="12.75"/>
    <row r="59249" ht="12.75"/>
    <row r="59250" ht="12.75"/>
    <row r="59251" ht="12.75"/>
    <row r="59252" ht="12.75"/>
    <row r="59253" ht="12.75"/>
    <row r="59254" ht="12.75"/>
    <row r="59255" ht="12.75"/>
    <row r="59256" ht="12.75"/>
    <row r="59257" ht="12.75"/>
    <row r="59258" ht="12.75"/>
    <row r="59259" ht="12.75"/>
    <row r="59260" ht="12.75"/>
    <row r="59261" ht="12.75"/>
    <row r="59262" ht="12.75"/>
    <row r="59263" ht="12.75"/>
    <row r="59264" ht="12.75"/>
    <row r="59265" ht="12.75"/>
    <row r="59266" ht="12.75"/>
    <row r="59267" ht="12.75"/>
    <row r="59268" ht="12.75"/>
    <row r="59269" ht="12.75"/>
    <row r="59270" ht="12.75"/>
    <row r="59271" ht="12.75"/>
    <row r="59272" ht="12.75"/>
    <row r="59273" ht="12.75"/>
    <row r="59274" ht="12.75"/>
    <row r="59275" ht="12.75"/>
    <row r="59276" ht="12.75"/>
    <row r="59277" ht="12.75"/>
    <row r="59278" ht="12.75"/>
    <row r="59279" ht="12.75"/>
    <row r="59280" ht="12.75"/>
    <row r="59281" ht="12.75"/>
    <row r="59282" ht="12.75"/>
    <row r="59283" ht="12.75"/>
    <row r="59284" ht="12.75"/>
    <row r="59285" ht="12.75"/>
    <row r="59286" ht="12.75"/>
    <row r="59287" ht="12.75"/>
    <row r="59288" ht="12.75"/>
    <row r="59289" ht="12.75"/>
    <row r="59290" ht="12.75"/>
    <row r="59291" ht="12.75"/>
    <row r="59292" ht="12.75"/>
    <row r="59293" ht="12.75"/>
    <row r="59294" ht="12.75"/>
    <row r="59295" ht="12.75"/>
    <row r="59296" ht="12.75"/>
    <row r="59297" ht="12.75"/>
    <row r="59298" ht="12.75"/>
    <row r="59299" ht="12.75"/>
    <row r="59300" ht="12.75"/>
    <row r="59301" ht="12.75"/>
    <row r="59302" ht="12.75"/>
    <row r="59303" ht="12.75"/>
    <row r="59304" ht="12.75"/>
    <row r="59305" ht="12.75"/>
    <row r="59306" ht="12.75"/>
    <row r="59307" ht="12.75"/>
    <row r="59308" ht="12.75"/>
    <row r="59309" ht="12.75"/>
    <row r="59310" ht="12.75"/>
    <row r="59311" ht="12.75"/>
    <row r="59312" ht="12.75"/>
    <row r="59313" ht="12.75"/>
    <row r="59314" ht="12.75"/>
    <row r="59315" ht="12.75"/>
    <row r="59316" ht="12.75"/>
    <row r="59317" ht="12.75"/>
    <row r="59318" ht="12.75"/>
    <row r="59319" ht="12.75"/>
    <row r="59320" ht="12.75"/>
    <row r="59321" ht="12.75"/>
    <row r="59322" ht="12.75"/>
    <row r="59323" ht="12.75"/>
    <row r="59324" ht="12.75"/>
    <row r="59325" ht="12.75"/>
    <row r="59326" ht="12.75"/>
    <row r="59327" ht="12.75"/>
    <row r="59328" ht="12.75"/>
    <row r="59329" ht="12.75"/>
    <row r="59330" ht="12.75"/>
    <row r="59331" ht="12.75"/>
    <row r="59332" ht="12.75"/>
    <row r="59333" ht="12.75"/>
    <row r="59334" ht="12.75"/>
    <row r="59335" ht="12.75"/>
    <row r="59336" ht="12.75"/>
    <row r="59337" ht="12.75"/>
    <row r="59338" ht="12.75"/>
    <row r="59339" ht="12.75"/>
    <row r="59340" ht="12.75"/>
    <row r="59341" ht="12.75"/>
    <row r="59342" ht="12.75"/>
    <row r="59343" ht="12.75"/>
    <row r="59344" ht="12.75"/>
    <row r="59345" ht="12.75"/>
    <row r="59346" ht="12.75"/>
    <row r="59347" ht="12.75"/>
    <row r="59348" ht="12.75"/>
    <row r="59349" ht="12.75"/>
    <row r="59350" ht="12.75"/>
    <row r="59351" ht="12.75"/>
    <row r="59352" ht="12.75"/>
    <row r="59353" ht="12.75"/>
    <row r="59354" ht="12.75"/>
    <row r="59355" ht="12.75"/>
    <row r="59356" ht="12.75"/>
    <row r="59357" ht="12.75"/>
    <row r="59358" ht="12.75"/>
    <row r="59359" ht="12.75"/>
    <row r="59360" ht="12.75"/>
    <row r="59361" ht="12.75"/>
    <row r="59362" ht="12.75"/>
    <row r="59363" ht="12.75"/>
    <row r="59364" ht="12.75"/>
    <row r="59365" ht="12.75"/>
    <row r="59366" ht="12.75"/>
    <row r="59367" ht="12.75"/>
    <row r="59368" ht="12.75"/>
    <row r="59369" ht="12.75"/>
    <row r="59370" ht="12.75"/>
    <row r="59371" ht="12.75"/>
    <row r="59372" ht="12.75"/>
    <row r="59373" ht="12.75"/>
    <row r="59374" ht="12.75"/>
    <row r="59375" ht="12.75"/>
    <row r="59376" ht="12.75"/>
    <row r="59377" ht="12.75"/>
    <row r="59378" ht="12.75"/>
    <row r="59379" ht="12.75"/>
    <row r="59380" ht="12.75"/>
    <row r="59381" ht="12.75"/>
    <row r="59382" ht="12.75"/>
    <row r="59383" ht="12.75"/>
    <row r="59384" ht="12.75"/>
    <row r="59385" ht="12.75"/>
    <row r="59386" ht="12.75"/>
    <row r="59387" ht="12.75"/>
    <row r="59388" ht="12.75"/>
    <row r="59389" ht="12.75"/>
    <row r="59390" ht="12.75"/>
    <row r="59391" ht="12.75"/>
    <row r="59392" ht="12.75"/>
    <row r="59393" ht="12.75"/>
    <row r="59394" ht="12.75"/>
    <row r="59395" ht="12.75"/>
    <row r="59396" ht="12.75"/>
    <row r="59397" ht="12.75"/>
    <row r="59398" ht="12.75"/>
    <row r="59399" ht="12.75"/>
    <row r="59400" ht="12.75"/>
    <row r="59401" ht="12.75"/>
    <row r="59402" ht="12.75"/>
    <row r="59403" ht="12.75"/>
    <row r="59404" ht="12.75"/>
    <row r="59405" ht="12.75"/>
    <row r="59406" ht="12.75"/>
    <row r="59407" ht="12.75"/>
    <row r="59408" ht="12.75"/>
    <row r="59409" ht="12.75"/>
    <row r="59410" ht="12.75"/>
    <row r="59411" ht="12.75"/>
    <row r="59412" ht="12.75"/>
    <row r="59413" ht="12.75"/>
    <row r="59414" ht="12.75"/>
    <row r="59415" ht="12.75"/>
    <row r="59416" ht="12.75"/>
    <row r="59417" ht="12.75"/>
    <row r="59418" ht="12.75"/>
    <row r="59419" ht="12.75"/>
    <row r="59420" ht="12.75"/>
    <row r="59421" ht="12.75"/>
    <row r="59422" ht="12.75"/>
    <row r="59423" ht="12.75"/>
    <row r="59424" ht="12.75"/>
    <row r="59425" ht="12.75"/>
    <row r="59426" ht="12.75"/>
    <row r="59427" ht="12.75"/>
    <row r="59428" ht="12.75"/>
    <row r="59429" ht="12.75"/>
    <row r="59430" ht="12.75"/>
    <row r="59431" ht="12.75"/>
    <row r="59432" ht="12.75"/>
    <row r="59433" ht="12.75"/>
    <row r="59434" ht="12.75"/>
    <row r="59435" ht="12.75"/>
    <row r="59436" ht="12.75"/>
    <row r="59437" ht="12.75"/>
    <row r="59438" ht="12.75"/>
    <row r="59439" ht="12.75"/>
    <row r="59440" ht="12.75"/>
    <row r="59441" ht="12.75"/>
    <row r="59442" ht="12.75"/>
    <row r="59443" ht="12.75"/>
    <row r="59444" ht="12.75"/>
    <row r="59445" ht="12.75"/>
    <row r="59446" ht="12.75"/>
    <row r="59447" ht="12.75"/>
    <row r="59448" ht="12.75"/>
    <row r="59449" ht="12.75"/>
    <row r="59450" ht="12.75"/>
    <row r="59451" ht="12.75"/>
    <row r="59452" ht="12.75"/>
    <row r="59453" ht="12.75"/>
    <row r="59454" ht="12.75"/>
    <row r="59455" ht="12.75"/>
    <row r="59456" ht="12.75"/>
    <row r="59457" ht="12.75"/>
    <row r="59458" ht="12.75"/>
    <row r="59459" ht="12.75"/>
    <row r="59460" ht="12.75"/>
    <row r="59461" ht="12.75"/>
    <row r="59462" ht="12.75"/>
    <row r="59463" ht="12.75"/>
    <row r="59464" ht="12.75"/>
    <row r="59465" ht="12.75"/>
    <row r="59466" ht="12.75"/>
    <row r="59467" ht="12.75"/>
    <row r="59468" ht="12.75"/>
    <row r="59469" ht="12.75"/>
    <row r="59470" ht="12.75"/>
    <row r="59471" ht="12.75"/>
    <row r="59472" ht="12.75"/>
    <row r="59473" ht="12.75"/>
    <row r="59474" ht="12.75"/>
    <row r="59475" ht="12.75"/>
    <row r="59476" ht="12.75"/>
    <row r="59477" ht="12.75"/>
    <row r="59478" ht="12.75"/>
    <row r="59479" ht="12.75"/>
    <row r="59480" ht="12.75"/>
    <row r="59481" ht="12.75"/>
    <row r="59482" ht="12.75"/>
    <row r="59483" ht="12.75"/>
    <row r="59484" ht="12.75"/>
    <row r="59485" ht="12.75"/>
    <row r="59486" ht="12.75"/>
    <row r="59487" ht="12.75"/>
    <row r="59488" ht="12.75"/>
    <row r="59489" ht="12.75"/>
    <row r="59490" ht="12.75"/>
    <row r="59491" ht="12.75"/>
    <row r="59492" ht="12.75"/>
    <row r="59493" ht="12.75"/>
    <row r="59494" ht="12.75"/>
    <row r="59495" ht="12.75"/>
    <row r="59496" ht="12.75"/>
    <row r="59497" ht="12.75"/>
    <row r="59498" ht="12.75"/>
    <row r="59499" ht="12.75"/>
    <row r="59500" ht="12.75"/>
    <row r="59501" ht="12.75"/>
    <row r="59502" ht="12.75"/>
    <row r="59503" ht="12.75"/>
    <row r="59504" ht="12.75"/>
    <row r="59505" ht="12.75"/>
    <row r="59506" ht="12.75"/>
    <row r="59507" ht="12.75"/>
    <row r="59508" ht="12.75"/>
    <row r="59509" ht="12.75"/>
    <row r="59510" ht="12.75"/>
    <row r="59511" ht="12.75"/>
    <row r="59512" ht="12.75"/>
    <row r="59513" ht="12.75"/>
    <row r="59514" ht="12.75"/>
    <row r="59515" ht="12.75"/>
    <row r="59516" ht="12.75"/>
    <row r="59517" ht="12.75"/>
    <row r="59518" ht="12.75"/>
    <row r="59519" ht="12.75"/>
    <row r="59520" ht="12.75"/>
    <row r="59521" ht="12.75"/>
    <row r="59522" ht="12.75"/>
    <row r="59523" ht="12.75"/>
    <row r="59524" ht="12.75"/>
    <row r="59525" ht="12.75"/>
    <row r="59526" ht="12.75"/>
    <row r="59527" ht="12.75"/>
    <row r="59528" ht="12.75"/>
    <row r="59529" ht="12.75"/>
    <row r="59530" ht="12.75"/>
    <row r="59531" ht="12.75"/>
    <row r="59532" ht="12.75"/>
    <row r="59533" ht="12.75"/>
    <row r="59534" ht="12.75"/>
    <row r="59535" ht="12.75"/>
    <row r="59536" ht="12.75"/>
    <row r="59537" ht="12.75"/>
    <row r="59538" ht="12.75"/>
    <row r="59539" ht="12.75"/>
    <row r="59540" ht="12.75"/>
    <row r="59541" ht="12.75"/>
    <row r="59542" ht="12.75"/>
    <row r="59543" ht="12.75"/>
    <row r="59544" ht="12.75"/>
    <row r="59545" ht="12.75"/>
    <row r="59546" ht="12.75"/>
    <row r="59547" ht="12.75"/>
    <row r="59548" ht="12.75"/>
    <row r="59549" ht="12.75"/>
    <row r="59550" ht="12.75"/>
    <row r="59551" ht="12.75"/>
    <row r="59552" ht="12.75"/>
    <row r="59553" ht="12.75"/>
    <row r="59554" ht="12.75"/>
    <row r="59555" ht="12.75"/>
    <row r="59556" ht="12.75"/>
    <row r="59557" ht="12.75"/>
    <row r="59558" ht="12.75"/>
    <row r="59559" ht="12.75"/>
    <row r="59560" ht="12.75"/>
    <row r="59561" ht="12.75"/>
    <row r="59562" ht="12.75"/>
    <row r="59563" ht="12.75"/>
    <row r="59564" ht="12.75"/>
    <row r="59565" ht="12.75"/>
    <row r="59566" ht="12.75"/>
    <row r="59567" ht="12.75"/>
    <row r="59568" ht="12.75"/>
    <row r="59569" ht="12.75"/>
    <row r="59570" ht="12.75"/>
    <row r="59571" ht="12.75"/>
    <row r="59572" ht="12.75"/>
    <row r="59573" ht="12.75"/>
    <row r="59574" ht="12.75"/>
    <row r="59575" ht="12.75"/>
    <row r="59576" ht="12.75"/>
    <row r="59577" ht="12.75"/>
    <row r="59578" ht="12.75"/>
    <row r="59579" ht="12.75"/>
    <row r="59580" ht="12.75"/>
    <row r="59581" ht="12.75"/>
    <row r="59582" ht="12.75"/>
    <row r="59583" ht="12.75"/>
    <row r="59584" ht="12.75"/>
    <row r="59585" ht="12.75"/>
    <row r="59586" ht="12.75"/>
    <row r="59587" ht="12.75"/>
    <row r="59588" ht="12.75"/>
    <row r="59589" ht="12.75"/>
    <row r="59590" ht="12.75"/>
    <row r="59591" ht="12.75"/>
    <row r="59592" ht="12.75"/>
    <row r="59593" ht="12.75"/>
    <row r="59594" ht="12.75"/>
    <row r="59595" ht="12.75"/>
    <row r="59596" ht="12.75"/>
    <row r="59597" ht="12.75"/>
    <row r="59598" ht="12.75"/>
    <row r="59599" ht="12.75"/>
    <row r="59600" ht="12.75"/>
    <row r="59601" ht="12.75"/>
    <row r="59602" ht="12.75"/>
    <row r="59603" ht="12.75"/>
    <row r="59604" ht="12.75"/>
    <row r="59605" ht="12.75"/>
    <row r="59606" ht="12.75"/>
    <row r="59607" ht="12.75"/>
    <row r="59608" ht="12.75"/>
    <row r="59609" ht="12.75"/>
    <row r="59610" ht="12.75"/>
    <row r="59611" ht="12.75"/>
    <row r="59612" ht="12.75"/>
    <row r="59613" ht="12.75"/>
    <row r="59614" ht="12.75"/>
    <row r="59615" ht="12.75"/>
    <row r="59616" ht="12.75"/>
    <row r="59617" ht="12.75"/>
    <row r="59618" ht="12.75"/>
    <row r="59619" ht="12.75"/>
    <row r="59620" ht="12.75"/>
    <row r="59621" ht="12.75"/>
    <row r="59622" ht="12.75"/>
    <row r="59623" ht="12.75"/>
    <row r="59624" ht="12.75"/>
    <row r="59625" ht="12.75"/>
    <row r="59626" ht="12.75"/>
    <row r="59627" ht="12.75"/>
    <row r="59628" ht="12.75"/>
    <row r="59629" ht="12.75"/>
    <row r="59630" ht="12.75"/>
    <row r="59631" ht="12.75"/>
    <row r="59632" ht="12.75"/>
    <row r="59633" ht="12.75"/>
    <row r="59634" ht="12.75"/>
    <row r="59635" ht="12.75"/>
    <row r="59636" ht="12.75"/>
    <row r="59637" ht="12.75"/>
    <row r="59638" ht="12.75"/>
    <row r="59639" ht="12.75"/>
    <row r="59640" ht="12.75"/>
    <row r="59641" ht="12.75"/>
    <row r="59642" ht="12.75"/>
    <row r="59643" ht="12.75"/>
    <row r="59644" ht="12.75"/>
    <row r="59645" ht="12.75"/>
    <row r="59646" ht="12.75"/>
    <row r="59647" ht="12.75"/>
    <row r="59648" ht="12.75"/>
    <row r="59649" ht="12.75"/>
    <row r="59650" ht="12.75"/>
    <row r="59651" ht="12.75"/>
    <row r="59652" ht="12.75"/>
    <row r="59653" ht="12.75"/>
    <row r="59654" ht="12.75"/>
    <row r="59655" ht="12.75"/>
    <row r="59656" ht="12.75"/>
    <row r="59657" ht="12.75"/>
    <row r="59658" ht="12.75"/>
    <row r="59659" ht="12.75"/>
    <row r="59660" ht="12.75"/>
    <row r="59661" ht="12.75"/>
    <row r="59662" ht="12.75"/>
    <row r="59663" ht="12.75"/>
    <row r="59664" ht="12.75"/>
    <row r="59665" ht="12.75"/>
    <row r="59666" ht="12.75"/>
    <row r="59667" ht="12.75"/>
    <row r="59668" ht="12.75"/>
    <row r="59669" ht="12.75"/>
    <row r="59670" ht="12.75"/>
    <row r="59671" ht="12.75"/>
    <row r="59672" ht="12.75"/>
    <row r="59673" ht="12.75"/>
    <row r="59674" ht="12.75"/>
    <row r="59675" ht="12.75"/>
    <row r="59676" ht="12.75"/>
    <row r="59677" ht="12.75"/>
    <row r="59678" ht="12.75"/>
    <row r="59679" ht="12.75"/>
    <row r="59680" ht="12.75"/>
    <row r="59681" ht="12.75"/>
    <row r="59682" ht="12.75"/>
    <row r="59683" ht="12.75"/>
    <row r="59684" ht="12.75"/>
    <row r="59685" ht="12.75"/>
    <row r="59686" ht="12.75"/>
    <row r="59687" ht="12.75"/>
    <row r="59688" ht="12.75"/>
    <row r="59689" ht="12.75"/>
    <row r="59690" ht="12.75"/>
    <row r="59691" ht="12.75"/>
    <row r="59692" ht="12.75"/>
    <row r="59693" ht="12.75"/>
    <row r="59694" ht="12.75"/>
    <row r="59695" ht="12.75"/>
    <row r="59696" ht="12.75"/>
    <row r="59697" ht="12.75"/>
    <row r="59698" ht="12.75"/>
    <row r="59699" ht="12.75"/>
    <row r="59700" ht="12.75"/>
    <row r="59701" ht="12.75"/>
    <row r="59702" ht="12.75"/>
    <row r="59703" ht="12.75"/>
    <row r="59704" ht="12.75"/>
    <row r="59705" ht="12.75"/>
    <row r="59706" ht="12.75"/>
    <row r="59707" ht="12.75"/>
    <row r="59708" ht="12.75"/>
    <row r="59709" ht="12.75"/>
    <row r="59710" ht="12.75"/>
    <row r="59711" ht="12.75"/>
    <row r="59712" ht="12.75"/>
    <row r="59713" ht="12.75"/>
    <row r="59714" ht="12.75"/>
    <row r="59715" ht="12.75"/>
    <row r="59716" ht="12.75"/>
    <row r="59717" ht="12.75"/>
    <row r="59718" ht="12.75"/>
    <row r="59719" ht="12.75"/>
    <row r="59720" ht="12.75"/>
    <row r="59721" ht="12.75"/>
    <row r="59722" ht="12.75"/>
    <row r="59723" ht="12.75"/>
    <row r="59724" ht="12.75"/>
    <row r="59725" ht="12.75"/>
    <row r="59726" ht="12.75"/>
    <row r="59727" ht="12.75"/>
    <row r="59728" ht="12.75"/>
    <row r="59729" ht="12.75"/>
    <row r="59730" ht="12.75"/>
    <row r="59731" ht="12.75"/>
    <row r="59732" ht="12.75"/>
    <row r="59733" ht="12.75"/>
    <row r="59734" ht="12.75"/>
    <row r="59735" ht="12.75"/>
    <row r="59736" ht="12.75"/>
    <row r="59737" ht="12.75"/>
    <row r="59738" ht="12.75"/>
    <row r="59739" ht="12.75"/>
    <row r="59740" ht="12.75"/>
    <row r="59741" ht="12.75"/>
    <row r="59742" ht="12.75"/>
    <row r="59743" ht="12.75"/>
    <row r="59744" ht="12.75"/>
    <row r="59745" ht="12.75"/>
    <row r="59746" ht="12.75"/>
    <row r="59747" ht="12.75"/>
    <row r="59748" ht="12.75"/>
    <row r="59749" ht="12.75"/>
    <row r="59750" ht="12.75"/>
    <row r="59751" ht="12.75"/>
    <row r="59752" ht="12.75"/>
    <row r="59753" ht="12.75"/>
    <row r="59754" ht="12.75"/>
    <row r="59755" ht="12.75"/>
    <row r="59756" ht="12.75"/>
    <row r="59757" ht="12.75"/>
    <row r="59758" ht="12.75"/>
    <row r="59759" ht="12.75"/>
    <row r="59760" ht="12.75"/>
    <row r="59761" ht="12.75"/>
    <row r="59762" ht="12.75"/>
    <row r="59763" ht="12.75"/>
    <row r="59764" ht="12.75"/>
    <row r="59765" ht="12.75"/>
    <row r="59766" ht="12.75"/>
    <row r="59767" ht="12.75"/>
    <row r="59768" ht="12.75"/>
    <row r="59769" ht="12.75"/>
    <row r="59770" ht="12.75"/>
    <row r="59771" ht="12.75"/>
    <row r="59772" ht="12.75"/>
    <row r="59773" ht="12.75"/>
    <row r="59774" ht="12.75"/>
    <row r="59775" ht="12.75"/>
    <row r="59776" ht="12.75"/>
    <row r="59777" ht="12.75"/>
    <row r="59778" ht="12.75"/>
    <row r="59779" ht="12.75"/>
    <row r="59780" ht="12.75"/>
    <row r="59781" ht="12.75"/>
    <row r="59782" ht="12.75"/>
    <row r="59783" ht="12.75"/>
    <row r="59784" ht="12.75"/>
    <row r="59785" ht="12.75"/>
    <row r="59786" ht="12.75"/>
    <row r="59787" ht="12.75"/>
    <row r="59788" ht="12.75"/>
    <row r="59789" ht="12.75"/>
    <row r="59790" ht="12.75"/>
    <row r="59791" ht="12.75"/>
    <row r="59792" ht="12.75"/>
    <row r="59793" ht="12.75"/>
    <row r="59794" ht="12.75"/>
    <row r="59795" ht="12.75"/>
    <row r="59796" ht="12.75"/>
    <row r="59797" ht="12.75"/>
    <row r="59798" ht="12.75"/>
    <row r="59799" ht="12.75"/>
    <row r="59800" ht="12.75"/>
    <row r="59801" ht="12.75"/>
    <row r="59802" ht="12.75"/>
    <row r="59803" ht="12.75"/>
    <row r="59804" ht="12.75"/>
    <row r="59805" ht="12.75"/>
    <row r="59806" ht="12.75"/>
    <row r="59807" ht="12.75"/>
    <row r="59808" ht="12.75"/>
    <row r="59809" ht="12.75"/>
    <row r="59810" ht="12.75"/>
    <row r="59811" ht="12.75"/>
    <row r="59812" ht="12.75"/>
    <row r="59813" ht="12.75"/>
    <row r="59814" ht="12.75"/>
    <row r="59815" ht="12.75"/>
    <row r="59816" ht="12.75"/>
    <row r="59817" ht="12.75"/>
    <row r="59818" ht="12.75"/>
    <row r="59819" ht="12.75"/>
    <row r="59820" ht="12.75"/>
    <row r="59821" ht="12.75"/>
    <row r="59822" ht="12.75"/>
    <row r="59823" ht="12.75"/>
    <row r="59824" ht="12.75"/>
    <row r="59825" ht="12.75"/>
    <row r="59826" ht="12.75"/>
    <row r="59827" ht="12.75"/>
    <row r="59828" ht="12.75"/>
    <row r="59829" ht="12.75"/>
    <row r="59830" ht="12.75"/>
    <row r="59831" ht="12.75"/>
    <row r="59832" ht="12.75"/>
    <row r="59833" ht="12.75"/>
    <row r="59834" ht="12.75"/>
    <row r="59835" ht="12.75"/>
    <row r="59836" ht="12.75"/>
    <row r="59837" ht="12.75"/>
    <row r="59838" ht="12.75"/>
    <row r="59839" ht="12.75"/>
    <row r="59840" ht="12.75"/>
    <row r="59841" ht="12.75"/>
    <row r="59842" ht="12.75"/>
    <row r="59843" ht="12.75"/>
    <row r="59844" ht="12.75"/>
    <row r="59845" ht="12.75"/>
    <row r="59846" ht="12.75"/>
    <row r="59847" ht="12.75"/>
    <row r="59848" ht="12.75"/>
    <row r="59849" ht="12.75"/>
    <row r="59850" ht="12.75"/>
    <row r="59851" ht="12.75"/>
    <row r="59852" ht="12.75"/>
    <row r="59853" ht="12.75"/>
    <row r="59854" ht="12.75"/>
    <row r="59855" ht="12.75"/>
    <row r="59856" ht="12.75"/>
    <row r="59857" ht="12.75"/>
    <row r="59858" ht="12.75"/>
    <row r="59859" ht="12.75"/>
    <row r="59860" ht="12.75"/>
    <row r="59861" ht="12.75"/>
    <row r="59862" ht="12.75"/>
    <row r="59863" ht="12.75"/>
    <row r="59864" ht="12.75"/>
    <row r="59865" ht="12.75"/>
    <row r="59866" ht="12.75"/>
    <row r="59867" ht="12.75"/>
    <row r="59868" ht="12.75"/>
    <row r="59869" ht="12.75"/>
    <row r="59870" ht="12.75"/>
    <row r="59871" ht="12.75"/>
    <row r="59872" ht="12.75"/>
    <row r="59873" ht="12.75"/>
    <row r="59874" ht="12.75"/>
    <row r="59875" ht="12.75"/>
    <row r="59876" ht="12.75"/>
    <row r="59877" ht="12.75"/>
    <row r="59878" ht="12.75"/>
    <row r="59879" ht="12.75"/>
    <row r="59880" ht="12.75"/>
    <row r="59881" ht="12.75"/>
    <row r="59882" ht="12.75"/>
    <row r="59883" ht="12.75"/>
    <row r="59884" ht="12.75"/>
    <row r="59885" ht="12.75"/>
    <row r="59886" ht="12.75"/>
    <row r="59887" ht="12.75"/>
    <row r="59888" ht="12.75"/>
    <row r="59889" ht="12.75"/>
    <row r="59890" ht="12.75"/>
    <row r="59891" ht="12.75"/>
    <row r="59892" ht="12.75"/>
    <row r="59893" ht="12.75"/>
    <row r="59894" ht="12.75"/>
    <row r="59895" ht="12.75"/>
    <row r="59896" ht="12.75"/>
    <row r="59897" ht="12.75"/>
    <row r="59898" ht="12.75"/>
    <row r="59899" ht="12.75"/>
    <row r="59900" ht="12.75"/>
    <row r="59901" ht="12.75"/>
    <row r="59902" ht="12.75"/>
    <row r="59903" ht="12.75"/>
    <row r="59904" ht="12.75"/>
    <row r="59905" ht="12.75"/>
    <row r="59906" ht="12.75"/>
    <row r="59907" ht="12.75"/>
    <row r="59908" ht="12.75"/>
    <row r="59909" ht="12.75"/>
    <row r="59910" ht="12.75"/>
    <row r="59911" ht="12.75"/>
    <row r="59912" ht="12.75"/>
    <row r="59913" ht="12.75"/>
    <row r="59914" ht="12.75"/>
    <row r="59915" ht="12.75"/>
    <row r="59916" ht="12.75"/>
    <row r="59917" ht="12.75"/>
    <row r="59918" ht="12.75"/>
    <row r="59919" ht="12.75"/>
    <row r="59920" ht="12.75"/>
    <row r="59921" ht="12.75"/>
    <row r="59922" ht="12.75"/>
    <row r="59923" ht="12.75"/>
    <row r="59924" ht="12.75"/>
    <row r="59925" ht="12.75"/>
    <row r="59926" ht="12.75"/>
    <row r="59927" ht="12.75"/>
    <row r="59928" ht="12.75"/>
    <row r="59929" ht="12.75"/>
    <row r="59930" ht="12.75"/>
    <row r="59931" ht="12.75"/>
    <row r="59932" ht="12.75"/>
    <row r="59933" ht="12.75"/>
    <row r="59934" ht="12.75"/>
    <row r="59935" ht="12.75"/>
    <row r="59936" ht="12.75"/>
    <row r="59937" ht="12.75"/>
    <row r="59938" ht="12.75"/>
    <row r="59939" ht="12.75"/>
    <row r="59940" ht="12.75"/>
    <row r="59941" ht="12.75"/>
    <row r="59942" ht="12.75"/>
    <row r="59943" ht="12.75"/>
    <row r="59944" ht="12.75"/>
    <row r="59945" ht="12.75"/>
    <row r="59946" ht="12.75"/>
    <row r="59947" ht="12.75"/>
    <row r="59948" ht="12.75"/>
    <row r="59949" ht="12.75"/>
    <row r="59950" ht="12.75"/>
    <row r="59951" ht="12.75"/>
    <row r="59952" ht="12.75"/>
    <row r="59953" ht="12.75"/>
    <row r="59954" ht="12.75"/>
    <row r="59955" ht="12.75"/>
    <row r="59956" ht="12.75"/>
    <row r="59957" ht="12.75"/>
    <row r="59958" ht="12.75"/>
    <row r="59959" ht="12.75"/>
    <row r="59960" ht="12.75"/>
    <row r="59961" ht="12.75"/>
    <row r="59962" ht="12.75"/>
    <row r="59963" ht="12.75"/>
    <row r="59964" ht="12.75"/>
    <row r="59965" ht="12.75"/>
    <row r="59966" ht="12.75"/>
    <row r="59967" ht="12.75"/>
    <row r="59968" ht="12.75"/>
    <row r="59969" ht="12.75"/>
    <row r="59970" ht="12.75"/>
    <row r="59971" ht="12.75"/>
    <row r="59972" ht="12.75"/>
    <row r="59973" ht="12.75"/>
    <row r="59974" ht="12.75"/>
    <row r="59975" ht="12.75"/>
    <row r="59976" ht="12.75"/>
    <row r="59977" ht="12.75"/>
    <row r="59978" ht="12.75"/>
    <row r="59979" ht="12.75"/>
    <row r="59980" ht="12.75"/>
    <row r="59981" ht="12.75"/>
    <row r="59982" ht="12.75"/>
    <row r="59983" ht="12.75"/>
    <row r="59984" ht="12.75"/>
    <row r="59985" ht="12.75"/>
    <row r="59986" ht="12.75"/>
    <row r="59987" ht="12.75"/>
    <row r="59988" ht="12.75"/>
    <row r="59989" ht="12.75"/>
    <row r="59990" ht="12.75"/>
    <row r="59991" ht="12.75"/>
    <row r="59992" ht="12.75"/>
    <row r="59993" ht="12.75"/>
    <row r="59994" ht="12.75"/>
    <row r="59995" ht="12.75"/>
    <row r="59996" ht="12.75"/>
    <row r="59997" ht="12.75"/>
    <row r="59998" ht="12.75"/>
    <row r="59999" ht="12.75"/>
    <row r="60000" ht="12.75"/>
    <row r="60001" ht="12.75"/>
    <row r="60002" ht="12.75"/>
    <row r="60003" ht="12.75"/>
    <row r="60004" ht="12.75"/>
    <row r="60005" ht="12.75"/>
    <row r="60006" ht="12.75"/>
    <row r="60007" ht="12.75"/>
    <row r="60008" ht="12.75"/>
    <row r="60009" ht="12.75"/>
    <row r="60010" ht="12.75"/>
    <row r="60011" ht="12.75"/>
    <row r="60012" ht="12.75"/>
    <row r="60013" ht="12.75"/>
    <row r="60014" ht="12.75"/>
    <row r="60015" ht="12.75"/>
    <row r="60016" ht="12.75"/>
    <row r="60017" ht="12.75"/>
    <row r="60018" ht="12.75"/>
    <row r="60019" ht="12.75"/>
    <row r="60020" ht="12.75"/>
    <row r="60021" ht="12.75"/>
    <row r="60022" ht="12.75"/>
    <row r="60023" ht="12.75"/>
    <row r="60024" ht="12.75"/>
    <row r="60025" ht="12.75"/>
    <row r="60026" ht="12.75"/>
    <row r="60027" ht="12.75"/>
    <row r="60028" ht="12.75"/>
    <row r="60029" ht="12.75"/>
    <row r="60030" ht="12.75"/>
    <row r="60031" ht="12.75"/>
    <row r="60032" ht="12.75"/>
    <row r="60033" ht="12.75"/>
    <row r="60034" ht="12.75"/>
    <row r="60035" ht="12.75"/>
    <row r="60036" ht="12.75"/>
    <row r="60037" ht="12.75"/>
    <row r="60038" ht="12.75"/>
    <row r="60039" ht="12.75"/>
    <row r="60040" ht="12.75"/>
    <row r="60041" ht="12.75"/>
    <row r="60042" ht="12.75"/>
    <row r="60043" ht="12.75"/>
    <row r="60044" ht="12.75"/>
    <row r="60045" ht="12.75"/>
    <row r="60046" ht="12.75"/>
    <row r="60047" ht="12.75"/>
    <row r="60048" ht="12.75"/>
    <row r="60049" ht="12.75"/>
    <row r="60050" ht="12.75"/>
    <row r="60051" ht="12.75"/>
    <row r="60052" ht="12.75"/>
    <row r="60053" ht="12.75"/>
    <row r="60054" ht="12.75"/>
    <row r="60055" ht="12.75"/>
    <row r="60056" ht="12.75"/>
    <row r="60057" ht="12.75"/>
    <row r="60058" ht="12.75"/>
    <row r="60059" ht="12.75"/>
    <row r="60060" ht="12.75"/>
    <row r="60061" ht="12.75"/>
    <row r="60062" ht="12.75"/>
    <row r="60063" ht="12.75"/>
    <row r="60064" ht="12.75"/>
    <row r="60065" ht="12.75"/>
    <row r="60066" ht="12.75"/>
    <row r="60067" ht="12.75"/>
    <row r="60068" ht="12.75"/>
    <row r="60069" ht="12.75"/>
    <row r="60070" ht="12.75"/>
    <row r="60071" ht="12.75"/>
    <row r="60072" ht="12.75"/>
    <row r="60073" ht="12.75"/>
    <row r="60074" ht="12.75"/>
    <row r="60075" ht="12.75"/>
    <row r="60076" ht="12.75"/>
    <row r="60077" ht="12.75"/>
    <row r="60078" ht="12.75"/>
    <row r="60079" ht="12.75"/>
    <row r="60080" ht="12.75"/>
    <row r="60081" ht="12.75"/>
    <row r="60082" ht="12.75"/>
    <row r="60083" ht="12.75"/>
    <row r="60084" ht="12.75"/>
    <row r="60085" ht="12.75"/>
    <row r="60086" ht="12.75"/>
    <row r="60087" ht="12.75"/>
    <row r="60088" ht="12.75"/>
    <row r="60089" ht="12.75"/>
    <row r="60090" ht="12.75"/>
    <row r="60091" ht="12.75"/>
    <row r="60092" ht="12.75"/>
    <row r="60093" ht="12.75"/>
    <row r="60094" ht="12.75"/>
    <row r="60095" ht="12.75"/>
    <row r="60096" ht="12.75"/>
    <row r="60097" ht="12.75"/>
    <row r="60098" ht="12.75"/>
    <row r="60099" ht="12.75"/>
    <row r="60100" ht="12.75"/>
    <row r="60101" ht="12.75"/>
    <row r="60102" ht="12.75"/>
    <row r="60103" ht="12.75"/>
    <row r="60104" ht="12.75"/>
    <row r="60105" ht="12.75"/>
    <row r="60106" ht="12.75"/>
    <row r="60107" ht="12.75"/>
    <row r="60108" ht="12.75"/>
    <row r="60109" ht="12.75"/>
    <row r="60110" ht="12.75"/>
    <row r="60111" ht="12.75"/>
    <row r="60112" ht="12.75"/>
    <row r="60113" ht="12.75"/>
    <row r="60114" ht="12.75"/>
    <row r="60115" ht="12.75"/>
    <row r="60116" ht="12.75"/>
    <row r="60117" ht="12.75"/>
    <row r="60118" ht="12.75"/>
    <row r="60119" ht="12.75"/>
    <row r="60120" ht="12.75"/>
    <row r="60121" ht="12.75"/>
    <row r="60122" ht="12.75"/>
    <row r="60123" ht="12.75"/>
    <row r="60124" ht="12.75"/>
    <row r="60125" ht="12.75"/>
    <row r="60126" ht="12.75"/>
    <row r="60127" ht="12.75"/>
    <row r="60128" ht="12.75"/>
    <row r="60129" ht="12.75"/>
    <row r="60130" ht="12.75"/>
    <row r="60131" ht="12.75"/>
    <row r="60132" ht="12.75"/>
    <row r="60133" ht="12.75"/>
    <row r="60134" ht="12.75"/>
    <row r="60135" ht="12.75"/>
    <row r="60136" ht="12.75"/>
    <row r="60137" ht="12.75"/>
    <row r="60138" ht="12.75"/>
    <row r="60139" ht="12.75"/>
    <row r="60140" ht="12.75"/>
    <row r="60141" ht="12.75"/>
    <row r="60142" ht="12.75"/>
    <row r="60143" ht="12.75"/>
    <row r="60144" ht="12.75"/>
    <row r="60145" ht="12.75"/>
    <row r="60146" ht="12.75"/>
    <row r="60147" ht="12.75"/>
    <row r="60148" ht="12.75"/>
    <row r="60149" ht="12.75"/>
    <row r="60150" ht="12.75"/>
    <row r="60151" ht="12.75"/>
    <row r="60152" ht="12.75"/>
    <row r="60153" ht="12.75"/>
    <row r="60154" ht="12.75"/>
    <row r="60155" ht="12.75"/>
    <row r="60156" ht="12.75"/>
    <row r="60157" ht="12.75"/>
    <row r="60158" ht="12.75"/>
    <row r="60159" ht="12.75"/>
    <row r="60160" ht="12.75"/>
    <row r="60161" ht="12.75"/>
    <row r="60162" ht="12.75"/>
    <row r="60163" ht="12.75"/>
    <row r="60164" ht="12.75"/>
    <row r="60165" ht="12.75"/>
    <row r="60166" ht="12.75"/>
    <row r="60167" ht="12.75"/>
    <row r="60168" ht="12.75"/>
    <row r="60169" ht="12.75"/>
    <row r="60170" ht="12.75"/>
    <row r="60171" ht="12.75"/>
    <row r="60172" ht="12.75"/>
    <row r="60173" ht="12.75"/>
    <row r="60174" ht="12.75"/>
    <row r="60175" ht="12.75"/>
    <row r="60176" ht="12.75"/>
    <row r="60177" ht="12.75"/>
    <row r="60178" ht="12.75"/>
    <row r="60179" ht="12.75"/>
    <row r="60180" ht="12.75"/>
    <row r="60181" ht="12.75"/>
    <row r="60182" ht="12.75"/>
    <row r="60183" ht="12.75"/>
    <row r="60184" ht="12.75"/>
    <row r="60185" ht="12.75"/>
    <row r="60186" ht="12.75"/>
    <row r="60187" ht="12.75"/>
    <row r="60188" ht="12.75"/>
    <row r="60189" ht="12.75"/>
    <row r="60190" ht="12.75"/>
    <row r="60191" ht="12.75"/>
    <row r="60192" ht="12.75"/>
    <row r="60193" ht="12.75"/>
    <row r="60194" ht="12.75"/>
    <row r="60195" ht="12.75"/>
    <row r="60196" ht="12.75"/>
    <row r="60197" ht="12.75"/>
    <row r="60198" ht="12.75"/>
    <row r="60199" ht="12.75"/>
    <row r="60200" ht="12.75"/>
    <row r="60201" ht="12.75"/>
    <row r="60202" ht="12.75"/>
    <row r="60203" ht="12.75"/>
    <row r="60204" ht="12.75"/>
    <row r="60205" ht="12.75"/>
    <row r="60206" ht="12.75"/>
    <row r="60207" ht="12.75"/>
    <row r="60208" ht="12.75"/>
    <row r="60209" ht="12.75"/>
    <row r="60210" ht="12.75"/>
    <row r="60211" ht="12.75"/>
    <row r="60212" ht="12.75"/>
    <row r="60213" ht="12.75"/>
    <row r="60214" ht="12.75"/>
    <row r="60215" ht="12.75"/>
    <row r="60216" ht="12.75"/>
    <row r="60217" ht="12.75"/>
    <row r="60218" ht="12.75"/>
    <row r="60219" ht="12.75"/>
    <row r="60220" ht="12.75"/>
    <row r="60221" ht="12.75"/>
    <row r="60222" ht="12.75"/>
    <row r="60223" ht="12.75"/>
    <row r="60224" ht="12.75"/>
    <row r="60225" ht="12.75"/>
    <row r="60226" ht="12.75"/>
    <row r="60227" ht="12.75"/>
    <row r="60228" ht="12.75"/>
    <row r="60229" ht="12.75"/>
    <row r="60230" ht="12.75"/>
    <row r="60231" ht="12.75"/>
    <row r="60232" ht="12.75"/>
    <row r="60233" ht="12.75"/>
    <row r="60234" ht="12.75"/>
    <row r="60235" ht="12.75"/>
    <row r="60236" ht="12.75"/>
    <row r="60237" ht="12.75"/>
    <row r="60238" ht="12.75"/>
    <row r="60239" ht="12.75"/>
    <row r="60240" ht="12.75"/>
    <row r="60241" ht="12.75"/>
    <row r="60242" ht="12.75"/>
    <row r="60243" ht="12.75"/>
    <row r="60244" ht="12.75"/>
    <row r="60245" ht="12.75"/>
    <row r="60246" ht="12.75"/>
    <row r="60247" ht="12.75"/>
    <row r="60248" ht="12.75"/>
    <row r="60249" ht="12.75"/>
    <row r="60250" ht="12.75"/>
    <row r="60251" ht="12.75"/>
    <row r="60252" ht="12.75"/>
    <row r="60253" ht="12.75"/>
    <row r="60254" ht="12.75"/>
    <row r="60255" ht="12.75"/>
    <row r="60256" ht="12.75"/>
    <row r="60257" ht="12.75"/>
    <row r="60258" ht="12.75"/>
    <row r="60259" ht="12.75"/>
    <row r="60260" ht="12.75"/>
    <row r="60261" ht="12.75"/>
    <row r="60262" ht="12.75"/>
    <row r="60263" ht="12.75"/>
    <row r="60264" ht="12.75"/>
    <row r="60265" ht="12.75"/>
    <row r="60266" ht="12.75"/>
    <row r="60267" ht="12.75"/>
    <row r="60268" ht="12.75"/>
    <row r="60269" ht="12.75"/>
    <row r="60270" ht="12.75"/>
    <row r="60271" ht="12.75"/>
    <row r="60272" ht="12.75"/>
    <row r="60273" ht="12.75"/>
    <row r="60274" ht="12.75"/>
    <row r="60275" ht="12.75"/>
    <row r="60276" ht="12.75"/>
    <row r="60277" ht="12.75"/>
    <row r="60278" ht="12.75"/>
    <row r="60279" ht="12.75"/>
    <row r="60280" ht="12.75"/>
    <row r="60281" ht="12.75"/>
    <row r="60282" ht="12.75"/>
    <row r="60283" ht="12.75"/>
    <row r="60284" ht="12.75"/>
    <row r="60285" ht="12.75"/>
    <row r="60286" ht="12.75"/>
    <row r="60287" ht="12.75"/>
    <row r="60288" ht="12.75"/>
    <row r="60289" ht="12.75"/>
    <row r="60290" ht="12.75"/>
    <row r="60291" ht="12.75"/>
    <row r="60292" ht="12.75"/>
    <row r="60293" ht="12.75"/>
    <row r="60294" ht="12.75"/>
    <row r="60295" ht="12.75"/>
    <row r="60296" ht="12.75"/>
    <row r="60297" ht="12.75"/>
    <row r="60298" ht="12.75"/>
    <row r="60299" ht="12.75"/>
    <row r="60300" ht="12.75"/>
    <row r="60301" ht="12.75"/>
    <row r="60302" ht="12.75"/>
    <row r="60303" ht="12.75"/>
    <row r="60304" ht="12.75"/>
    <row r="60305" ht="12.75"/>
    <row r="60306" ht="12.75"/>
    <row r="60307" ht="12.75"/>
    <row r="60308" ht="12.75"/>
    <row r="60309" ht="12.75"/>
    <row r="60310" ht="12.75"/>
    <row r="60311" ht="12.75"/>
    <row r="60312" ht="12.75"/>
    <row r="60313" ht="12.75"/>
    <row r="60314" ht="12.75"/>
    <row r="60315" ht="12.75"/>
    <row r="60316" ht="12.75"/>
    <row r="60317" ht="12.75"/>
    <row r="60318" ht="12.75"/>
    <row r="60319" ht="12.75"/>
    <row r="60320" ht="12.75"/>
    <row r="60321" ht="12.75"/>
    <row r="60322" ht="12.75"/>
    <row r="60323" ht="12.75"/>
    <row r="60324" ht="12.75"/>
    <row r="60325" ht="12.75"/>
    <row r="60326" ht="12.75"/>
    <row r="60327" ht="12.75"/>
    <row r="60328" ht="12.75"/>
    <row r="60329" ht="12.75"/>
    <row r="60330" ht="12.75"/>
    <row r="60331" ht="12.75"/>
    <row r="60332" ht="12.75"/>
    <row r="60333" ht="12.75"/>
    <row r="60334" ht="12.75"/>
    <row r="60335" ht="12.75"/>
    <row r="60336" ht="12.75"/>
    <row r="60337" ht="12.75"/>
    <row r="60338" ht="12.75"/>
    <row r="60339" ht="12.75"/>
    <row r="60340" ht="12.75"/>
    <row r="60341" ht="12.75"/>
    <row r="60342" ht="12.75"/>
    <row r="60343" ht="12.75"/>
    <row r="60344" ht="12.75"/>
    <row r="60345" ht="12.75"/>
    <row r="60346" ht="12.75"/>
    <row r="60347" ht="12.75"/>
    <row r="60348" ht="12.75"/>
    <row r="60349" ht="12.75"/>
    <row r="60350" ht="12.75"/>
    <row r="60351" ht="12.75"/>
    <row r="60352" ht="12.75"/>
    <row r="60353" ht="12.75"/>
    <row r="60354" ht="12.75"/>
    <row r="60355" ht="12.75"/>
    <row r="60356" ht="12.75"/>
    <row r="60357" ht="12.75"/>
    <row r="60358" ht="12.75"/>
    <row r="60359" ht="12.75"/>
    <row r="60360" ht="12.75"/>
    <row r="60361" ht="12.75"/>
    <row r="60362" ht="12.75"/>
    <row r="60363" ht="12.75"/>
    <row r="60364" ht="12.75"/>
    <row r="60365" ht="12.75"/>
    <row r="60366" ht="12.75"/>
    <row r="60367" ht="12.75"/>
    <row r="60368" ht="12.75"/>
    <row r="60369" ht="12.75"/>
    <row r="60370" ht="12.75"/>
    <row r="60371" ht="12.75"/>
    <row r="60372" ht="12.75"/>
    <row r="60373" ht="12.75"/>
    <row r="60374" ht="12.75"/>
    <row r="60375" ht="12.75"/>
    <row r="60376" ht="12.75"/>
    <row r="60377" ht="12.75"/>
    <row r="60378" ht="12.75"/>
    <row r="60379" ht="12.75"/>
    <row r="60380" ht="12.75"/>
    <row r="60381" ht="12.75"/>
    <row r="60382" ht="12.75"/>
    <row r="60383" ht="12.75"/>
    <row r="60384" ht="12.75"/>
    <row r="60385" ht="12.75"/>
    <row r="60386" ht="12.75"/>
    <row r="60387" ht="12.75"/>
    <row r="60388" ht="12.75"/>
    <row r="60389" ht="12.75"/>
    <row r="60390" ht="12.75"/>
    <row r="60391" ht="12.75"/>
    <row r="60392" ht="12.75"/>
    <row r="60393" ht="12.75"/>
    <row r="60394" ht="12.75"/>
    <row r="60395" ht="12.75"/>
    <row r="60396" ht="12.75"/>
    <row r="60397" ht="12.75"/>
    <row r="60398" ht="12.75"/>
    <row r="60399" ht="12.75"/>
    <row r="60400" ht="12.75"/>
    <row r="60401" ht="12.75"/>
    <row r="60402" ht="12.75"/>
    <row r="60403" ht="12.75"/>
    <row r="60404" ht="12.75"/>
    <row r="60405" ht="12.75"/>
    <row r="60406" ht="12.75"/>
    <row r="60407" ht="12.75"/>
    <row r="60408" ht="12.75"/>
    <row r="60409" ht="12.75"/>
    <row r="60410" ht="12.75"/>
    <row r="60411" ht="12.75"/>
    <row r="60412" ht="12.75"/>
    <row r="60413" ht="12.75"/>
    <row r="60414" ht="12.75"/>
    <row r="60415" ht="12.75"/>
    <row r="60416" ht="12.75"/>
    <row r="60417" ht="12.75"/>
    <row r="60418" ht="12.75"/>
    <row r="60419" ht="12.75"/>
    <row r="60420" ht="12.75"/>
    <row r="60421" ht="12.75"/>
    <row r="60422" ht="12.75"/>
    <row r="60423" ht="12.75"/>
    <row r="60424" ht="12.75"/>
    <row r="60425" ht="12.75"/>
    <row r="60426" ht="12.75"/>
    <row r="60427" ht="12.75"/>
    <row r="60428" ht="12.75"/>
    <row r="60429" ht="12.75"/>
    <row r="60430" ht="12.75"/>
    <row r="60431" ht="12.75"/>
    <row r="60432" ht="12.75"/>
    <row r="60433" ht="12.75"/>
    <row r="60434" ht="12.75"/>
    <row r="60435" ht="12.75"/>
    <row r="60436" ht="12.75"/>
    <row r="60437" ht="12.75"/>
    <row r="60438" ht="12.75"/>
    <row r="60439" ht="12.75"/>
    <row r="60440" ht="12.75"/>
    <row r="60441" ht="12.75"/>
    <row r="60442" ht="12.75"/>
    <row r="60443" ht="12.75"/>
    <row r="60444" ht="12.75"/>
    <row r="60445" ht="12.75"/>
    <row r="60446" ht="12.75"/>
    <row r="60447" ht="12.75"/>
    <row r="60448" ht="12.75"/>
    <row r="60449" ht="12.75"/>
    <row r="60450" ht="12.75"/>
    <row r="60451" ht="12.75"/>
    <row r="60452" ht="12.75"/>
    <row r="60453" ht="12.75"/>
    <row r="60454" ht="12.75"/>
    <row r="60455" ht="12.75"/>
    <row r="60456" ht="12.75"/>
    <row r="60457" ht="12.75"/>
    <row r="60458" ht="12.75"/>
    <row r="60459" ht="12.75"/>
    <row r="60460" ht="12.75"/>
    <row r="60461" ht="12.75"/>
    <row r="60462" ht="12.75"/>
    <row r="60463" ht="12.75"/>
    <row r="60464" ht="12.75"/>
    <row r="60465" ht="12.75"/>
    <row r="60466" ht="12.75"/>
    <row r="60467" ht="12.75"/>
    <row r="60468" ht="12.75"/>
    <row r="60469" ht="12.75"/>
    <row r="60470" ht="12.75"/>
    <row r="60471" ht="12.75"/>
    <row r="60472" ht="12.75"/>
    <row r="60473" ht="12.75"/>
    <row r="60474" ht="12.75"/>
    <row r="60475" ht="12.75"/>
    <row r="60476" ht="12.75"/>
    <row r="60477" ht="12.75"/>
    <row r="60478" ht="12.75"/>
    <row r="60479" ht="12.75"/>
    <row r="60480" ht="12.75"/>
    <row r="60481" ht="12.75"/>
    <row r="60482" ht="12.75"/>
    <row r="60483" ht="12.75"/>
    <row r="60484" ht="12.75"/>
    <row r="60485" ht="12.75"/>
    <row r="60486" ht="12.75"/>
    <row r="60487" ht="12.75"/>
    <row r="60488" ht="12.75"/>
    <row r="60489" ht="12.75"/>
    <row r="60490" ht="12.75"/>
    <row r="60491" ht="12.75"/>
    <row r="60492" ht="12.75"/>
    <row r="60493" ht="12.75"/>
    <row r="60494" ht="12.75"/>
    <row r="60495" ht="12.75"/>
    <row r="60496" ht="12.75"/>
    <row r="60497" ht="12.75"/>
    <row r="60498" ht="12.75"/>
    <row r="60499" ht="12.75"/>
    <row r="60500" ht="12.75"/>
    <row r="60501" ht="12.75"/>
    <row r="60502" ht="12.75"/>
    <row r="60503" ht="12.75"/>
    <row r="60504" ht="12.75"/>
    <row r="60505" ht="12.75"/>
    <row r="60506" ht="12.75"/>
    <row r="60507" ht="12.75"/>
    <row r="60508" ht="12.75"/>
    <row r="60509" ht="12.75"/>
    <row r="60510" ht="12.75"/>
    <row r="60511" ht="12.75"/>
    <row r="60512" ht="12.75"/>
    <row r="60513" ht="12.75"/>
    <row r="60514" ht="12.75"/>
    <row r="60515" ht="12.75"/>
    <row r="60516" ht="12.75"/>
    <row r="60517" ht="12.75"/>
    <row r="60518" ht="12.75"/>
    <row r="60519" ht="12.75"/>
    <row r="60520" ht="12.75"/>
    <row r="60521" ht="12.75"/>
    <row r="60522" ht="12.75"/>
    <row r="60523" ht="12.75"/>
    <row r="60524" ht="12.75"/>
    <row r="60525" ht="12.75"/>
    <row r="60526" ht="12.75"/>
    <row r="60527" ht="12.75"/>
    <row r="60528" ht="12.75"/>
    <row r="60529" ht="12.75"/>
    <row r="60530" ht="12.75"/>
    <row r="60531" ht="12.75"/>
    <row r="60532" ht="12.75"/>
    <row r="60533" ht="12.75"/>
    <row r="60534" ht="12.75"/>
    <row r="60535" ht="12.75"/>
    <row r="60536" ht="12.75"/>
    <row r="60537" ht="12.75"/>
    <row r="60538" ht="12.75"/>
    <row r="60539" ht="12.75"/>
    <row r="60540" ht="12.75"/>
    <row r="60541" ht="12.75"/>
    <row r="60542" ht="12.75"/>
    <row r="60543" ht="12.75"/>
    <row r="60544" ht="12.75"/>
    <row r="60545" ht="12.75"/>
    <row r="60546" ht="12.75"/>
    <row r="60547" ht="12.75"/>
    <row r="60548" ht="12.75"/>
    <row r="60549" ht="12.75"/>
    <row r="60550" ht="12.75"/>
    <row r="60551" ht="12.75"/>
    <row r="60552" ht="12.75"/>
    <row r="60553" ht="12.75"/>
    <row r="60554" ht="12.75"/>
    <row r="60555" ht="12.75"/>
    <row r="60556" ht="12.75"/>
    <row r="60557" ht="12.75"/>
    <row r="60558" ht="12.75"/>
    <row r="60559" ht="12.75"/>
    <row r="60560" ht="12.75"/>
    <row r="60561" ht="12.75"/>
    <row r="60562" ht="12.75"/>
    <row r="60563" ht="12.75"/>
    <row r="60564" ht="12.75"/>
    <row r="60565" ht="12.75"/>
    <row r="60566" ht="12.75"/>
    <row r="60567" ht="12.75"/>
    <row r="60568" ht="12.75"/>
    <row r="60569" ht="12.75"/>
    <row r="60570" ht="12.75"/>
    <row r="60571" ht="12.75"/>
    <row r="60572" ht="12.75"/>
    <row r="60573" ht="12.75"/>
    <row r="60574" ht="12.75"/>
    <row r="60575" ht="12.75"/>
    <row r="60576" ht="12.75"/>
    <row r="60577" ht="12.75"/>
    <row r="60578" ht="12.75"/>
    <row r="60579" ht="12.75"/>
    <row r="60580" ht="12.75"/>
    <row r="60581" ht="12.75"/>
    <row r="60582" ht="12.75"/>
    <row r="60583" ht="12.75"/>
    <row r="60584" ht="12.75"/>
    <row r="60585" ht="12.75"/>
    <row r="60586" ht="12.75"/>
    <row r="60587" ht="12.75"/>
    <row r="60588" ht="12.75"/>
    <row r="60589" ht="12.75"/>
    <row r="60590" ht="12.75"/>
    <row r="60591" ht="12.75"/>
    <row r="60592" ht="12.75"/>
    <row r="60593" ht="12.75"/>
    <row r="60594" ht="12.75"/>
    <row r="60595" ht="12.75"/>
    <row r="60596" ht="12.75"/>
    <row r="60597" ht="12.75"/>
    <row r="60598" ht="12.75"/>
    <row r="60599" ht="12.75"/>
    <row r="60600" ht="12.75"/>
    <row r="60601" ht="12.75"/>
    <row r="60602" ht="12.75"/>
    <row r="60603" ht="12.75"/>
    <row r="60604" ht="12.75"/>
    <row r="60605" ht="12.75"/>
    <row r="60606" ht="12.75"/>
    <row r="60607" ht="12.75"/>
    <row r="60608" ht="12.75"/>
    <row r="60609" ht="12.75"/>
    <row r="60610" ht="12.75"/>
    <row r="60611" ht="12.75"/>
    <row r="60612" ht="12.75"/>
    <row r="60613" ht="12.75"/>
    <row r="60614" ht="12.75"/>
    <row r="60615" ht="12.75"/>
    <row r="60616" ht="12.75"/>
    <row r="60617" ht="12.75"/>
    <row r="60618" ht="12.75"/>
    <row r="60619" ht="12.75"/>
    <row r="60620" ht="12.75"/>
    <row r="60621" ht="12.75"/>
    <row r="60622" ht="12.75"/>
    <row r="60623" ht="12.75"/>
    <row r="60624" ht="12.75"/>
    <row r="60625" ht="12.75"/>
    <row r="60626" ht="12.75"/>
    <row r="60627" ht="12.75"/>
    <row r="60628" ht="12.75"/>
    <row r="60629" ht="12.75"/>
    <row r="60630" ht="12.75"/>
    <row r="60631" ht="12.75"/>
    <row r="60632" ht="12.75"/>
    <row r="60633" ht="12.75"/>
    <row r="60634" ht="12.75"/>
    <row r="60635" ht="12.75"/>
    <row r="60636" ht="12.75"/>
    <row r="60637" ht="12.75"/>
    <row r="60638" ht="12.75"/>
    <row r="60639" ht="12.75"/>
    <row r="60640" ht="12.75"/>
    <row r="60641" ht="12.75"/>
    <row r="60642" ht="12.75"/>
    <row r="60643" ht="12.75"/>
    <row r="60644" ht="12.75"/>
    <row r="60645" ht="12.75"/>
    <row r="60646" ht="12.75"/>
    <row r="60647" ht="12.75"/>
    <row r="60648" ht="12.75"/>
    <row r="60649" ht="12.75"/>
    <row r="60650" ht="12.75"/>
    <row r="60651" ht="12.75"/>
    <row r="60652" ht="12.75"/>
    <row r="60653" ht="12.75"/>
    <row r="60654" ht="12.75"/>
    <row r="60655" ht="12.75"/>
    <row r="60656" ht="12.75"/>
    <row r="60657" ht="12.75"/>
    <row r="60658" ht="12.75"/>
    <row r="60659" ht="12.75"/>
    <row r="60660" ht="12.75"/>
    <row r="60661" ht="12.75"/>
    <row r="60662" ht="12.75"/>
    <row r="60663" ht="12.75"/>
    <row r="60664" ht="12.75"/>
    <row r="60665" ht="12.75"/>
    <row r="60666" ht="12.75"/>
    <row r="60667" ht="12.75"/>
    <row r="60668" ht="12.75"/>
    <row r="60669" ht="12.75"/>
    <row r="60670" ht="12.75"/>
    <row r="60671" ht="12.75"/>
    <row r="60672" ht="12.75"/>
    <row r="60673" ht="12.75"/>
    <row r="60674" ht="12.75"/>
    <row r="60675" ht="12.75"/>
    <row r="60676" ht="12.75"/>
    <row r="60677" ht="12.75"/>
    <row r="60678" ht="12.75"/>
    <row r="60679" ht="12.75"/>
    <row r="60680" ht="12.75"/>
    <row r="60681" ht="12.75"/>
    <row r="60682" ht="12.75"/>
    <row r="60683" ht="12.75"/>
    <row r="60684" ht="12.75"/>
    <row r="60685" ht="12.75"/>
    <row r="60686" ht="12.75"/>
    <row r="60687" ht="12.75"/>
    <row r="60688" ht="12.75"/>
    <row r="60689" ht="12.75"/>
    <row r="60690" ht="12.75"/>
    <row r="60691" ht="12.75"/>
    <row r="60692" ht="12.75"/>
    <row r="60693" ht="12.75"/>
    <row r="60694" ht="12.75"/>
    <row r="60695" ht="12.75"/>
    <row r="60696" ht="12.75"/>
    <row r="60697" ht="12.75"/>
    <row r="60698" ht="12.75"/>
    <row r="60699" ht="12.75"/>
    <row r="60700" ht="12.75"/>
    <row r="60701" ht="12.75"/>
    <row r="60702" ht="12.75"/>
    <row r="60703" ht="12.75"/>
    <row r="60704" ht="12.75"/>
    <row r="60705" ht="12.75"/>
    <row r="60706" ht="12.75"/>
    <row r="60707" ht="12.75"/>
    <row r="60708" ht="12.75"/>
    <row r="60709" ht="12.75"/>
    <row r="60710" ht="12.75"/>
    <row r="60711" ht="12.75"/>
    <row r="60712" ht="12.75"/>
    <row r="60713" ht="12.75"/>
    <row r="60714" ht="12.75"/>
    <row r="60715" ht="12.75"/>
    <row r="60716" ht="12.75"/>
    <row r="60717" ht="12.75"/>
    <row r="60718" ht="12.75"/>
    <row r="60719" ht="12.75"/>
    <row r="60720" ht="12.75"/>
    <row r="60721" ht="12.75"/>
    <row r="60722" ht="12.75"/>
    <row r="60723" ht="12.75"/>
    <row r="60724" ht="12.75"/>
    <row r="60725" ht="12.75"/>
    <row r="60726" ht="12.75"/>
    <row r="60727" ht="12.75"/>
    <row r="60728" ht="12.75"/>
    <row r="60729" ht="12.75"/>
    <row r="60730" ht="12.75"/>
    <row r="60731" ht="12.75"/>
    <row r="60732" ht="12.75"/>
    <row r="60733" ht="12.75"/>
    <row r="60734" ht="12.75"/>
    <row r="60735" ht="12.75"/>
    <row r="60736" ht="12.75"/>
    <row r="60737" ht="12.75"/>
    <row r="60738" ht="12.75"/>
    <row r="60739" ht="12.75"/>
    <row r="60740" ht="12.75"/>
    <row r="60741" ht="12.75"/>
    <row r="60742" ht="12.75"/>
    <row r="60743" ht="12.75"/>
    <row r="60744" ht="12.75"/>
    <row r="60745" ht="12.75"/>
    <row r="60746" ht="12.75"/>
    <row r="60747" ht="12.75"/>
    <row r="60748" ht="12.75"/>
    <row r="60749" ht="12.75"/>
    <row r="60750" ht="12.75"/>
    <row r="60751" ht="12.75"/>
    <row r="60752" ht="12.75"/>
    <row r="60753" ht="12.75"/>
    <row r="60754" ht="12.75"/>
    <row r="60755" ht="12.75"/>
    <row r="60756" ht="12.75"/>
    <row r="60757" ht="12.75"/>
    <row r="60758" ht="12.75"/>
    <row r="60759" ht="12.75"/>
    <row r="60760" ht="12.75"/>
    <row r="60761" ht="12.75"/>
    <row r="60762" ht="12.75"/>
    <row r="60763" ht="12.75"/>
    <row r="60764" ht="12.75"/>
    <row r="60765" ht="12.75"/>
    <row r="60766" ht="12.75"/>
    <row r="60767" ht="12.75"/>
    <row r="60768" ht="12.75"/>
    <row r="60769" ht="12.75"/>
    <row r="60770" ht="12.75"/>
    <row r="60771" ht="12.75"/>
    <row r="60772" ht="12.75"/>
    <row r="60773" ht="12.75"/>
    <row r="60774" ht="12.75"/>
    <row r="60775" ht="12.75"/>
    <row r="60776" ht="12.75"/>
    <row r="60777" ht="12.75"/>
    <row r="60778" ht="12.75"/>
    <row r="60779" ht="12.75"/>
    <row r="60780" ht="12.75"/>
    <row r="60781" ht="12.75"/>
    <row r="60782" ht="12.75"/>
    <row r="60783" ht="12.75"/>
    <row r="60784" ht="12.75"/>
    <row r="60785" ht="12.75"/>
    <row r="60786" ht="12.75"/>
    <row r="60787" ht="12.75"/>
    <row r="60788" ht="12.75"/>
    <row r="60789" ht="12.75"/>
    <row r="60790" ht="12.75"/>
    <row r="60791" ht="12.75"/>
    <row r="60792" ht="12.75"/>
    <row r="60793" ht="12.75"/>
    <row r="60794" ht="12.75"/>
    <row r="60795" ht="12.75"/>
    <row r="60796" ht="12.75"/>
    <row r="60797" ht="12.75"/>
    <row r="60798" ht="12.75"/>
    <row r="60799" ht="12.75"/>
    <row r="60800" ht="12.75"/>
    <row r="60801" ht="12.75"/>
    <row r="60802" ht="12.75"/>
    <row r="60803" ht="12.75"/>
    <row r="60804" ht="12.75"/>
    <row r="60805" ht="12.75"/>
    <row r="60806" ht="12.75"/>
    <row r="60807" ht="12.75"/>
    <row r="60808" ht="12.75"/>
    <row r="60809" ht="12.75"/>
    <row r="60810" ht="12.75"/>
    <row r="60811" ht="12.75"/>
    <row r="60812" ht="12.75"/>
    <row r="60813" ht="12.75"/>
    <row r="60814" ht="12.75"/>
    <row r="60815" ht="12.75"/>
    <row r="60816" ht="12.75"/>
    <row r="60817" ht="12.75"/>
    <row r="60818" ht="12.75"/>
    <row r="60819" ht="12.75"/>
    <row r="60820" ht="12.75"/>
    <row r="60821" ht="12.75"/>
    <row r="60822" ht="12.75"/>
    <row r="60823" ht="12.75"/>
    <row r="60824" ht="12.75"/>
    <row r="60825" ht="12.75"/>
    <row r="60826" ht="12.75"/>
    <row r="60827" ht="12.75"/>
    <row r="60828" ht="12.75"/>
    <row r="60829" ht="12.75"/>
    <row r="60830" ht="12.75"/>
    <row r="60831" ht="12.75"/>
    <row r="60832" ht="12.75"/>
    <row r="60833" ht="12.75"/>
    <row r="60834" ht="12.75"/>
    <row r="60835" ht="12.75"/>
    <row r="60836" ht="12.75"/>
    <row r="60837" ht="12.75"/>
    <row r="60838" ht="12.75"/>
    <row r="60839" ht="12.75"/>
    <row r="60840" ht="12.75"/>
    <row r="60841" ht="12.75"/>
    <row r="60842" ht="12.75"/>
    <row r="60843" ht="12.75"/>
    <row r="60844" ht="12.75"/>
    <row r="60845" ht="12.75"/>
    <row r="60846" ht="12.75"/>
    <row r="60847" ht="12.75"/>
    <row r="60848" ht="12.75"/>
    <row r="60849" ht="12.75"/>
    <row r="60850" ht="12.75"/>
    <row r="60851" ht="12.75"/>
    <row r="60852" ht="12.75"/>
    <row r="60853" ht="12.75"/>
    <row r="60854" ht="12.75"/>
    <row r="60855" ht="12.75"/>
    <row r="60856" ht="12.75"/>
    <row r="60857" ht="12.75"/>
    <row r="60858" ht="12.75"/>
    <row r="60859" ht="12.75"/>
    <row r="60860" ht="12.75"/>
    <row r="60861" ht="12.75"/>
    <row r="60862" ht="12.75"/>
    <row r="60863" ht="12.75"/>
    <row r="60864" ht="12.75"/>
    <row r="60865" ht="12.75"/>
    <row r="60866" ht="12.75"/>
    <row r="60867" ht="12.75"/>
    <row r="60868" ht="12.75"/>
    <row r="60869" ht="12.75"/>
    <row r="60870" ht="12.75"/>
    <row r="60871" ht="12.75"/>
    <row r="60872" ht="12.75"/>
    <row r="60873" ht="12.75"/>
    <row r="60874" ht="12.75"/>
    <row r="60875" ht="12.75"/>
    <row r="60876" ht="12.75"/>
    <row r="60877" ht="12.75"/>
    <row r="60878" ht="12.75"/>
    <row r="60879" ht="12.75"/>
    <row r="60880" ht="12.75"/>
    <row r="60881" ht="12.75"/>
    <row r="60882" ht="12.75"/>
    <row r="60883" ht="12.75"/>
    <row r="60884" ht="12.75"/>
    <row r="60885" ht="12.75"/>
    <row r="60886" ht="12.75"/>
    <row r="60887" ht="12.75"/>
    <row r="60888" ht="12.75"/>
    <row r="60889" ht="12.75"/>
    <row r="60890" ht="12.75"/>
    <row r="60891" ht="12.75"/>
    <row r="60892" ht="12.75"/>
    <row r="60893" ht="12.75"/>
    <row r="60894" ht="12.75"/>
    <row r="60895" ht="12.75"/>
    <row r="60896" ht="12.75"/>
    <row r="60897" ht="12.75"/>
    <row r="60898" ht="12.75"/>
    <row r="60899" ht="12.75"/>
    <row r="60900" ht="12.75"/>
    <row r="60901" ht="12.75"/>
    <row r="60902" ht="12.75"/>
    <row r="60903" ht="12.75"/>
    <row r="60904" ht="12.75"/>
    <row r="60905" ht="12.75"/>
    <row r="60906" ht="12.75"/>
    <row r="60907" ht="12.75"/>
    <row r="60908" ht="12.75"/>
    <row r="60909" ht="12.75"/>
    <row r="60910" ht="12.75"/>
    <row r="60911" ht="12.75"/>
    <row r="60912" ht="12.75"/>
    <row r="60913" ht="12.75"/>
    <row r="60914" ht="12.75"/>
    <row r="60915" ht="12.75"/>
    <row r="60916" ht="12.75"/>
    <row r="60917" ht="12.75"/>
    <row r="60918" ht="12.75"/>
    <row r="60919" ht="12.75"/>
    <row r="60920" ht="12.75"/>
    <row r="60921" ht="12.75"/>
    <row r="60922" ht="12.75"/>
    <row r="60923" ht="12.75"/>
    <row r="60924" ht="12.75"/>
    <row r="60925" ht="12.75"/>
    <row r="60926" ht="12.75"/>
    <row r="60927" ht="12.75"/>
    <row r="60928" ht="12.75"/>
    <row r="60929" ht="12.75"/>
    <row r="60930" ht="12.75"/>
    <row r="60931" ht="12.75"/>
    <row r="60932" ht="12.75"/>
    <row r="60933" ht="12.75"/>
    <row r="60934" ht="12.75"/>
    <row r="60935" ht="12.75"/>
    <row r="60936" ht="12.75"/>
    <row r="60937" ht="12.75"/>
    <row r="60938" ht="12.75"/>
    <row r="60939" ht="12.75"/>
    <row r="60940" ht="12.75"/>
    <row r="60941" ht="12.75"/>
    <row r="60942" ht="12.75"/>
    <row r="60943" ht="12.75"/>
    <row r="60944" ht="12.75"/>
    <row r="60945" ht="12.75"/>
    <row r="60946" ht="12.75"/>
    <row r="60947" ht="12.75"/>
    <row r="60948" ht="12.75"/>
    <row r="60949" ht="12.75"/>
    <row r="60950" ht="12.75"/>
    <row r="60951" ht="12.75"/>
    <row r="60952" ht="12.75"/>
    <row r="60953" ht="12.75"/>
    <row r="60954" ht="12.75"/>
    <row r="60955" ht="12.75"/>
    <row r="60956" ht="12.75"/>
    <row r="60957" ht="12.75"/>
    <row r="60958" ht="12.75"/>
    <row r="60959" ht="12.75"/>
    <row r="60960" ht="12.75"/>
    <row r="60961" ht="12.75"/>
    <row r="60962" ht="12.75"/>
    <row r="60963" ht="12.75"/>
    <row r="60964" ht="12.75"/>
    <row r="60965" ht="12.75"/>
    <row r="60966" ht="12.75"/>
    <row r="60967" ht="12.75"/>
    <row r="60968" ht="12.75"/>
    <row r="60969" ht="12.75"/>
    <row r="60970" ht="12.75"/>
    <row r="60971" ht="12.75"/>
    <row r="60972" ht="12.75"/>
    <row r="60973" ht="12.75"/>
    <row r="60974" ht="12.75"/>
    <row r="60975" ht="12.75"/>
    <row r="60976" ht="12.75"/>
    <row r="60977" ht="12.75"/>
    <row r="60978" ht="12.75"/>
    <row r="60979" ht="12.75"/>
    <row r="60980" ht="12.75"/>
    <row r="60981" ht="12.75"/>
    <row r="60982" ht="12.75"/>
    <row r="60983" ht="12.75"/>
    <row r="60984" ht="12.75"/>
    <row r="60985" ht="12.75"/>
    <row r="60986" ht="12.75"/>
    <row r="60987" ht="12.75"/>
    <row r="60988" ht="12.75"/>
    <row r="60989" ht="12.75"/>
    <row r="60990" ht="12.75"/>
    <row r="60991" ht="12.75"/>
    <row r="60992" ht="12.75"/>
    <row r="60993" ht="12.75"/>
    <row r="60994" ht="12.75"/>
    <row r="60995" ht="12.75"/>
    <row r="60996" ht="12.75"/>
    <row r="60997" ht="12.75"/>
    <row r="60998" ht="12.75"/>
    <row r="60999" ht="12.75"/>
    <row r="61000" ht="12.75"/>
    <row r="61001" ht="12.75"/>
    <row r="61002" ht="12.75"/>
    <row r="61003" ht="12.75"/>
    <row r="61004" ht="12.75"/>
    <row r="61005" ht="12.75"/>
    <row r="61006" ht="12.75"/>
    <row r="61007" ht="12.75"/>
    <row r="61008" ht="12.75"/>
    <row r="61009" ht="12.75"/>
    <row r="61010" ht="12.75"/>
    <row r="61011" ht="12.75"/>
    <row r="61012" ht="12.75"/>
    <row r="61013" ht="12.75"/>
    <row r="61014" ht="12.75"/>
    <row r="61015" ht="12.75"/>
    <row r="61016" ht="12.75"/>
    <row r="61017" ht="12.75"/>
    <row r="61018" ht="12.75"/>
    <row r="61019" ht="12.75"/>
    <row r="61020" ht="12.75"/>
    <row r="61021" ht="12.75"/>
    <row r="61022" ht="12.75"/>
    <row r="61023" ht="12.75"/>
    <row r="61024" ht="12.75"/>
    <row r="61025" ht="12.75"/>
    <row r="61026" ht="12.75"/>
    <row r="61027" ht="12.75"/>
    <row r="61028" ht="12.75"/>
    <row r="61029" ht="12.75"/>
    <row r="61030" ht="12.75"/>
    <row r="61031" ht="12.75"/>
    <row r="61032" ht="12.75"/>
    <row r="61033" ht="12.75"/>
    <row r="61034" ht="12.75"/>
    <row r="61035" ht="12.75"/>
    <row r="61036" ht="12.75"/>
    <row r="61037" ht="12.75"/>
    <row r="61038" ht="12.75"/>
    <row r="61039" ht="12.75"/>
    <row r="61040" ht="12.75"/>
    <row r="61041" ht="12.75"/>
    <row r="61042" ht="12.75"/>
    <row r="61043" ht="12.75"/>
    <row r="61044" ht="12.75"/>
    <row r="61045" ht="12.75"/>
    <row r="61046" ht="12.75"/>
    <row r="61047" ht="12.75"/>
    <row r="61048" ht="12.75"/>
    <row r="61049" ht="12.75"/>
    <row r="61050" ht="12.75"/>
    <row r="61051" ht="12.75"/>
    <row r="61052" ht="12.75"/>
    <row r="61053" ht="12.75"/>
    <row r="61054" ht="12.75"/>
    <row r="61055" ht="12.75"/>
    <row r="61056" ht="12.75"/>
    <row r="61057" ht="12.75"/>
    <row r="61058" ht="12.75"/>
    <row r="61059" ht="12.75"/>
    <row r="61060" ht="12.75"/>
    <row r="61061" ht="12.75"/>
    <row r="61062" ht="12.75"/>
    <row r="61063" ht="12.75"/>
    <row r="61064" ht="12.75"/>
    <row r="61065" ht="12.75"/>
    <row r="61066" ht="12.75"/>
    <row r="61067" ht="12.75"/>
    <row r="61068" ht="12.75"/>
    <row r="61069" ht="12.75"/>
    <row r="61070" ht="12.75"/>
    <row r="61071" ht="12.75"/>
    <row r="61072" ht="12.75"/>
    <row r="61073" ht="12.75"/>
    <row r="61074" ht="12.75"/>
    <row r="61075" ht="12.75"/>
    <row r="61076" ht="12.75"/>
    <row r="61077" ht="12.75"/>
    <row r="61078" ht="12.75"/>
    <row r="61079" ht="12.75"/>
    <row r="61080" ht="12.75"/>
    <row r="61081" ht="12.75"/>
    <row r="61082" ht="12.75"/>
    <row r="61083" ht="12.75"/>
    <row r="61084" ht="12.75"/>
    <row r="61085" ht="12.75"/>
    <row r="61086" ht="12.75"/>
    <row r="61087" ht="12.75"/>
    <row r="61088" ht="12.75"/>
    <row r="61089" ht="12.75"/>
    <row r="61090" ht="12.75"/>
    <row r="61091" ht="12.75"/>
    <row r="61092" ht="12.75"/>
    <row r="61093" ht="12.75"/>
    <row r="61094" ht="12.75"/>
    <row r="61095" ht="12.75"/>
    <row r="61096" ht="12.75"/>
    <row r="61097" ht="12.75"/>
    <row r="61098" ht="12.75"/>
    <row r="61099" ht="12.75"/>
    <row r="61100" ht="12.75"/>
    <row r="61101" ht="12.75"/>
    <row r="61102" ht="12.75"/>
    <row r="61103" ht="12.75"/>
    <row r="61104" ht="12.75"/>
    <row r="61105" ht="12.75"/>
    <row r="61106" ht="12.75"/>
    <row r="61107" ht="12.75"/>
    <row r="61108" ht="12.75"/>
    <row r="61109" ht="12.75"/>
    <row r="61110" ht="12.75"/>
    <row r="61111" ht="12.75"/>
    <row r="61112" ht="12.75"/>
    <row r="61113" ht="12.75"/>
    <row r="61114" ht="12.75"/>
    <row r="61115" ht="12.75"/>
    <row r="61116" ht="12.75"/>
    <row r="61117" ht="12.75"/>
    <row r="61118" ht="12.75"/>
    <row r="61119" ht="12.75"/>
    <row r="61120" ht="12.75"/>
    <row r="61121" ht="12.75"/>
    <row r="61122" ht="12.75"/>
    <row r="61123" ht="12.75"/>
    <row r="61124" ht="12.75"/>
    <row r="61125" ht="12.75"/>
    <row r="61126" ht="12.75"/>
    <row r="61127" ht="12.75"/>
    <row r="61128" ht="12.75"/>
    <row r="61129" ht="12.75"/>
    <row r="61130" ht="12.75"/>
    <row r="61131" ht="12.75"/>
    <row r="61132" ht="12.75"/>
    <row r="61133" ht="12.75"/>
    <row r="61134" ht="12.75"/>
    <row r="61135" ht="12.75"/>
    <row r="61136" ht="12.75"/>
    <row r="61137" ht="12.75"/>
    <row r="61138" ht="12.75"/>
    <row r="61139" ht="12.75"/>
    <row r="61140" ht="12.75"/>
    <row r="61141" ht="12.75"/>
    <row r="61142" ht="12.75"/>
    <row r="61143" ht="12.75"/>
    <row r="61144" ht="12.75"/>
    <row r="61145" ht="12.75"/>
    <row r="61146" ht="12.75"/>
    <row r="61147" ht="12.75"/>
    <row r="61148" ht="12.75"/>
    <row r="61149" ht="12.75"/>
    <row r="61150" ht="12.75"/>
    <row r="61151" ht="12.75"/>
    <row r="61152" ht="12.75"/>
    <row r="61153" ht="12.75"/>
    <row r="61154" ht="12.75"/>
    <row r="61155" ht="12.75"/>
    <row r="61156" ht="12.75"/>
    <row r="61157" ht="12.75"/>
    <row r="61158" ht="12.75"/>
    <row r="61159" ht="12.75"/>
    <row r="61160" ht="12.75"/>
    <row r="61161" ht="12.75"/>
    <row r="61162" ht="12.75"/>
    <row r="61163" ht="12.75"/>
    <row r="61164" ht="12.75"/>
    <row r="61165" ht="12.75"/>
    <row r="61166" ht="12.75"/>
    <row r="61167" ht="12.75"/>
    <row r="61168" ht="12.75"/>
    <row r="61169" ht="12.75"/>
    <row r="61170" ht="12.75"/>
    <row r="61171" ht="12.75"/>
    <row r="61172" ht="12.75"/>
    <row r="61173" ht="12.75"/>
    <row r="61174" ht="12.75"/>
    <row r="61175" ht="12.75"/>
    <row r="61176" ht="12.75"/>
    <row r="61177" ht="12.75"/>
    <row r="61178" ht="12.75"/>
    <row r="61179" ht="12.75"/>
    <row r="61180" ht="12.75"/>
    <row r="61181" ht="12.75"/>
    <row r="61182" ht="12.75"/>
    <row r="61183" ht="12.75"/>
    <row r="61184" ht="12.75"/>
    <row r="61185" ht="12.75"/>
    <row r="61186" ht="12.75"/>
    <row r="61187" ht="12.75"/>
    <row r="61188" ht="12.75"/>
    <row r="61189" ht="12.75"/>
    <row r="61190" ht="12.75"/>
    <row r="61191" ht="12.75"/>
    <row r="61192" ht="12.75"/>
    <row r="61193" ht="12.75"/>
    <row r="61194" ht="12.75"/>
    <row r="61195" ht="12.75"/>
    <row r="61196" ht="12.75"/>
    <row r="61197" ht="12.75"/>
    <row r="61198" ht="12.75"/>
    <row r="61199" ht="12.75"/>
    <row r="61200" ht="12.75"/>
    <row r="61201" ht="12.75"/>
    <row r="61202" ht="12.75"/>
    <row r="61203" ht="12.75"/>
    <row r="61204" ht="12.75"/>
    <row r="61205" ht="12.75"/>
    <row r="61206" ht="12.75"/>
    <row r="61207" ht="12.75"/>
    <row r="61208" ht="12.75"/>
    <row r="61209" ht="12.75"/>
    <row r="61210" ht="12.75"/>
    <row r="61211" ht="12.75"/>
    <row r="61212" ht="12.75"/>
    <row r="61213" ht="12.75"/>
    <row r="61214" ht="12.75"/>
    <row r="61215" ht="12.75"/>
    <row r="61216" ht="12.75"/>
    <row r="61217" ht="12.75"/>
    <row r="61218" ht="12.75"/>
    <row r="61219" ht="12.75"/>
    <row r="61220" ht="12.75"/>
    <row r="61221" ht="12.75"/>
    <row r="61222" ht="12.75"/>
    <row r="61223" ht="12.75"/>
    <row r="61224" ht="12.75"/>
    <row r="61225" ht="12.75"/>
    <row r="61226" ht="12.75"/>
    <row r="61227" ht="12.75"/>
    <row r="61228" ht="12.75"/>
    <row r="61229" ht="12.75"/>
    <row r="61230" ht="12.75"/>
    <row r="61231" ht="12.75"/>
    <row r="61232" ht="12.75"/>
    <row r="61233" ht="12.75"/>
    <row r="61234" ht="12.75"/>
    <row r="61235" ht="12.75"/>
    <row r="61236" ht="12.75"/>
    <row r="61237" ht="12.75"/>
    <row r="61238" ht="12.75"/>
    <row r="61239" ht="12.75"/>
    <row r="61240" ht="12.75"/>
    <row r="61241" ht="12.75"/>
    <row r="61242" ht="12.75"/>
    <row r="61243" ht="12.75"/>
    <row r="61244" ht="12.75"/>
    <row r="61245" ht="12.75"/>
    <row r="61246" ht="12.75"/>
    <row r="61247" ht="12.75"/>
    <row r="61248" ht="12.75"/>
    <row r="61249" ht="12.75"/>
    <row r="61250" ht="12.75"/>
    <row r="61251" ht="12.75"/>
    <row r="61252" ht="12.75"/>
    <row r="61253" ht="12.75"/>
    <row r="61254" ht="12.75"/>
    <row r="61255" ht="12.75"/>
    <row r="61256" ht="12.75"/>
    <row r="61257" ht="12.75"/>
    <row r="61258" ht="12.75"/>
    <row r="61259" ht="12.75"/>
    <row r="61260" ht="12.75"/>
    <row r="61261" ht="12.75"/>
    <row r="61262" ht="12.75"/>
    <row r="61263" ht="12.75"/>
    <row r="61264" ht="12.75"/>
    <row r="61265" ht="12.75"/>
    <row r="61266" ht="12.75"/>
    <row r="61267" ht="12.75"/>
    <row r="61268" ht="12.75"/>
    <row r="61269" ht="12.75"/>
    <row r="61270" ht="12.75"/>
    <row r="61271" ht="12.75"/>
    <row r="61272" ht="12.75"/>
    <row r="61273" ht="12.75"/>
    <row r="61274" ht="12.75"/>
    <row r="61275" ht="12.75"/>
    <row r="61276" ht="12.75"/>
    <row r="61277" ht="12.75"/>
    <row r="61278" ht="12.75"/>
    <row r="61279" ht="12.75"/>
    <row r="61280" ht="12.75"/>
    <row r="61281" ht="12.75"/>
    <row r="61282" ht="12.75"/>
    <row r="61283" ht="12.75"/>
    <row r="61284" ht="12.75"/>
    <row r="61285" ht="12.75"/>
    <row r="61286" ht="12.75"/>
    <row r="61287" ht="12.75"/>
    <row r="61288" ht="12.75"/>
    <row r="61289" ht="12.75"/>
    <row r="61290" ht="12.75"/>
    <row r="61291" ht="12.75"/>
    <row r="61292" ht="12.75"/>
    <row r="61293" ht="12.75"/>
    <row r="61294" ht="12.75"/>
    <row r="61295" ht="12.75"/>
    <row r="61296" ht="12.75"/>
    <row r="61297" ht="12.75"/>
    <row r="61298" ht="12.75"/>
    <row r="61299" ht="12.75"/>
    <row r="61300" ht="12.75"/>
    <row r="61301" ht="12.75"/>
    <row r="61302" ht="12.75"/>
    <row r="61303" ht="12.75"/>
    <row r="61304" ht="12.75"/>
    <row r="61305" ht="12.75"/>
    <row r="61306" ht="12.75"/>
    <row r="61307" ht="12.75"/>
    <row r="61308" ht="12.75"/>
    <row r="61309" ht="12.75"/>
    <row r="61310" ht="12.75"/>
    <row r="61311" ht="12.75"/>
    <row r="61312" ht="12.75"/>
    <row r="61313" ht="12.75"/>
    <row r="61314" ht="12.75"/>
    <row r="61315" ht="12.75"/>
    <row r="61316" ht="12.75"/>
    <row r="61317" ht="12.75"/>
    <row r="61318" ht="12.75"/>
    <row r="61319" ht="12.75"/>
    <row r="61320" ht="12.75"/>
    <row r="61321" ht="12.75"/>
    <row r="61322" ht="12.75"/>
    <row r="61323" ht="12.75"/>
    <row r="61324" ht="12.75"/>
    <row r="61325" ht="12.75"/>
    <row r="61326" ht="12.75"/>
    <row r="61327" ht="12.75"/>
    <row r="61328" ht="12.75"/>
    <row r="61329" ht="12.75"/>
    <row r="61330" ht="12.75"/>
    <row r="61331" ht="12.75"/>
    <row r="61332" ht="12.75"/>
    <row r="61333" ht="12.75"/>
    <row r="61334" ht="12.75"/>
    <row r="61335" ht="12.75"/>
    <row r="61336" ht="12.75"/>
    <row r="61337" ht="12.75"/>
    <row r="61338" ht="12.75"/>
    <row r="61339" ht="12.75"/>
    <row r="61340" ht="12.75"/>
    <row r="61341" ht="12.75"/>
    <row r="61342" ht="12.75"/>
    <row r="61343" ht="12.75"/>
    <row r="61344" ht="12.75"/>
    <row r="61345" ht="12.75"/>
    <row r="61346" ht="12.75"/>
    <row r="61347" ht="12.75"/>
    <row r="61348" ht="12.75"/>
    <row r="61349" ht="12.75"/>
    <row r="61350" ht="12.75"/>
    <row r="61351" ht="12.75"/>
    <row r="61352" ht="12.75"/>
    <row r="61353" ht="12.75"/>
    <row r="61354" ht="12.75"/>
    <row r="61355" ht="12.75"/>
    <row r="61356" ht="12.75"/>
    <row r="61357" ht="12.75"/>
    <row r="61358" ht="12.75"/>
    <row r="61359" ht="12.75"/>
    <row r="61360" ht="12.75"/>
    <row r="61361" ht="12.75"/>
    <row r="61362" ht="12.75"/>
    <row r="61363" ht="12.75"/>
    <row r="61364" ht="12.75"/>
    <row r="61365" ht="12.75"/>
    <row r="61366" ht="12.75"/>
    <row r="61367" ht="12.75"/>
    <row r="61368" ht="12.75"/>
    <row r="61369" ht="12.75"/>
    <row r="61370" ht="12.75"/>
    <row r="61371" ht="12.75"/>
    <row r="61372" ht="12.75"/>
    <row r="61373" ht="12.75"/>
    <row r="61374" ht="12.75"/>
    <row r="61375" ht="12.75"/>
    <row r="61376" ht="12.75"/>
    <row r="61377" ht="12.75"/>
    <row r="61378" ht="12.75"/>
    <row r="61379" ht="12.75"/>
    <row r="61380" ht="12.75"/>
    <row r="61381" ht="12.75"/>
    <row r="61382" ht="12.75"/>
    <row r="61383" ht="12.75"/>
    <row r="61384" ht="12.75"/>
    <row r="61385" ht="12.75"/>
    <row r="61386" ht="12.75"/>
    <row r="61387" ht="12.75"/>
    <row r="61388" ht="12.75"/>
    <row r="61389" ht="12.75"/>
    <row r="61390" ht="12.75"/>
    <row r="61391" ht="12.75"/>
    <row r="61392" ht="12.75"/>
    <row r="61393" ht="12.75"/>
    <row r="61394" ht="12.75"/>
    <row r="61395" ht="12.75"/>
    <row r="61396" ht="12.75"/>
    <row r="61397" ht="12.75"/>
    <row r="61398" ht="12.75"/>
    <row r="61399" ht="12.75"/>
    <row r="61400" ht="12.75"/>
    <row r="61401" ht="12.75"/>
    <row r="61402" ht="12.75"/>
    <row r="61403" ht="12.75"/>
    <row r="61404" ht="12.75"/>
    <row r="61405" ht="12.75"/>
    <row r="61406" ht="12.75"/>
    <row r="61407" ht="12.75"/>
    <row r="61408" ht="12.75"/>
    <row r="61409" ht="12.75"/>
    <row r="61410" ht="12.75"/>
    <row r="61411" ht="12.75"/>
    <row r="61412" ht="12.75"/>
    <row r="61413" ht="12.75"/>
    <row r="61414" ht="12.75"/>
    <row r="61415" ht="12.75"/>
    <row r="61416" ht="12.75"/>
    <row r="61417" ht="12.75"/>
    <row r="61418" ht="12.75"/>
    <row r="61419" ht="12.75"/>
    <row r="61420" ht="12.75"/>
    <row r="61421" ht="12.75"/>
    <row r="61422" ht="12.75"/>
    <row r="61423" ht="12.75"/>
    <row r="61424" ht="12.75"/>
    <row r="61425" ht="12.75"/>
    <row r="61426" ht="12.75"/>
    <row r="61427" ht="12.75"/>
    <row r="61428" ht="12.75"/>
    <row r="61429" ht="12.75"/>
    <row r="61430" ht="12.75"/>
    <row r="61431" ht="12.75"/>
    <row r="61432" ht="12.75"/>
    <row r="61433" ht="12.75"/>
    <row r="61434" ht="12.75"/>
    <row r="61435" ht="12.75"/>
    <row r="61436" ht="12.75"/>
    <row r="61437" ht="12.75"/>
    <row r="61438" ht="12.75"/>
    <row r="61439" ht="12.75"/>
    <row r="61440" ht="12.75"/>
    <row r="61441" ht="12.75"/>
    <row r="61442" ht="12.75"/>
    <row r="61443" ht="12.75"/>
    <row r="61444" ht="12.75"/>
    <row r="61445" ht="12.75"/>
    <row r="61446" ht="12.75"/>
    <row r="61447" ht="12.75"/>
    <row r="61448" ht="12.75"/>
    <row r="61449" ht="12.75"/>
    <row r="61450" ht="12.75"/>
    <row r="61451" ht="12.75"/>
    <row r="61452" ht="12.75"/>
    <row r="61453" ht="12.75"/>
    <row r="61454" ht="12.75"/>
    <row r="61455" ht="12.75"/>
    <row r="61456" ht="12.75"/>
    <row r="61457" ht="12.75"/>
    <row r="61458" ht="12.75"/>
    <row r="61459" ht="12.75"/>
    <row r="61460" ht="12.75"/>
    <row r="61461" ht="12.75"/>
    <row r="61462" ht="12.75"/>
    <row r="61463" ht="12.75"/>
    <row r="61464" ht="12.75"/>
    <row r="61465" ht="12.75"/>
    <row r="61466" ht="12.75"/>
    <row r="61467" ht="12.75"/>
    <row r="61468" ht="12.75"/>
    <row r="61469" ht="12.75"/>
    <row r="61470" ht="12.75"/>
    <row r="61471" ht="12.75"/>
    <row r="61472" ht="12.75"/>
    <row r="61473" ht="12.75"/>
    <row r="61474" ht="12.75"/>
    <row r="61475" ht="12.75"/>
    <row r="61476" ht="12.75"/>
    <row r="61477" ht="12.75"/>
    <row r="61478" ht="12.75"/>
    <row r="61479" ht="12.75"/>
    <row r="61480" ht="12.75"/>
    <row r="61481" ht="12.75"/>
    <row r="61482" ht="12.75"/>
    <row r="61483" ht="12.75"/>
    <row r="61484" ht="12.75"/>
    <row r="61485" ht="12.75"/>
    <row r="61486" ht="12.75"/>
    <row r="61487" ht="12.75"/>
    <row r="61488" ht="12.75"/>
    <row r="61489" ht="12.75"/>
    <row r="61490" ht="12.75"/>
    <row r="61491" ht="12.75"/>
    <row r="61492" ht="12.75"/>
    <row r="61493" ht="12.75"/>
    <row r="61494" ht="12.75"/>
    <row r="61495" ht="12.75"/>
    <row r="61496" ht="12.75"/>
    <row r="61497" ht="12.75"/>
    <row r="61498" ht="12.75"/>
    <row r="61499" ht="12.75"/>
    <row r="61500" ht="12.75"/>
    <row r="61501" ht="12.75"/>
    <row r="61502" ht="12.75"/>
    <row r="61503" ht="12.75"/>
    <row r="61504" ht="12.75"/>
    <row r="61505" ht="12.75"/>
    <row r="61506" ht="12.75"/>
    <row r="61507" ht="12.75"/>
    <row r="61508" ht="12.75"/>
    <row r="61509" ht="12.75"/>
    <row r="61510" ht="12.75"/>
    <row r="61511" ht="12.75"/>
    <row r="61512" ht="12.75"/>
    <row r="61513" ht="12.75"/>
    <row r="61514" ht="12.75"/>
    <row r="61515" ht="12.75"/>
    <row r="61516" ht="12.75"/>
    <row r="61517" ht="12.75"/>
    <row r="61518" ht="12.75"/>
    <row r="61519" ht="12.75"/>
    <row r="61520" ht="12.75"/>
    <row r="61521" ht="12.75"/>
    <row r="61522" ht="12.75"/>
    <row r="61523" ht="12.75"/>
    <row r="61524" ht="12.75"/>
    <row r="61525" ht="12.75"/>
    <row r="61526" ht="12.75"/>
    <row r="61527" ht="12.75"/>
    <row r="61528" ht="12.75"/>
    <row r="61529" ht="12.75"/>
    <row r="61530" ht="12.75"/>
    <row r="61531" ht="12.75"/>
    <row r="61532" ht="12.75"/>
    <row r="61533" ht="12.75"/>
    <row r="61534" ht="12.75"/>
    <row r="61535" ht="12.75"/>
    <row r="61536" ht="12.75"/>
    <row r="61537" ht="12.75"/>
    <row r="61538" ht="12.75"/>
    <row r="61539" ht="12.75"/>
    <row r="61540" ht="12.75"/>
    <row r="61541" ht="12.75"/>
    <row r="61542" ht="12.75"/>
    <row r="61543" ht="12.75"/>
    <row r="61544" ht="12.75"/>
    <row r="61545" ht="12.75"/>
    <row r="61546" ht="12.75"/>
    <row r="61547" ht="12.75"/>
    <row r="61548" ht="12.75"/>
    <row r="61549" ht="12.75"/>
    <row r="61550" ht="12.75"/>
    <row r="61551" ht="12.75"/>
    <row r="61552" ht="12.75"/>
    <row r="61553" ht="12.75"/>
    <row r="61554" ht="12.75"/>
    <row r="61555" ht="12.75"/>
    <row r="61556" ht="12.75"/>
    <row r="61557" ht="12.75"/>
    <row r="61558" ht="12.75"/>
    <row r="61559" ht="12.75"/>
    <row r="61560" ht="12.75"/>
    <row r="61561" ht="12.75"/>
    <row r="61562" ht="12.75"/>
    <row r="61563" ht="12.75"/>
    <row r="61564" ht="12.75"/>
    <row r="61565" ht="12.75"/>
    <row r="61566" ht="12.75"/>
    <row r="61567" ht="12.75"/>
    <row r="61568" ht="12.75"/>
    <row r="61569" ht="12.75"/>
    <row r="61570" ht="12.75"/>
    <row r="61571" ht="12.75"/>
    <row r="61572" ht="12.75"/>
    <row r="61573" ht="12.75"/>
    <row r="61574" ht="12.75"/>
    <row r="61575" ht="12.75"/>
    <row r="61576" ht="12.75"/>
    <row r="61577" ht="12.75"/>
    <row r="61578" ht="12.75"/>
    <row r="61579" ht="12.75"/>
    <row r="61580" ht="12.75"/>
    <row r="61581" ht="12.75"/>
    <row r="61582" ht="12.75"/>
    <row r="61583" ht="12.75"/>
    <row r="61584" ht="12.75"/>
    <row r="61585" ht="12.75"/>
    <row r="61586" ht="12.75"/>
    <row r="61587" ht="12.75"/>
    <row r="61588" ht="12.75"/>
    <row r="61589" ht="12.75"/>
    <row r="61590" ht="12.75"/>
    <row r="61591" ht="12.75"/>
    <row r="61592" ht="12.75"/>
    <row r="61593" ht="12.75"/>
    <row r="61594" ht="12.75"/>
    <row r="61595" ht="12.75"/>
    <row r="61596" ht="12.75"/>
    <row r="61597" ht="12.75"/>
    <row r="61598" ht="12.75"/>
    <row r="61599" ht="12.75"/>
    <row r="61600" ht="12.75"/>
    <row r="61601" ht="12.75"/>
    <row r="61602" ht="12.75"/>
    <row r="61603" ht="12.75"/>
    <row r="61604" ht="12.75"/>
    <row r="61605" ht="12.75"/>
    <row r="61606" ht="12.75"/>
    <row r="61607" ht="12.75"/>
    <row r="61608" ht="12.75"/>
    <row r="61609" ht="12.75"/>
    <row r="61610" ht="12.75"/>
    <row r="61611" ht="12.75"/>
    <row r="61612" ht="12.75"/>
    <row r="61613" ht="12.75"/>
    <row r="61614" ht="12.75"/>
    <row r="61615" ht="12.75"/>
    <row r="61616" ht="12.75"/>
    <row r="61617" ht="12.75"/>
    <row r="61618" ht="12.75"/>
    <row r="61619" ht="12.75"/>
    <row r="61620" ht="12.75"/>
    <row r="61621" ht="12.75"/>
    <row r="61622" ht="12.75"/>
    <row r="61623" ht="12.75"/>
    <row r="61624" ht="12.75"/>
    <row r="61625" ht="12.75"/>
    <row r="61626" ht="12.75"/>
    <row r="61627" ht="12.75"/>
    <row r="61628" ht="12.75"/>
    <row r="61629" ht="12.75"/>
    <row r="61630" ht="12.75"/>
    <row r="61631" ht="12.75"/>
    <row r="61632" ht="12.75"/>
    <row r="61633" ht="12.75"/>
    <row r="61634" ht="12.75"/>
    <row r="61635" ht="12.75"/>
    <row r="61636" ht="12.75"/>
    <row r="61637" ht="12.75"/>
    <row r="61638" ht="12.75"/>
    <row r="61639" ht="12.75"/>
    <row r="61640" ht="12.75"/>
    <row r="61641" ht="12.75"/>
    <row r="61642" ht="12.75"/>
    <row r="61643" ht="12.75"/>
    <row r="61644" ht="12.75"/>
    <row r="61645" ht="12.75"/>
    <row r="61646" ht="12.75"/>
    <row r="61647" ht="12.75"/>
    <row r="61648" ht="12.75"/>
    <row r="61649" ht="12.75"/>
    <row r="61650" ht="12.75"/>
    <row r="61651" ht="12.75"/>
    <row r="61652" ht="12.75"/>
    <row r="61653" ht="12.75"/>
    <row r="61654" ht="12.75"/>
    <row r="61655" ht="12.75"/>
    <row r="61656" ht="12.75"/>
    <row r="61657" ht="12.75"/>
    <row r="61658" ht="12.75"/>
    <row r="61659" ht="12.75"/>
    <row r="61660" ht="12.75"/>
    <row r="61661" ht="12.75"/>
    <row r="61662" ht="12.75"/>
    <row r="61663" ht="12.75"/>
    <row r="61664" ht="12.75"/>
    <row r="61665" ht="12.75"/>
    <row r="61666" ht="12.75"/>
    <row r="61667" ht="12.75"/>
    <row r="61668" ht="12.75"/>
    <row r="61669" ht="12.75"/>
    <row r="61670" ht="12.75"/>
    <row r="61671" ht="12.75"/>
    <row r="61672" ht="12.75"/>
    <row r="61673" ht="12.75"/>
    <row r="61674" ht="12.75"/>
    <row r="61675" ht="12.75"/>
    <row r="61676" ht="12.75"/>
    <row r="61677" ht="12.75"/>
    <row r="61678" ht="12.75"/>
    <row r="61679" ht="12.75"/>
    <row r="61680" ht="12.75"/>
    <row r="61681" ht="12.75"/>
    <row r="61682" ht="12.75"/>
    <row r="61683" ht="12.75"/>
    <row r="61684" ht="12.75"/>
    <row r="61685" ht="12.75"/>
    <row r="61686" ht="12.75"/>
    <row r="61687" ht="12.75"/>
    <row r="61688" ht="12.75"/>
    <row r="61689" ht="12.75"/>
    <row r="61690" ht="12.75"/>
    <row r="61691" ht="12.75"/>
    <row r="61692" ht="12.75"/>
    <row r="61693" ht="12.75"/>
    <row r="61694" ht="12.75"/>
    <row r="61695" ht="12.75"/>
    <row r="61696" ht="12.75"/>
    <row r="61697" ht="12.75"/>
    <row r="61698" ht="12.75"/>
    <row r="61699" ht="12.75"/>
    <row r="61700" ht="12.75"/>
    <row r="61701" ht="12.75"/>
    <row r="61702" ht="12.75"/>
    <row r="61703" ht="12.75"/>
    <row r="61704" ht="12.75"/>
    <row r="61705" ht="12.75"/>
    <row r="61706" ht="12.75"/>
    <row r="61707" ht="12.75"/>
    <row r="61708" ht="12.75"/>
    <row r="61709" ht="12.75"/>
    <row r="61710" ht="12.75"/>
    <row r="61711" ht="12.75"/>
    <row r="61712" ht="12.75"/>
    <row r="61713" ht="12.75"/>
    <row r="61714" ht="12.75"/>
    <row r="61715" ht="12.75"/>
    <row r="61716" ht="12.75"/>
    <row r="61717" ht="12.75"/>
    <row r="61718" ht="12.75"/>
    <row r="61719" ht="12.75"/>
    <row r="61720" ht="12.75"/>
    <row r="61721" ht="12.75"/>
    <row r="61722" ht="12.75"/>
    <row r="61723" ht="12.75"/>
    <row r="61724" ht="12.75"/>
    <row r="61725" ht="12.75"/>
    <row r="61726" ht="12.75"/>
    <row r="61727" ht="12.75"/>
    <row r="61728" ht="12.75"/>
    <row r="61729" ht="12.75"/>
    <row r="61730" ht="12.75"/>
    <row r="61731" ht="12.75"/>
    <row r="61732" ht="12.75"/>
    <row r="61733" ht="12.75"/>
    <row r="61734" ht="12.75"/>
    <row r="61735" ht="12.75"/>
    <row r="61736" ht="12.75"/>
    <row r="61737" ht="12.75"/>
    <row r="61738" ht="12.75"/>
    <row r="61739" ht="12.75"/>
    <row r="61740" ht="12.75"/>
    <row r="61741" ht="12.75"/>
    <row r="61742" ht="12.75"/>
    <row r="61743" ht="12.75"/>
    <row r="61744" ht="12.75"/>
    <row r="61745" ht="12.75"/>
    <row r="61746" ht="12.75"/>
    <row r="61747" ht="12.75"/>
    <row r="61748" ht="12.75"/>
    <row r="61749" ht="12.75"/>
    <row r="61750" ht="12.75"/>
    <row r="61751" ht="12.75"/>
    <row r="61752" ht="12.75"/>
    <row r="61753" ht="12.75"/>
    <row r="61754" ht="12.75"/>
    <row r="61755" ht="12.75"/>
    <row r="61756" ht="12.75"/>
    <row r="61757" ht="12.75"/>
    <row r="61758" ht="12.75"/>
    <row r="61759" ht="12.75"/>
    <row r="61760" ht="12.75"/>
    <row r="61761" ht="12.75"/>
    <row r="61762" ht="12.75"/>
    <row r="61763" ht="12.75"/>
    <row r="61764" ht="12.75"/>
    <row r="61765" ht="12.75"/>
    <row r="61766" ht="12.75"/>
    <row r="61767" ht="12.75"/>
    <row r="61768" ht="12.75"/>
    <row r="61769" ht="12.75"/>
    <row r="61770" ht="12.75"/>
    <row r="61771" ht="12.75"/>
    <row r="61772" ht="12.75"/>
    <row r="61773" ht="12.75"/>
    <row r="61774" ht="12.75"/>
    <row r="61775" ht="12.75"/>
    <row r="61776" ht="12.75"/>
    <row r="61777" ht="12.75"/>
    <row r="61778" ht="12.75"/>
    <row r="61779" ht="12.75"/>
    <row r="61780" ht="12.75"/>
    <row r="61781" ht="12.75"/>
    <row r="61782" ht="12.75"/>
    <row r="61783" ht="12.75"/>
    <row r="61784" ht="12.75"/>
    <row r="61785" ht="12.75"/>
    <row r="61786" ht="12.75"/>
    <row r="61787" ht="12.75"/>
    <row r="61788" ht="12.75"/>
    <row r="61789" ht="12.75"/>
    <row r="61790" ht="12.75"/>
    <row r="61791" ht="12.75"/>
    <row r="61792" ht="12.75"/>
    <row r="61793" ht="12.75"/>
    <row r="61794" ht="12.75"/>
    <row r="61795" ht="12.75"/>
    <row r="61796" ht="12.75"/>
    <row r="61797" ht="12.75"/>
    <row r="61798" ht="12.75"/>
    <row r="61799" ht="12.75"/>
    <row r="61800" ht="12.75"/>
    <row r="61801" ht="12.75"/>
    <row r="61802" ht="12.75"/>
    <row r="61803" ht="12.75"/>
    <row r="61804" ht="12.75"/>
    <row r="61805" ht="12.75"/>
    <row r="61806" ht="12.75"/>
    <row r="61807" ht="12.75"/>
    <row r="61808" ht="12.75"/>
    <row r="61809" ht="12.75"/>
    <row r="61810" ht="12.75"/>
    <row r="61811" ht="12.75"/>
    <row r="61812" ht="12.75"/>
    <row r="61813" ht="12.75"/>
    <row r="61814" ht="12.75"/>
    <row r="61815" ht="12.75"/>
    <row r="61816" ht="12.75"/>
    <row r="61817" ht="12.75"/>
    <row r="61818" ht="12.75"/>
    <row r="61819" ht="12.75"/>
    <row r="61820" ht="12.75"/>
    <row r="61821" ht="12.75"/>
    <row r="61822" ht="12.75"/>
    <row r="61823" ht="12.75"/>
    <row r="61824" ht="12.75"/>
    <row r="61825" ht="12.75"/>
    <row r="61826" ht="12.75"/>
    <row r="61827" ht="12.75"/>
    <row r="61828" ht="12.75"/>
    <row r="61829" ht="12.75"/>
    <row r="61830" ht="12.75"/>
    <row r="61831" ht="12.75"/>
    <row r="61832" ht="12.75"/>
    <row r="61833" ht="12.75"/>
    <row r="61834" ht="12.75"/>
    <row r="61835" ht="12.75"/>
    <row r="61836" ht="12.75"/>
    <row r="61837" ht="12.75"/>
    <row r="61838" ht="12.75"/>
    <row r="61839" ht="12.75"/>
    <row r="61840" ht="12.75"/>
    <row r="61841" ht="12.75"/>
    <row r="61842" ht="12.75"/>
    <row r="61843" ht="12.75"/>
    <row r="61844" ht="12.75"/>
    <row r="61845" ht="12.75"/>
    <row r="61846" ht="12.75"/>
    <row r="61847" ht="12.75"/>
    <row r="61848" ht="12.75"/>
    <row r="61849" ht="12.75"/>
    <row r="61850" ht="12.75"/>
    <row r="61851" ht="12.75"/>
    <row r="61852" ht="12.75"/>
    <row r="61853" ht="12.75"/>
    <row r="61854" ht="12.75"/>
    <row r="61855" ht="12.75"/>
    <row r="61856" ht="12.75"/>
    <row r="61857" ht="12.75"/>
    <row r="61858" ht="12.75"/>
    <row r="61859" ht="12.75"/>
    <row r="61860" ht="12.75"/>
    <row r="61861" ht="12.75"/>
    <row r="61862" ht="12.75"/>
    <row r="61863" ht="12.75"/>
    <row r="61864" ht="12.75"/>
    <row r="61865" ht="12.75"/>
    <row r="61866" ht="12.75"/>
    <row r="61867" ht="12.75"/>
    <row r="61868" ht="12.75"/>
    <row r="61869" ht="12.75"/>
    <row r="61870" ht="12.75"/>
    <row r="61871" ht="12.75"/>
    <row r="61872" ht="12.75"/>
    <row r="61873" ht="12.75"/>
    <row r="61874" ht="12.75"/>
    <row r="61875" ht="12.75"/>
    <row r="61876" ht="12.75"/>
    <row r="61877" ht="12.75"/>
    <row r="61878" ht="12.75"/>
    <row r="61879" ht="12.75"/>
    <row r="61880" ht="12.75"/>
    <row r="61881" ht="12.75"/>
    <row r="61882" ht="12.75"/>
    <row r="61883" ht="12.75"/>
    <row r="61884" ht="12.75"/>
    <row r="61885" ht="12.75"/>
    <row r="61886" ht="12.75"/>
    <row r="61887" ht="12.75"/>
    <row r="61888" ht="12.75"/>
    <row r="61889" ht="12.75"/>
    <row r="61890" ht="12.75"/>
    <row r="61891" ht="12.75"/>
    <row r="61892" ht="12.75"/>
    <row r="61893" ht="12.75"/>
    <row r="61894" ht="12.75"/>
    <row r="61895" ht="12.75"/>
    <row r="61896" ht="12.75"/>
    <row r="61897" ht="12.75"/>
    <row r="61898" ht="12.75"/>
    <row r="61899" ht="12.75"/>
    <row r="61900" ht="12.75"/>
    <row r="61901" ht="12.75"/>
    <row r="61902" ht="12.75"/>
    <row r="61903" ht="12.75"/>
    <row r="61904" ht="12.75"/>
    <row r="61905" ht="12.75"/>
    <row r="61906" ht="12.75"/>
    <row r="61907" ht="12.75"/>
    <row r="61908" ht="12.75"/>
    <row r="61909" ht="12.75"/>
    <row r="61910" ht="12.75"/>
    <row r="61911" ht="12.75"/>
    <row r="61912" ht="12.75"/>
    <row r="61913" ht="12.75"/>
    <row r="61914" ht="12.75"/>
    <row r="61915" ht="12.75"/>
    <row r="61916" ht="12.75"/>
    <row r="61917" ht="12.75"/>
    <row r="61918" ht="12.75"/>
    <row r="61919" ht="12.75"/>
    <row r="61920" ht="12.75"/>
    <row r="61921" ht="12.75"/>
    <row r="61922" ht="12.75"/>
    <row r="61923" ht="12.75"/>
    <row r="61924" ht="12.75"/>
    <row r="61925" ht="12.75"/>
    <row r="61926" ht="12.75"/>
    <row r="61927" ht="12.75"/>
    <row r="61928" ht="12.75"/>
    <row r="61929" ht="12.75"/>
    <row r="61930" ht="12.75"/>
    <row r="61931" ht="12.75"/>
    <row r="61932" ht="12.75"/>
    <row r="61933" ht="12.75"/>
    <row r="61934" ht="12.75"/>
    <row r="61935" ht="12.75"/>
    <row r="61936" ht="12.75"/>
    <row r="61937" ht="12.75"/>
    <row r="61938" ht="12.75"/>
    <row r="61939" ht="12.75"/>
    <row r="61940" ht="12.75"/>
    <row r="61941" ht="12.75"/>
    <row r="61942" ht="12.75"/>
    <row r="61943" ht="12.75"/>
    <row r="61944" ht="12.75"/>
    <row r="61945" ht="12.75"/>
    <row r="61946" ht="12.75"/>
    <row r="61947" ht="12.75"/>
    <row r="61948" ht="12.75"/>
    <row r="61949" ht="12.75"/>
    <row r="61950" ht="12.75"/>
    <row r="61951" ht="12.75"/>
    <row r="61952" ht="12.75"/>
    <row r="61953" ht="12.75"/>
    <row r="61954" ht="12.75"/>
    <row r="61955" ht="12.75"/>
    <row r="61956" ht="12.75"/>
    <row r="61957" ht="12.75"/>
    <row r="61958" ht="12.75"/>
    <row r="61959" ht="12.75"/>
    <row r="61960" ht="12.75"/>
    <row r="61961" ht="12.75"/>
    <row r="61962" ht="12.75"/>
    <row r="61963" ht="12.75"/>
    <row r="61964" ht="12.75"/>
    <row r="61965" ht="12.75"/>
    <row r="61966" ht="12.75"/>
    <row r="61967" ht="12.75"/>
    <row r="61968" ht="12.75"/>
    <row r="61969" ht="12.75"/>
    <row r="61970" ht="12.75"/>
    <row r="61971" ht="12.75"/>
    <row r="61972" ht="12.75"/>
    <row r="61973" ht="12.75"/>
    <row r="61974" ht="12.75"/>
    <row r="61975" ht="12.75"/>
    <row r="61976" ht="12.75"/>
    <row r="61977" ht="12.75"/>
    <row r="61978" ht="12.75"/>
    <row r="61979" ht="12.75"/>
    <row r="61980" ht="12.75"/>
    <row r="61981" ht="12.75"/>
    <row r="61982" ht="12.75"/>
    <row r="61983" ht="12.75"/>
    <row r="61984" ht="12.75"/>
    <row r="61985" ht="12.75"/>
    <row r="61986" ht="12.75"/>
    <row r="61987" ht="12.75"/>
    <row r="61988" ht="12.75"/>
    <row r="61989" ht="12.75"/>
    <row r="61990" ht="12.75"/>
    <row r="61991" ht="12.75"/>
    <row r="61992" ht="12.75"/>
    <row r="61993" ht="12.75"/>
    <row r="61994" ht="12.75"/>
    <row r="61995" ht="12.75"/>
    <row r="61996" ht="12.75"/>
    <row r="61997" ht="12.75"/>
    <row r="61998" ht="12.75"/>
    <row r="61999" ht="12.75"/>
    <row r="62000" ht="12.75"/>
    <row r="62001" ht="12.75"/>
    <row r="62002" ht="12.75"/>
    <row r="62003" ht="12.75"/>
    <row r="62004" ht="12.75"/>
    <row r="62005" ht="12.75"/>
    <row r="62006" ht="12.75"/>
    <row r="62007" ht="12.75"/>
    <row r="62008" ht="12.75"/>
    <row r="62009" ht="12.75"/>
    <row r="62010" ht="12.75"/>
    <row r="62011" ht="12.75"/>
    <row r="62012" ht="12.75"/>
    <row r="62013" ht="12.75"/>
    <row r="62014" ht="12.75"/>
    <row r="62015" ht="12.75"/>
    <row r="62016" ht="12.75"/>
    <row r="62017" ht="12.75"/>
    <row r="62018" ht="12.75"/>
    <row r="62019" ht="12.75"/>
    <row r="62020" ht="12.75"/>
    <row r="62021" ht="12.75"/>
    <row r="62022" ht="12.75"/>
    <row r="62023" ht="12.75"/>
    <row r="62024" ht="12.75"/>
    <row r="62025" ht="12.75"/>
    <row r="62026" ht="12.75"/>
    <row r="62027" ht="12.75"/>
    <row r="62028" ht="12.75"/>
    <row r="62029" ht="12.75"/>
    <row r="62030" ht="12.75"/>
    <row r="62031" ht="12.75"/>
    <row r="62032" ht="12.75"/>
    <row r="62033" ht="12.75"/>
    <row r="62034" ht="12.75"/>
    <row r="62035" ht="12.75"/>
    <row r="62036" ht="12.75"/>
    <row r="62037" ht="12.75"/>
    <row r="62038" ht="12.75"/>
    <row r="62039" ht="12.75"/>
    <row r="62040" ht="12.75"/>
    <row r="62041" ht="12.75"/>
    <row r="62042" ht="12.75"/>
    <row r="62043" ht="12.75"/>
    <row r="62044" ht="12.75"/>
    <row r="62045" ht="12.75"/>
    <row r="62046" ht="12.75"/>
    <row r="62047" ht="12.75"/>
    <row r="62048" ht="12.75"/>
    <row r="62049" ht="12.75"/>
    <row r="62050" ht="12.75"/>
    <row r="62051" ht="12.75"/>
    <row r="62052" ht="12.75"/>
    <row r="62053" ht="12.75"/>
    <row r="62054" ht="12.75"/>
    <row r="62055" ht="12.75"/>
    <row r="62056" ht="12.75"/>
    <row r="62057" ht="12.75"/>
    <row r="62058" ht="12.75"/>
    <row r="62059" ht="12.75"/>
    <row r="62060" ht="12.75"/>
    <row r="62061" ht="12.75"/>
    <row r="62062" ht="12.75"/>
    <row r="62063" ht="12.75"/>
    <row r="62064" ht="12.75"/>
    <row r="62065" ht="12.75"/>
    <row r="62066" ht="12.75"/>
    <row r="62067" ht="12.75"/>
    <row r="62068" ht="12.75"/>
    <row r="62069" ht="12.75"/>
    <row r="62070" ht="12.75"/>
    <row r="62071" ht="12.75"/>
    <row r="62072" ht="12.75"/>
    <row r="62073" ht="12.75"/>
    <row r="62074" ht="12.75"/>
    <row r="62075" ht="12.75"/>
    <row r="62076" ht="12.75"/>
    <row r="62077" ht="12.75"/>
    <row r="62078" ht="12.75"/>
    <row r="62079" ht="12.75"/>
    <row r="62080" ht="12.75"/>
    <row r="62081" ht="12.75"/>
    <row r="62082" ht="12.75"/>
    <row r="62083" ht="12.75"/>
    <row r="62084" ht="12.75"/>
    <row r="62085" ht="12.75"/>
    <row r="62086" ht="12.75"/>
    <row r="62087" ht="12.75"/>
    <row r="62088" ht="12.75"/>
    <row r="62089" ht="12.75"/>
    <row r="62090" ht="12.75"/>
    <row r="62091" ht="12.75"/>
    <row r="62092" ht="12.75"/>
    <row r="62093" ht="12.75"/>
    <row r="62094" ht="12.75"/>
    <row r="62095" ht="12.75"/>
    <row r="62096" ht="12.75"/>
    <row r="62097" ht="12.75"/>
    <row r="62098" ht="12.75"/>
    <row r="62099" ht="12.75"/>
    <row r="62100" ht="12.75"/>
    <row r="62101" ht="12.75"/>
    <row r="62102" ht="12.75"/>
    <row r="62103" ht="12.75"/>
    <row r="62104" ht="12.75"/>
    <row r="62105" ht="12.75"/>
    <row r="62106" ht="12.75"/>
    <row r="62107" ht="12.75"/>
    <row r="62108" ht="12.75"/>
    <row r="62109" ht="12.75"/>
    <row r="62110" ht="12.75"/>
    <row r="62111" ht="12.75"/>
    <row r="62112" ht="12.75"/>
    <row r="62113" ht="12.75"/>
    <row r="62114" ht="12.75"/>
    <row r="62115" ht="12.75"/>
    <row r="62116" ht="12.75"/>
    <row r="62117" ht="12.75"/>
    <row r="62118" ht="12.75"/>
    <row r="62119" ht="12.75"/>
    <row r="62120" ht="12.75"/>
    <row r="62121" ht="12.75"/>
    <row r="62122" ht="12.75"/>
    <row r="62123" ht="12.75"/>
    <row r="62124" ht="12.75"/>
    <row r="62125" ht="12.75"/>
    <row r="62126" ht="12.75"/>
    <row r="62127" ht="12.75"/>
    <row r="62128" ht="12.75"/>
    <row r="62129" ht="12.75"/>
    <row r="62130" ht="12.75"/>
    <row r="62131" ht="12.75"/>
    <row r="62132" ht="12.75"/>
    <row r="62133" ht="12.75"/>
    <row r="62134" ht="12.75"/>
    <row r="62135" ht="12.75"/>
    <row r="62136" ht="12.75"/>
    <row r="62137" ht="12.75"/>
    <row r="62138" ht="12.75"/>
    <row r="62139" ht="12.75"/>
    <row r="62140" ht="12.75"/>
    <row r="62141" ht="12.75"/>
    <row r="62142" ht="12.75"/>
    <row r="62143" ht="12.75"/>
    <row r="62144" ht="12.75"/>
    <row r="62145" ht="12.75"/>
    <row r="62146" ht="12.75"/>
    <row r="62147" ht="12.75"/>
    <row r="62148" ht="12.75"/>
    <row r="62149" ht="12.75"/>
    <row r="62150" ht="12.75"/>
    <row r="62151" ht="12.75"/>
    <row r="62152" ht="12.75"/>
    <row r="62153" ht="12.75"/>
    <row r="62154" ht="12.75"/>
    <row r="62155" ht="12.75"/>
    <row r="62156" ht="12.75"/>
    <row r="62157" ht="12.75"/>
    <row r="62158" ht="12.75"/>
    <row r="62159" ht="12.75"/>
    <row r="62160" ht="12.75"/>
    <row r="62161" ht="12.75"/>
    <row r="62162" ht="12.75"/>
    <row r="62163" ht="12.75"/>
    <row r="62164" ht="12.75"/>
    <row r="62165" ht="12.75"/>
    <row r="62166" ht="12.75"/>
    <row r="62167" ht="12.75"/>
    <row r="62168" ht="12.75"/>
    <row r="62169" ht="12.75"/>
    <row r="62170" ht="12.75"/>
    <row r="62171" ht="12.75"/>
    <row r="62172" ht="12.75"/>
    <row r="62173" ht="12.75"/>
    <row r="62174" ht="12.75"/>
    <row r="62175" ht="12.75"/>
    <row r="62176" ht="12.75"/>
    <row r="62177" ht="12.75"/>
    <row r="62178" ht="12.75"/>
    <row r="62179" ht="12.75"/>
    <row r="62180" ht="12.75"/>
    <row r="62181" ht="12.75"/>
    <row r="62182" ht="12.75"/>
    <row r="62183" ht="12.75"/>
    <row r="62184" ht="12.75"/>
    <row r="62185" ht="12.75"/>
    <row r="62186" ht="12.75"/>
    <row r="62187" ht="12.75"/>
    <row r="62188" ht="12.75"/>
    <row r="62189" ht="12.75"/>
    <row r="62190" ht="12.75"/>
    <row r="62191" ht="12.75"/>
    <row r="62192" ht="12.75"/>
    <row r="62193" ht="12.75"/>
    <row r="62194" ht="12.75"/>
    <row r="62195" ht="12.75"/>
    <row r="62196" ht="12.75"/>
    <row r="62197" ht="12.75"/>
    <row r="62198" ht="12.75"/>
    <row r="62199" ht="12.75"/>
    <row r="62200" ht="12.75"/>
    <row r="62201" ht="12.75"/>
    <row r="62202" ht="12.75"/>
    <row r="62203" ht="12.75"/>
    <row r="62204" ht="12.75"/>
    <row r="62205" ht="12.75"/>
    <row r="62206" ht="12.75"/>
    <row r="62207" ht="12.75"/>
    <row r="62208" ht="12.75"/>
    <row r="62209" ht="12.75"/>
    <row r="62210" ht="12.75"/>
    <row r="62211" ht="12.75"/>
    <row r="62212" ht="12.75"/>
    <row r="62213" ht="12.75"/>
    <row r="62214" ht="12.75"/>
    <row r="62215" ht="12.75"/>
    <row r="62216" ht="12.75"/>
    <row r="62217" ht="12.75"/>
    <row r="62218" ht="12.75"/>
    <row r="62219" ht="12.75"/>
    <row r="62220" ht="12.75"/>
    <row r="62221" ht="12.75"/>
    <row r="62222" ht="12.75"/>
    <row r="62223" ht="12.75"/>
    <row r="62224" ht="12.75"/>
    <row r="62225" ht="12.75"/>
    <row r="62226" ht="12.75"/>
    <row r="62227" ht="12.75"/>
    <row r="62228" ht="12.75"/>
    <row r="62229" ht="12.75"/>
    <row r="62230" ht="12.75"/>
    <row r="62231" ht="12.75"/>
    <row r="62232" ht="12.75"/>
    <row r="62233" ht="12.75"/>
    <row r="62234" ht="12.75"/>
    <row r="62235" ht="12.75"/>
    <row r="62236" ht="12.75"/>
    <row r="62237" ht="12.75"/>
    <row r="62238" ht="12.75"/>
    <row r="62239" ht="12.75"/>
    <row r="62240" ht="12.75"/>
    <row r="62241" ht="12.75"/>
    <row r="62242" ht="12.75"/>
    <row r="62243" ht="12.75"/>
    <row r="62244" ht="12.75"/>
    <row r="62245" ht="12.75"/>
    <row r="62246" ht="12.75"/>
    <row r="62247" ht="12.75"/>
    <row r="62248" ht="12.75"/>
    <row r="62249" ht="12.75"/>
    <row r="62250" ht="12.75"/>
    <row r="62251" ht="12.75"/>
    <row r="62252" ht="12.75"/>
    <row r="62253" ht="12.75"/>
    <row r="62254" ht="12.75"/>
    <row r="62255" ht="12.75"/>
    <row r="62256" ht="12.75"/>
    <row r="62257" ht="12.75"/>
    <row r="62258" ht="12.75"/>
    <row r="62259" ht="12.75"/>
    <row r="62260" ht="12.75"/>
    <row r="62261" ht="12.75"/>
    <row r="62262" ht="12.75"/>
    <row r="62263" ht="12.75"/>
    <row r="62264" ht="12.75"/>
    <row r="62265" ht="12.75"/>
    <row r="62266" ht="12.75"/>
    <row r="62267" ht="12.75"/>
    <row r="62268" ht="12.75"/>
    <row r="62269" ht="12.75"/>
    <row r="62270" ht="12.75"/>
    <row r="62271" ht="12.75"/>
    <row r="62272" ht="12.75"/>
    <row r="62273" ht="12.75"/>
    <row r="62274" ht="12.75"/>
    <row r="62275" ht="12.75"/>
    <row r="62276" ht="12.75"/>
    <row r="62277" ht="12.75"/>
    <row r="62278" ht="12.75"/>
    <row r="62279" ht="12.75"/>
    <row r="62280" ht="12.75"/>
    <row r="62281" ht="12.75"/>
    <row r="62282" ht="12.75"/>
    <row r="62283" ht="12.75"/>
    <row r="62284" ht="12.75"/>
    <row r="62285" ht="12.75"/>
    <row r="62286" ht="12.75"/>
    <row r="62287" ht="12.75"/>
    <row r="62288" ht="12.75"/>
    <row r="62289" ht="12.75"/>
    <row r="62290" ht="12.75"/>
    <row r="62291" ht="12.75"/>
    <row r="62292" ht="12.75"/>
    <row r="62293" ht="12.75"/>
    <row r="62294" ht="12.75"/>
    <row r="62295" ht="12.75"/>
    <row r="62296" ht="12.75"/>
    <row r="62297" ht="12.75"/>
    <row r="62298" ht="12.75"/>
    <row r="62299" ht="12.75"/>
    <row r="62300" ht="12.75"/>
    <row r="62301" ht="12.75"/>
    <row r="62302" ht="12.75"/>
    <row r="62303" ht="12.75"/>
    <row r="62304" ht="12.75"/>
    <row r="62305" ht="12.75"/>
    <row r="62306" ht="12.75"/>
    <row r="62307" ht="12.75"/>
    <row r="62308" ht="12.75"/>
    <row r="62309" ht="12.75"/>
    <row r="62310" ht="12.75"/>
    <row r="62311" ht="12.75"/>
    <row r="62312" ht="12.75"/>
    <row r="62313" ht="12.75"/>
    <row r="62314" ht="12.75"/>
    <row r="62315" ht="12.75"/>
    <row r="62316" ht="12.75"/>
    <row r="62317" ht="12.75"/>
    <row r="62318" ht="12.75"/>
    <row r="62319" ht="12.75"/>
    <row r="62320" ht="12.75"/>
    <row r="62321" ht="12.75"/>
    <row r="62322" ht="12.75"/>
    <row r="62323" ht="12.75"/>
    <row r="62324" ht="12.75"/>
    <row r="62325" ht="12.75"/>
    <row r="62326" ht="12.75"/>
    <row r="62327" ht="12.75"/>
    <row r="62328" ht="12.75"/>
    <row r="62329" ht="12.75"/>
    <row r="62330" ht="12.75"/>
    <row r="62331" ht="12.75"/>
    <row r="62332" ht="12.75"/>
    <row r="62333" ht="12.75"/>
    <row r="62334" ht="12.75"/>
    <row r="62335" ht="12.75"/>
    <row r="62336" ht="12.75"/>
    <row r="62337" ht="12.75"/>
    <row r="62338" ht="12.75"/>
    <row r="62339" ht="12.75"/>
    <row r="62340" ht="12.75"/>
    <row r="62341" ht="12.75"/>
    <row r="62342" ht="12.75"/>
    <row r="62343" ht="12.75"/>
    <row r="62344" ht="12.75"/>
    <row r="62345" ht="12.75"/>
    <row r="62346" ht="12.75"/>
    <row r="62347" ht="12.75"/>
    <row r="62348" ht="12.75"/>
    <row r="62349" ht="12.75"/>
    <row r="62350" ht="12.75"/>
    <row r="62351" ht="12.75"/>
    <row r="62352" ht="12.75"/>
    <row r="62353" ht="12.75"/>
    <row r="62354" ht="12.75"/>
    <row r="62355" ht="12.75"/>
    <row r="62356" ht="12.75"/>
    <row r="62357" ht="12.75"/>
    <row r="62358" ht="12.75"/>
    <row r="62359" ht="12.75"/>
    <row r="62360" ht="12.75"/>
    <row r="62361" ht="12.75"/>
    <row r="62362" ht="12.75"/>
    <row r="62363" ht="12.75"/>
    <row r="62364" ht="12.75"/>
    <row r="62365" ht="12.75"/>
    <row r="62366" ht="12.75"/>
    <row r="62367" ht="12.75"/>
    <row r="62368" ht="12.75"/>
    <row r="62369" ht="12.75"/>
    <row r="62370" ht="12.75"/>
    <row r="62371" ht="12.75"/>
    <row r="62372" ht="12.75"/>
    <row r="62373" ht="12.75"/>
    <row r="62374" ht="12.75"/>
    <row r="62375" ht="12.75"/>
    <row r="62376" ht="12.75"/>
    <row r="62377" ht="12.75"/>
    <row r="62378" ht="12.75"/>
    <row r="62379" ht="12.75"/>
    <row r="62380" ht="12.75"/>
    <row r="62381" ht="12.75"/>
    <row r="62382" ht="12.75"/>
    <row r="62383" ht="12.75"/>
    <row r="62384" ht="12.75"/>
    <row r="62385" ht="12.75"/>
    <row r="62386" ht="12.75"/>
    <row r="62387" ht="12.75"/>
    <row r="62388" ht="12.75"/>
    <row r="62389" ht="12.75"/>
    <row r="62390" ht="12.75"/>
    <row r="62391" ht="12.75"/>
    <row r="62392" ht="12.75"/>
    <row r="62393" ht="12.75"/>
    <row r="62394" ht="12.75"/>
    <row r="62395" ht="12.75"/>
    <row r="62396" ht="12.75"/>
    <row r="62397" ht="12.75"/>
    <row r="62398" ht="12.75"/>
    <row r="62399" ht="12.75"/>
    <row r="62400" ht="12.75"/>
    <row r="62401" ht="12.75"/>
    <row r="62402" ht="12.75"/>
    <row r="62403" ht="12.75"/>
    <row r="62404" ht="12.75"/>
    <row r="62405" ht="12.75"/>
    <row r="62406" ht="12.75"/>
    <row r="62407" ht="12.75"/>
    <row r="62408" ht="12.75"/>
    <row r="62409" ht="12.75"/>
    <row r="62410" ht="12.75"/>
    <row r="62411" ht="12.75"/>
    <row r="62412" ht="12.75"/>
    <row r="62413" ht="12.75"/>
    <row r="62414" ht="12.75"/>
    <row r="62415" ht="12.75"/>
    <row r="62416" ht="12.75"/>
    <row r="62417" ht="12.75"/>
    <row r="62418" ht="12.75"/>
    <row r="62419" ht="12.75"/>
    <row r="62420" ht="12.75"/>
    <row r="62421" ht="12.75"/>
    <row r="62422" ht="12.75"/>
    <row r="62423" ht="12.75"/>
    <row r="62424" ht="12.75"/>
    <row r="62425" ht="12.75"/>
    <row r="62426" ht="12.75"/>
    <row r="62427" ht="12.75"/>
    <row r="62428" ht="12.75"/>
    <row r="62429" ht="12.75"/>
    <row r="62430" ht="12.75"/>
    <row r="62431" ht="12.75"/>
    <row r="62432" ht="12.75"/>
    <row r="62433" ht="12.75"/>
    <row r="62434" ht="12.75"/>
    <row r="62435" ht="12.75"/>
    <row r="62436" ht="12.75"/>
    <row r="62437" ht="12.75"/>
    <row r="62438" ht="12.75"/>
    <row r="62439" ht="12.75"/>
    <row r="62440" ht="12.75"/>
    <row r="62441" ht="12.75"/>
    <row r="62442" ht="12.75"/>
    <row r="62443" ht="12.75"/>
    <row r="62444" ht="12.75"/>
    <row r="62445" ht="12.75"/>
    <row r="62446" ht="12.75"/>
    <row r="62447" ht="12.75"/>
    <row r="62448" ht="12.75"/>
    <row r="62449" ht="12.75"/>
    <row r="62450" ht="12.75"/>
    <row r="62451" ht="12.75"/>
    <row r="62452" ht="12.75"/>
    <row r="62453" ht="12.75"/>
    <row r="62454" ht="12.75"/>
    <row r="62455" ht="12.75"/>
    <row r="62456" ht="12.75"/>
    <row r="62457" ht="12.75"/>
    <row r="62458" ht="12.75"/>
    <row r="62459" ht="12.75"/>
    <row r="62460" ht="12.75"/>
    <row r="62461" ht="12.75"/>
    <row r="62462" ht="12.75"/>
    <row r="62463" ht="12.75"/>
    <row r="62464" ht="12.75"/>
    <row r="62465" ht="12.75"/>
    <row r="62466" ht="12.75"/>
    <row r="62467" ht="12.75"/>
    <row r="62468" ht="12.75"/>
    <row r="62469" ht="12.75"/>
    <row r="62470" ht="12.75"/>
    <row r="62471" ht="12.75"/>
    <row r="62472" ht="12.75"/>
    <row r="62473" ht="12.75"/>
    <row r="62474" ht="12.75"/>
    <row r="62475" ht="12.75"/>
    <row r="62476" ht="12.75"/>
    <row r="62477" ht="12.75"/>
    <row r="62478" ht="12.75"/>
    <row r="62479" ht="12.75"/>
    <row r="62480" ht="12.75"/>
    <row r="62481" ht="12.75"/>
    <row r="62482" ht="12.75"/>
    <row r="62483" ht="12.75"/>
    <row r="62484" ht="12.75"/>
    <row r="62485" ht="12.75"/>
    <row r="62486" ht="12.75"/>
    <row r="62487" ht="12.75"/>
    <row r="62488" ht="12.75"/>
    <row r="62489" ht="12.75"/>
    <row r="62490" ht="12.75"/>
    <row r="62491" ht="12.75"/>
    <row r="62492" ht="12.75"/>
    <row r="62493" ht="12.75"/>
    <row r="62494" ht="12.75"/>
    <row r="62495" ht="12.75"/>
    <row r="62496" ht="12.75"/>
    <row r="62497" ht="12.75"/>
    <row r="62498" ht="12.75"/>
    <row r="62499" ht="12.75"/>
    <row r="62500" ht="12.75"/>
    <row r="62501" ht="12.75"/>
    <row r="62502" ht="12.75"/>
    <row r="62503" ht="12.75"/>
    <row r="62504" ht="12.75"/>
    <row r="62505" ht="12.75"/>
    <row r="62506" ht="12.75"/>
    <row r="62507" ht="12.75"/>
    <row r="62508" ht="12.75"/>
    <row r="62509" ht="12.75"/>
    <row r="62510" ht="12.75"/>
    <row r="62511" ht="12.75"/>
    <row r="62512" ht="12.75"/>
    <row r="62513" ht="12.75"/>
    <row r="62514" ht="12.75"/>
    <row r="62515" ht="12.75"/>
    <row r="62516" ht="12.75"/>
    <row r="62517" ht="12.75"/>
    <row r="62518" ht="12.75"/>
    <row r="62519" ht="12.75"/>
    <row r="62520" ht="12.75"/>
    <row r="62521" ht="12.75"/>
    <row r="62522" ht="12.75"/>
    <row r="62523" ht="12.75"/>
    <row r="62524" ht="12.75"/>
    <row r="62525" ht="12.75"/>
    <row r="62526" ht="12.75"/>
    <row r="62527" ht="12.75"/>
    <row r="62528" ht="12.75"/>
    <row r="62529" ht="12.75"/>
    <row r="62530" ht="12.75"/>
    <row r="62531" ht="12.75"/>
    <row r="62532" ht="12.75"/>
    <row r="62533" ht="12.75"/>
    <row r="62534" ht="12.75"/>
    <row r="62535" ht="12.75"/>
    <row r="62536" ht="12.75"/>
    <row r="62537" ht="12.75"/>
    <row r="62538" ht="12.75"/>
    <row r="62539" ht="12.75"/>
    <row r="62540" ht="12.75"/>
    <row r="62541" ht="12.75"/>
    <row r="62542" ht="12.75"/>
    <row r="62543" ht="12.75"/>
    <row r="62544" ht="12.75"/>
    <row r="62545" ht="12.75"/>
    <row r="62546" ht="12.75"/>
    <row r="62547" ht="12.75"/>
    <row r="62548" ht="12.75"/>
    <row r="62549" ht="12.75"/>
    <row r="62550" ht="12.75"/>
    <row r="62551" ht="12.75"/>
    <row r="62552" ht="12.75"/>
    <row r="62553" ht="12.75"/>
    <row r="62554" ht="12.75"/>
    <row r="62555" ht="12.75"/>
    <row r="62556" ht="12.75"/>
    <row r="62557" ht="12.75"/>
    <row r="62558" ht="12.75"/>
    <row r="62559" ht="12.75"/>
    <row r="62560" ht="12.75"/>
    <row r="62561" ht="12.75"/>
    <row r="62562" ht="12.75"/>
    <row r="62563" ht="12.75"/>
    <row r="62564" ht="12.75"/>
    <row r="62565" ht="12.75"/>
    <row r="62566" ht="12.75"/>
    <row r="62567" ht="12.75"/>
    <row r="62568" ht="12.75"/>
    <row r="62569" ht="12.75"/>
    <row r="62570" ht="12.75"/>
    <row r="62571" ht="12.75"/>
    <row r="62572" ht="12.75"/>
    <row r="62573" ht="12.75"/>
    <row r="62574" ht="12.75"/>
    <row r="62575" ht="12.75"/>
    <row r="62576" ht="12.75"/>
    <row r="62577" ht="12.75"/>
    <row r="62578" ht="12.75"/>
    <row r="62579" ht="12.75"/>
    <row r="62580" ht="12.75"/>
    <row r="62581" ht="12.75"/>
    <row r="62582" ht="12.75"/>
    <row r="62583" ht="12.75"/>
    <row r="62584" ht="12.75"/>
    <row r="62585" ht="12.75"/>
    <row r="62586" ht="12.75"/>
    <row r="62587" ht="12.75"/>
    <row r="62588" ht="12.75"/>
    <row r="62589" ht="12.75"/>
    <row r="62590" ht="12.75"/>
    <row r="62591" ht="12.75"/>
    <row r="62592" ht="12.75"/>
    <row r="62593" ht="12.75"/>
    <row r="62594" ht="12.75"/>
    <row r="62595" ht="12.75"/>
    <row r="62596" ht="12.75"/>
    <row r="62597" ht="12.75"/>
    <row r="62598" ht="12.75"/>
    <row r="62599" ht="12.75"/>
    <row r="62600" ht="12.75"/>
    <row r="62601" ht="12.75"/>
    <row r="62602" ht="12.75"/>
    <row r="62603" ht="12.75"/>
    <row r="62604" ht="12.75"/>
    <row r="62605" ht="12.75"/>
    <row r="62606" ht="12.75"/>
    <row r="62607" ht="12.75"/>
    <row r="62608" ht="12.75"/>
    <row r="62609" ht="12.75"/>
    <row r="62610" ht="12.75"/>
    <row r="62611" ht="12.75"/>
    <row r="62612" ht="12.75"/>
    <row r="62613" ht="12.75"/>
    <row r="62614" ht="12.75"/>
    <row r="62615" ht="12.75"/>
    <row r="62616" ht="12.75"/>
    <row r="62617" ht="12.75"/>
    <row r="62618" ht="12.75"/>
    <row r="62619" ht="12.75"/>
    <row r="62620" ht="12.75"/>
    <row r="62621" ht="12.75"/>
    <row r="62622" ht="12.75"/>
    <row r="62623" ht="12.75"/>
    <row r="62624" ht="12.75"/>
    <row r="62625" ht="12.75"/>
    <row r="62626" ht="12.75"/>
    <row r="62627" ht="12.75"/>
    <row r="62628" ht="12.75"/>
    <row r="62629" ht="12.75"/>
    <row r="62630" ht="12.75"/>
    <row r="62631" ht="12.75"/>
    <row r="62632" ht="12.75"/>
    <row r="62633" ht="12.75"/>
    <row r="62634" ht="12.75"/>
    <row r="62635" ht="12.75"/>
    <row r="62636" ht="12.75"/>
    <row r="62637" ht="12.75"/>
    <row r="62638" ht="12.75"/>
    <row r="62639" ht="12.75"/>
    <row r="62640" ht="12.75"/>
    <row r="62641" ht="12.75"/>
    <row r="62642" ht="12.75"/>
    <row r="62643" ht="12.75"/>
    <row r="62644" ht="12.75"/>
    <row r="62645" ht="12.75"/>
    <row r="62646" ht="12.75"/>
    <row r="62647" ht="12.75"/>
    <row r="62648" ht="12.75"/>
    <row r="62649" ht="12.75"/>
    <row r="62650" ht="12.75"/>
    <row r="62651" ht="12.75"/>
    <row r="62652" ht="12.75"/>
    <row r="62653" ht="12.75"/>
    <row r="62654" ht="12.75"/>
    <row r="62655" ht="12.75"/>
    <row r="62656" ht="12.75"/>
    <row r="62657" ht="12.75"/>
    <row r="62658" ht="12.75"/>
    <row r="62659" ht="12.75"/>
    <row r="62660" ht="12.75"/>
    <row r="62661" ht="12.75"/>
    <row r="62662" ht="12.75"/>
    <row r="62663" ht="12.75"/>
    <row r="62664" ht="12.75"/>
    <row r="62665" ht="12.75"/>
    <row r="62666" ht="12.75"/>
    <row r="62667" ht="12.75"/>
    <row r="62668" ht="12.75"/>
    <row r="62669" ht="12.75"/>
    <row r="62670" ht="12.75"/>
    <row r="62671" ht="12.75"/>
    <row r="62672" ht="12.75"/>
    <row r="62673" ht="12.75"/>
    <row r="62674" ht="12.75"/>
    <row r="62675" ht="12.75"/>
    <row r="62676" ht="12.75"/>
    <row r="62677" ht="12.75"/>
    <row r="62678" ht="12.75"/>
    <row r="62679" ht="12.75"/>
    <row r="62680" ht="12.75"/>
    <row r="62681" ht="12.75"/>
    <row r="62682" ht="12.75"/>
    <row r="62683" ht="12.75"/>
    <row r="62684" ht="12.75"/>
    <row r="62685" ht="12.75"/>
    <row r="62686" ht="12.75"/>
    <row r="62687" ht="12.75"/>
    <row r="62688" ht="12.75"/>
    <row r="62689" ht="12.75"/>
    <row r="62690" ht="12.75"/>
    <row r="62691" ht="12.75"/>
    <row r="62692" ht="12.75"/>
    <row r="62693" ht="12.75"/>
    <row r="62694" ht="12.75"/>
    <row r="62695" ht="12.75"/>
    <row r="62696" ht="12.75"/>
    <row r="62697" ht="12.75"/>
    <row r="62698" ht="12.75"/>
    <row r="62699" ht="12.75"/>
    <row r="62700" ht="12.75"/>
    <row r="62701" ht="12.75"/>
    <row r="62702" ht="12.75"/>
    <row r="62703" ht="12.75"/>
    <row r="62704" ht="12.75"/>
    <row r="62705" ht="12.75"/>
    <row r="62706" ht="12.75"/>
    <row r="62707" ht="12.75"/>
    <row r="62708" ht="12.75"/>
    <row r="62709" ht="12.75"/>
    <row r="62710" ht="12.75"/>
    <row r="62711" ht="12.75"/>
    <row r="62712" ht="12.75"/>
    <row r="62713" ht="12.75"/>
    <row r="62714" ht="12.75"/>
    <row r="62715" ht="12.75"/>
    <row r="62716" ht="12.75"/>
    <row r="62717" ht="12.75"/>
    <row r="62718" ht="12.75"/>
    <row r="62719" ht="12.75"/>
    <row r="62720" ht="12.75"/>
    <row r="62721" ht="12.75"/>
    <row r="62722" ht="12.75"/>
    <row r="62723" ht="12.75"/>
    <row r="62724" ht="12.75"/>
    <row r="62725" ht="12.75"/>
    <row r="62726" ht="12.75"/>
    <row r="62727" ht="12.75"/>
    <row r="62728" ht="12.75"/>
    <row r="62729" ht="12.75"/>
    <row r="62730" ht="12.75"/>
    <row r="62731" ht="12.75"/>
    <row r="62732" ht="12.75"/>
    <row r="62733" ht="12.75"/>
    <row r="62734" ht="12.75"/>
    <row r="62735" ht="12.75"/>
    <row r="62736" ht="12.75"/>
    <row r="62737" ht="12.75"/>
    <row r="62738" ht="12.75"/>
    <row r="62739" ht="12.75"/>
    <row r="62740" ht="12.75"/>
    <row r="62741" ht="12.75"/>
    <row r="62742" ht="12.75"/>
    <row r="62743" ht="12.75"/>
    <row r="62744" ht="12.75"/>
    <row r="62745" ht="12.75"/>
    <row r="62746" ht="12.75"/>
    <row r="62747" ht="12.75"/>
    <row r="62748" ht="12.75"/>
    <row r="62749" ht="12.75"/>
    <row r="62750" ht="12.75"/>
    <row r="62751" ht="12.75"/>
    <row r="62752" ht="12.75"/>
    <row r="62753" ht="12.75"/>
    <row r="62754" ht="12.75"/>
    <row r="62755" ht="12.75"/>
    <row r="62756" ht="12.75"/>
    <row r="62757" ht="12.75"/>
    <row r="62758" ht="12.75"/>
    <row r="62759" ht="12.75"/>
    <row r="62760" ht="12.75"/>
    <row r="62761" ht="12.75"/>
    <row r="62762" ht="12.75"/>
    <row r="62763" ht="12.75"/>
    <row r="62764" ht="12.75"/>
    <row r="62765" ht="12.75"/>
    <row r="62766" ht="12.75"/>
    <row r="62767" ht="12.75"/>
    <row r="62768" ht="12.75"/>
    <row r="62769" ht="12.75"/>
    <row r="62770" ht="12.75"/>
    <row r="62771" ht="12.75"/>
    <row r="62772" ht="12.75"/>
    <row r="62773" ht="12.75"/>
    <row r="62774" ht="12.75"/>
    <row r="62775" ht="12.75"/>
    <row r="62776" ht="12.75"/>
    <row r="62777" ht="12.75"/>
    <row r="62778" ht="12.75"/>
    <row r="62779" ht="12.75"/>
    <row r="62780" ht="12.75"/>
    <row r="62781" ht="12.75"/>
    <row r="62782" ht="12.75"/>
    <row r="62783" ht="12.75"/>
    <row r="62784" ht="12.75"/>
    <row r="62785" ht="12.75"/>
    <row r="62786" ht="12.75"/>
    <row r="62787" ht="12.75"/>
    <row r="62788" ht="12.75"/>
    <row r="62789" ht="12.75"/>
    <row r="62790" ht="12.75"/>
    <row r="62791" ht="12.75"/>
    <row r="62792" ht="12.75"/>
    <row r="62793" ht="12.75"/>
    <row r="62794" ht="12.75"/>
    <row r="62795" ht="12.75"/>
    <row r="62796" ht="12.75"/>
    <row r="62797" ht="12.75"/>
    <row r="62798" ht="12.75"/>
    <row r="62799" ht="12.75"/>
    <row r="62800" ht="12.75"/>
    <row r="62801" ht="12.75"/>
    <row r="62802" ht="12.75"/>
    <row r="62803" ht="12.75"/>
    <row r="62804" ht="12.75"/>
    <row r="62805" ht="12.75"/>
    <row r="62806" ht="12.75"/>
    <row r="62807" ht="12.75"/>
    <row r="62808" ht="12.75"/>
    <row r="62809" ht="12.75"/>
    <row r="62810" ht="12.75"/>
    <row r="62811" ht="12.75"/>
    <row r="62812" ht="12.75"/>
    <row r="62813" ht="12.75"/>
    <row r="62814" ht="12.75"/>
    <row r="62815" ht="12.75"/>
    <row r="62816" ht="12.75"/>
    <row r="62817" ht="12.75"/>
    <row r="62818" ht="12.75"/>
    <row r="62819" ht="12.75"/>
    <row r="62820" ht="12.75"/>
    <row r="62821" ht="12.75"/>
    <row r="62822" ht="12.75"/>
    <row r="62823" ht="12.75"/>
    <row r="62824" ht="12.75"/>
    <row r="62825" ht="12.75"/>
    <row r="62826" ht="12.75"/>
    <row r="62827" ht="12.75"/>
    <row r="62828" ht="12.75"/>
    <row r="62829" ht="12.75"/>
    <row r="62830" ht="12.75"/>
    <row r="62831" ht="12.75"/>
    <row r="62832" ht="12.75"/>
    <row r="62833" ht="12.75"/>
    <row r="62834" ht="12.75"/>
    <row r="62835" ht="12.75"/>
    <row r="62836" ht="12.75"/>
    <row r="62837" ht="12.75"/>
    <row r="62838" ht="12.75"/>
    <row r="62839" ht="12.75"/>
    <row r="62840" ht="12.75"/>
    <row r="62841" ht="12.75"/>
    <row r="62842" ht="12.75"/>
    <row r="62843" ht="12.75"/>
    <row r="62844" ht="12.75"/>
    <row r="62845" ht="12.75"/>
    <row r="62846" ht="12.75"/>
    <row r="62847" ht="12.75"/>
    <row r="62848" ht="12.75"/>
    <row r="62849" ht="12.75"/>
    <row r="62850" ht="12.75"/>
    <row r="62851" ht="12.75"/>
    <row r="62852" ht="12.75"/>
    <row r="62853" ht="12.75"/>
    <row r="62854" ht="12.75"/>
    <row r="62855" ht="12.75"/>
    <row r="62856" ht="12.75"/>
    <row r="62857" ht="12.75"/>
    <row r="62858" ht="12.75"/>
    <row r="62859" ht="12.75"/>
    <row r="62860" ht="12.75"/>
    <row r="62861" ht="12.75"/>
    <row r="62862" ht="12.75"/>
    <row r="62863" ht="12.75"/>
    <row r="62864" ht="12.75"/>
    <row r="62865" ht="12.75"/>
    <row r="62866" ht="12.75"/>
    <row r="62867" ht="12.75"/>
    <row r="62868" ht="12.75"/>
    <row r="62869" ht="12.75"/>
    <row r="62870" ht="12.75"/>
    <row r="62871" ht="12.75"/>
    <row r="62872" ht="12.75"/>
    <row r="62873" ht="12.75"/>
    <row r="62874" ht="12.75"/>
    <row r="62875" ht="12.75"/>
    <row r="62876" ht="12.75"/>
    <row r="62877" ht="12.75"/>
    <row r="62878" ht="12.75"/>
    <row r="62879" ht="12.75"/>
    <row r="62880" ht="12.75"/>
    <row r="62881" ht="12.75"/>
    <row r="62882" ht="12.75"/>
    <row r="62883" ht="12.75"/>
    <row r="62884" ht="12.75"/>
    <row r="62885" ht="12.75"/>
    <row r="62886" ht="12.75"/>
    <row r="62887" ht="12.75"/>
    <row r="62888" ht="12.75"/>
    <row r="62889" ht="12.75"/>
    <row r="62890" ht="12.75"/>
    <row r="62891" ht="12.75"/>
    <row r="62892" ht="12.75"/>
    <row r="62893" ht="12.75"/>
    <row r="62894" ht="12.75"/>
    <row r="62895" ht="12.75"/>
    <row r="62896" ht="12.75"/>
    <row r="62897" ht="12.75"/>
    <row r="62898" ht="12.75"/>
    <row r="62899" ht="12.75"/>
    <row r="62900" ht="12.75"/>
    <row r="62901" ht="12.75"/>
    <row r="62902" ht="12.75"/>
    <row r="62903" ht="12.75"/>
    <row r="62904" ht="12.75"/>
    <row r="62905" ht="12.75"/>
    <row r="62906" ht="12.75"/>
    <row r="62907" ht="12.75"/>
    <row r="62908" ht="12.75"/>
    <row r="62909" ht="12.75"/>
    <row r="62910" ht="12.75"/>
    <row r="62911" ht="12.75"/>
    <row r="62912" ht="12.75"/>
    <row r="62913" ht="12.75"/>
    <row r="62914" ht="12.75"/>
    <row r="62915" ht="12.75"/>
    <row r="62916" ht="12.75"/>
    <row r="62917" ht="12.75"/>
    <row r="62918" ht="12.75"/>
    <row r="62919" ht="12.75"/>
    <row r="62920" ht="12.75"/>
    <row r="62921" ht="12.75"/>
    <row r="62922" ht="12.75"/>
    <row r="62923" ht="12.75"/>
    <row r="62924" ht="12.75"/>
    <row r="62925" ht="12.75"/>
    <row r="62926" ht="12.75"/>
    <row r="62927" ht="12.75"/>
    <row r="62928" ht="12.75"/>
    <row r="62929" ht="12.75"/>
    <row r="62930" ht="12.75"/>
    <row r="62931" ht="12.75"/>
    <row r="62932" ht="12.75"/>
    <row r="62933" ht="12.75"/>
    <row r="62934" ht="12.75"/>
    <row r="62935" ht="12.75"/>
    <row r="62936" ht="12.75"/>
    <row r="62937" ht="12.75"/>
    <row r="62938" ht="12.75"/>
    <row r="62939" ht="12.75"/>
    <row r="62940" ht="12.75"/>
    <row r="62941" ht="12.75"/>
    <row r="62942" ht="12.75"/>
    <row r="62943" ht="12.75"/>
    <row r="62944" ht="12.75"/>
    <row r="62945" ht="12.75"/>
    <row r="62946" ht="12.75"/>
    <row r="62947" ht="12.75"/>
    <row r="62948" ht="12.75"/>
    <row r="62949" ht="12.75"/>
    <row r="62950" ht="12.75"/>
    <row r="62951" ht="12.75"/>
    <row r="62952" ht="12.75"/>
    <row r="62953" ht="12.75"/>
    <row r="62954" ht="12.75"/>
    <row r="62955" ht="12.75"/>
    <row r="62956" ht="12.75"/>
    <row r="62957" ht="12.75"/>
    <row r="62958" ht="12.75"/>
    <row r="62959" ht="12.75"/>
    <row r="62960" ht="12.75"/>
    <row r="62961" ht="12.75"/>
    <row r="62962" ht="12.75"/>
    <row r="62963" ht="12.75"/>
    <row r="62964" ht="12.75"/>
    <row r="62965" ht="12.75"/>
    <row r="62966" ht="12.75"/>
    <row r="62967" ht="12.75"/>
    <row r="62968" ht="12.75"/>
    <row r="62969" ht="12.75"/>
    <row r="62970" ht="12.75"/>
    <row r="62971" ht="12.75"/>
    <row r="62972" ht="12.75"/>
    <row r="62973" ht="12.75"/>
    <row r="62974" ht="12.75"/>
    <row r="62975" ht="12.75"/>
    <row r="62976" ht="12.75"/>
    <row r="62977" ht="12.75"/>
    <row r="62978" ht="12.75"/>
    <row r="62979" ht="12.75"/>
    <row r="62980" ht="12.75"/>
    <row r="62981" ht="12.75"/>
    <row r="62982" ht="12.75"/>
    <row r="62983" ht="12.75"/>
    <row r="62984" ht="12.75"/>
    <row r="62985" ht="12.75"/>
    <row r="62986" ht="12.75"/>
    <row r="62987" ht="12.75"/>
    <row r="62988" ht="12.75"/>
    <row r="62989" ht="12.75"/>
    <row r="62990" ht="12.75"/>
    <row r="62991" ht="12.75"/>
    <row r="62992" ht="12.75"/>
    <row r="62993" ht="12.75"/>
    <row r="62994" ht="12.75"/>
    <row r="62995" ht="12.75"/>
    <row r="62996" ht="12.75"/>
    <row r="62997" ht="12.75"/>
    <row r="62998" ht="12.75"/>
    <row r="62999" ht="12.75"/>
    <row r="63000" ht="12.75"/>
    <row r="63001" ht="12.75"/>
    <row r="63002" ht="12.75"/>
    <row r="63003" ht="12.75"/>
    <row r="63004" ht="12.75"/>
    <row r="63005" ht="12.75"/>
    <row r="63006" ht="12.75"/>
    <row r="63007" ht="12.75"/>
    <row r="63008" ht="12.75"/>
    <row r="63009" ht="12.75"/>
    <row r="63010" ht="12.75"/>
    <row r="63011" ht="12.75"/>
    <row r="63012" ht="12.75"/>
    <row r="63013" ht="12.75"/>
    <row r="63014" ht="12.75"/>
    <row r="63015" ht="12.75"/>
    <row r="63016" ht="12.75"/>
    <row r="63017" ht="12.75"/>
    <row r="63018" ht="12.75"/>
    <row r="63019" ht="12.75"/>
    <row r="63020" ht="12.75"/>
    <row r="63021" ht="12.75"/>
    <row r="63022" ht="12.75"/>
    <row r="63023" ht="12.75"/>
    <row r="63024" ht="12.75"/>
    <row r="63025" ht="12.75"/>
    <row r="63026" ht="12.75"/>
    <row r="63027" ht="12.75"/>
    <row r="63028" ht="12.75"/>
    <row r="63029" ht="12.75"/>
    <row r="63030" ht="12.75"/>
    <row r="63031" ht="12.75"/>
    <row r="63032" ht="12.75"/>
    <row r="63033" ht="12.75"/>
    <row r="63034" ht="12.75"/>
    <row r="63035" ht="12.75"/>
    <row r="63036" ht="12.75"/>
    <row r="63037" ht="12.75"/>
    <row r="63038" ht="12.75"/>
    <row r="63039" ht="12.75"/>
    <row r="63040" ht="12.75"/>
    <row r="63041" ht="12.75"/>
    <row r="63042" ht="12.75"/>
    <row r="63043" ht="12.75"/>
    <row r="63044" ht="12.75"/>
    <row r="63045" ht="12.75"/>
    <row r="63046" ht="12.75"/>
    <row r="63047" ht="12.75"/>
    <row r="63048" ht="12.75"/>
    <row r="63049" ht="12.75"/>
    <row r="63050" ht="12.75"/>
    <row r="63051" ht="12.75"/>
    <row r="63052" ht="12.75"/>
    <row r="63053" ht="12.75"/>
    <row r="63054" ht="12.75"/>
    <row r="63055" ht="12.75"/>
    <row r="63056" ht="12.75"/>
    <row r="63057" ht="12.75"/>
    <row r="63058" ht="12.75"/>
    <row r="63059" ht="12.75"/>
    <row r="63060" ht="12.75"/>
    <row r="63061" ht="12.75"/>
    <row r="63062" ht="12.75"/>
    <row r="63063" ht="12.75"/>
    <row r="63064" ht="12.75"/>
    <row r="63065" ht="12.75"/>
    <row r="63066" ht="12.75"/>
    <row r="63067" ht="12.75"/>
    <row r="63068" ht="12.75"/>
    <row r="63069" ht="12.75"/>
    <row r="63070" ht="12.75"/>
    <row r="63071" ht="12.75"/>
    <row r="63072" ht="12.75"/>
    <row r="63073" ht="12.75"/>
    <row r="63074" ht="12.75"/>
    <row r="63075" ht="12.75"/>
    <row r="63076" ht="12.75"/>
    <row r="63077" ht="12.75"/>
    <row r="63078" ht="12.75"/>
    <row r="63079" ht="12.75"/>
    <row r="63080" ht="12.75"/>
    <row r="63081" ht="12.75"/>
    <row r="63082" ht="12.75"/>
    <row r="63083" ht="12.75"/>
    <row r="63084" ht="12.75"/>
    <row r="63085" ht="12.75"/>
    <row r="63086" ht="12.75"/>
    <row r="63087" ht="12.75"/>
    <row r="63088" ht="12.75"/>
    <row r="63089" ht="12.75"/>
    <row r="63090" ht="12.75"/>
    <row r="63091" ht="12.75"/>
    <row r="63092" ht="12.75"/>
    <row r="63093" ht="12.75"/>
    <row r="63094" ht="12.75"/>
    <row r="63095" ht="12.75"/>
    <row r="63096" ht="12.75"/>
    <row r="63097" ht="12.75"/>
    <row r="63098" ht="12.75"/>
    <row r="63099" ht="12.75"/>
    <row r="63100" ht="12.75"/>
    <row r="63101" ht="12.75"/>
    <row r="63102" ht="12.75"/>
    <row r="63103" ht="12.75"/>
    <row r="63104" ht="12.75"/>
    <row r="63105" ht="12.75"/>
    <row r="63106" ht="12.75"/>
    <row r="63107" ht="12.75"/>
    <row r="63108" ht="12.75"/>
    <row r="63109" ht="12.75"/>
    <row r="63110" ht="12.75"/>
    <row r="63111" ht="12.75"/>
    <row r="63112" ht="12.75"/>
    <row r="63113" ht="12.75"/>
    <row r="63114" ht="12.75"/>
    <row r="63115" ht="12.75"/>
    <row r="63116" ht="12.75"/>
    <row r="63117" ht="12.75"/>
    <row r="63118" ht="12.75"/>
    <row r="63119" ht="12.75"/>
    <row r="63120" ht="12.75"/>
    <row r="63121" ht="12.75"/>
    <row r="63122" ht="12.75"/>
    <row r="63123" ht="12.75"/>
    <row r="63124" ht="12.75"/>
    <row r="63125" ht="12.75"/>
    <row r="63126" ht="12.75"/>
    <row r="63127" ht="12.75"/>
    <row r="63128" ht="12.75"/>
    <row r="63129" ht="12.75"/>
    <row r="63130" ht="12.75"/>
    <row r="63131" ht="12.75"/>
    <row r="63132" ht="12.75"/>
    <row r="63133" ht="12.75"/>
    <row r="63134" ht="12.75"/>
    <row r="63135" ht="12.75"/>
    <row r="63136" ht="12.75"/>
    <row r="63137" ht="12.75"/>
    <row r="63138" ht="12.75"/>
    <row r="63139" ht="12.75"/>
    <row r="63140" ht="12.75"/>
    <row r="63141" ht="12.75"/>
    <row r="63142" ht="12.75"/>
    <row r="63143" ht="12.75"/>
    <row r="63144" ht="12.75"/>
    <row r="63145" ht="12.75"/>
    <row r="63146" ht="12.75"/>
    <row r="63147" ht="12.75"/>
    <row r="63148" ht="12.75"/>
    <row r="63149" ht="12.75"/>
    <row r="63150" ht="12.75"/>
    <row r="63151" ht="12.75"/>
    <row r="63152" ht="12.75"/>
    <row r="63153" ht="12.75"/>
    <row r="63154" ht="12.75"/>
    <row r="63155" ht="12.75"/>
    <row r="63156" ht="12.75"/>
    <row r="63157" ht="12.75"/>
    <row r="63158" ht="12.75"/>
    <row r="63159" ht="12.75"/>
    <row r="63160" ht="12.75"/>
    <row r="63161" ht="12.75"/>
    <row r="63162" ht="12.75"/>
    <row r="63163" ht="12.75"/>
    <row r="63164" ht="12.75"/>
    <row r="63165" ht="12.75"/>
    <row r="63166" ht="12.75"/>
    <row r="63167" ht="12.75"/>
    <row r="63168" ht="12.75"/>
    <row r="63169" ht="12.75"/>
    <row r="63170" ht="12.75"/>
    <row r="63171" ht="12.75"/>
    <row r="63172" ht="12.75"/>
    <row r="63173" ht="12.75"/>
    <row r="63174" ht="12.75"/>
    <row r="63175" ht="12.75"/>
    <row r="63176" ht="12.75"/>
    <row r="63177" ht="12.75"/>
    <row r="63178" ht="12.75"/>
    <row r="63179" ht="12.75"/>
    <row r="63180" ht="12.75"/>
    <row r="63181" ht="12.75"/>
    <row r="63182" ht="12.75"/>
    <row r="63183" ht="12.75"/>
    <row r="63184" ht="12.75"/>
    <row r="63185" ht="12.75"/>
    <row r="63186" ht="12.75"/>
    <row r="63187" ht="12.75"/>
    <row r="63188" ht="12.75"/>
    <row r="63189" ht="12.75"/>
    <row r="63190" ht="12.75"/>
    <row r="63191" ht="12.75"/>
    <row r="63192" ht="12.75"/>
    <row r="63193" ht="12.75"/>
    <row r="63194" ht="12.75"/>
    <row r="63195" ht="12.75"/>
    <row r="63196" ht="12.75"/>
    <row r="63197" ht="12.75"/>
    <row r="63198" ht="12.75"/>
    <row r="63199" ht="12.75"/>
    <row r="63200" ht="12.75"/>
    <row r="63201" ht="12.75"/>
    <row r="63202" ht="12.75"/>
    <row r="63203" ht="12.75"/>
    <row r="63204" ht="12.75"/>
    <row r="63205" ht="12.75"/>
    <row r="63206" ht="12.75"/>
    <row r="63207" ht="12.75"/>
    <row r="63208" ht="12.75"/>
    <row r="63209" ht="12.75"/>
    <row r="63210" ht="12.75"/>
    <row r="63211" ht="12.75"/>
    <row r="63212" ht="12.75"/>
    <row r="63213" ht="12.75"/>
    <row r="63214" ht="12.75"/>
    <row r="63215" ht="12.75"/>
    <row r="63216" ht="12.75"/>
    <row r="63217" ht="12.75"/>
    <row r="63218" ht="12.75"/>
    <row r="63219" ht="12.75"/>
    <row r="63220" ht="12.75"/>
    <row r="63221" ht="12.75"/>
    <row r="63222" ht="12.75"/>
    <row r="63223" ht="12.75"/>
    <row r="63224" ht="12.75"/>
    <row r="63225" ht="12.75"/>
    <row r="63226" ht="12.75"/>
    <row r="63227" ht="12.75"/>
    <row r="63228" ht="12.75"/>
    <row r="63229" ht="12.75"/>
    <row r="63230" ht="12.75"/>
    <row r="63231" ht="12.75"/>
    <row r="63232" ht="12.75"/>
    <row r="63233" ht="12.75"/>
    <row r="63234" ht="12.75"/>
    <row r="63235" ht="12.75"/>
    <row r="63236" ht="12.75"/>
    <row r="63237" ht="12.75"/>
    <row r="63238" ht="12.75"/>
    <row r="63239" ht="12.75"/>
    <row r="63240" ht="12.75"/>
    <row r="63241" ht="12.75"/>
    <row r="63242" ht="12.75"/>
    <row r="63243" ht="12.75"/>
    <row r="63244" ht="12.75"/>
    <row r="63245" ht="12.75"/>
    <row r="63246" ht="12.75"/>
    <row r="63247" ht="12.75"/>
    <row r="63248" ht="12.75"/>
    <row r="63249" ht="12.75"/>
    <row r="63250" ht="12.75"/>
    <row r="63251" ht="12.75"/>
    <row r="63252" ht="12.75"/>
    <row r="63253" ht="12.75"/>
    <row r="63254" ht="12.75"/>
    <row r="63255" ht="12.75"/>
    <row r="63256" ht="12.75"/>
    <row r="63257" ht="12.75"/>
    <row r="63258" ht="12.75"/>
    <row r="63259" ht="12.75"/>
    <row r="63260" ht="12.75"/>
    <row r="63261" ht="12.75"/>
    <row r="63262" ht="12.75"/>
    <row r="63263" ht="12.75"/>
    <row r="63264" ht="12.75"/>
    <row r="63265" ht="12.75"/>
    <row r="63266" ht="12.75"/>
    <row r="63267" ht="12.75"/>
    <row r="63268" ht="12.75"/>
    <row r="63269" ht="12.75"/>
    <row r="63270" ht="12.75"/>
    <row r="63271" ht="12.75"/>
    <row r="63272" ht="12.75"/>
    <row r="63273" ht="12.75"/>
    <row r="63274" ht="12.75"/>
    <row r="63275" ht="12.75"/>
    <row r="63276" ht="12.75"/>
    <row r="63277" ht="12.75"/>
    <row r="63278" ht="12.75"/>
    <row r="63279" ht="12.75"/>
    <row r="63280" ht="12.75"/>
    <row r="63281" ht="12.75"/>
    <row r="63282" ht="12.75"/>
    <row r="63283" ht="12.75"/>
    <row r="63284" ht="12.75"/>
    <row r="63285" ht="12.75"/>
    <row r="63286" ht="12.75"/>
    <row r="63287" ht="12.75"/>
    <row r="63288" ht="12.75"/>
    <row r="63289" ht="12.75"/>
    <row r="63290" ht="12.75"/>
    <row r="63291" ht="12.75"/>
    <row r="63292" ht="12.75"/>
    <row r="63293" ht="12.75"/>
    <row r="63294" ht="12.75"/>
    <row r="63295" ht="12.75"/>
    <row r="63296" ht="12.75"/>
    <row r="63297" ht="12.75"/>
    <row r="63298" ht="12.75"/>
    <row r="63299" ht="12.75"/>
    <row r="63300" ht="12.75"/>
    <row r="63301" ht="12.75"/>
    <row r="63302" ht="12.75"/>
    <row r="63303" ht="12.75"/>
    <row r="63304" ht="12.75"/>
    <row r="63305" ht="12.75"/>
    <row r="63306" ht="12.75"/>
    <row r="63307" ht="12.75"/>
    <row r="63308" ht="12.75"/>
    <row r="63309" ht="12.75"/>
    <row r="63310" ht="12.75"/>
    <row r="63311" ht="12.75"/>
    <row r="63312" ht="12.75"/>
    <row r="63313" ht="12.75"/>
    <row r="63314" ht="12.75"/>
    <row r="63315" ht="12.75"/>
    <row r="63316" ht="12.75"/>
    <row r="63317" ht="12.75"/>
    <row r="63318" ht="12.75"/>
    <row r="63319" ht="12.75"/>
    <row r="63320" ht="12.75"/>
    <row r="63321" ht="12.75"/>
    <row r="63322" ht="12.75"/>
    <row r="63323" ht="12.75"/>
    <row r="63324" ht="12.75"/>
    <row r="63325" ht="12.75"/>
    <row r="63326" ht="12.75"/>
    <row r="63327" ht="12.75"/>
    <row r="63328" ht="12.75"/>
    <row r="63329" ht="12.75"/>
    <row r="63330" ht="12.75"/>
    <row r="63331" ht="12.75"/>
    <row r="63332" ht="12.75"/>
    <row r="63333" ht="12.75"/>
    <row r="63334" ht="12.75"/>
    <row r="63335" ht="12.75"/>
    <row r="63336" ht="12.75"/>
    <row r="63337" ht="12.75"/>
    <row r="63338" ht="12.75"/>
    <row r="63339" ht="12.75"/>
    <row r="63340" ht="12.75"/>
    <row r="63341" ht="12.75"/>
    <row r="63342" ht="12.75"/>
    <row r="63343" ht="12.75"/>
    <row r="63344" ht="12.75"/>
    <row r="63345" ht="12.75"/>
    <row r="63346" ht="12.75"/>
    <row r="63347" ht="12.75"/>
    <row r="63348" ht="12.75"/>
    <row r="63349" ht="12.75"/>
    <row r="63350" ht="12.75"/>
    <row r="63351" ht="12.75"/>
    <row r="63352" ht="12.75"/>
    <row r="63353" ht="12.75"/>
    <row r="63354" ht="12.75"/>
    <row r="63355" ht="12.75"/>
    <row r="63356" ht="12.75"/>
    <row r="63357" ht="12.75"/>
    <row r="63358" ht="12.75"/>
    <row r="63359" ht="12.75"/>
    <row r="63360" ht="12.75"/>
    <row r="63361" ht="12.75"/>
    <row r="63362" ht="12.75"/>
    <row r="63363" ht="12.75"/>
    <row r="63364" ht="12.75"/>
    <row r="63365" ht="12.75"/>
    <row r="63366" ht="12.75"/>
    <row r="63367" ht="12.75"/>
    <row r="63368" ht="12.75"/>
    <row r="63369" ht="12.75"/>
    <row r="63370" ht="12.75"/>
    <row r="63371" ht="12.75"/>
    <row r="63372" ht="12.75"/>
    <row r="63373" ht="12.75"/>
    <row r="63374" ht="12.75"/>
    <row r="63375" ht="12.75"/>
    <row r="63376" ht="12.75"/>
    <row r="63377" ht="12.75"/>
    <row r="63378" ht="12.75"/>
    <row r="63379" ht="12.75"/>
    <row r="63380" ht="12.75"/>
    <row r="63381" ht="12.75"/>
    <row r="63382" ht="12.75"/>
    <row r="63383" ht="12.75"/>
    <row r="63384" ht="12.75"/>
    <row r="63385" ht="12.75"/>
    <row r="63386" ht="12.75"/>
    <row r="63387" ht="12.75"/>
    <row r="63388" ht="12.75"/>
    <row r="63389" ht="12.75"/>
    <row r="63390" ht="12.75"/>
    <row r="63391" ht="12.75"/>
    <row r="63392" ht="12.75"/>
    <row r="63393" ht="12.75"/>
    <row r="63394" ht="12.75"/>
    <row r="63395" ht="12.75"/>
    <row r="63396" ht="12.75"/>
    <row r="63397" ht="12.75"/>
    <row r="63398" ht="12.75"/>
    <row r="63399" ht="12.75"/>
    <row r="63400" ht="12.75"/>
    <row r="63401" ht="12.75"/>
    <row r="63402" ht="12.75"/>
    <row r="63403" ht="12.75"/>
    <row r="63404" ht="12.75"/>
    <row r="63405" ht="12.75"/>
    <row r="63406" ht="12.75"/>
    <row r="63407" ht="12.75"/>
    <row r="63408" ht="12.75"/>
    <row r="63409" ht="12.75"/>
    <row r="63410" ht="12.75"/>
    <row r="63411" ht="12.75"/>
    <row r="63412" ht="12.75"/>
    <row r="63413" ht="12.75"/>
    <row r="63414" ht="12.75"/>
    <row r="63415" ht="12.75"/>
    <row r="63416" ht="12.75"/>
    <row r="63417" ht="12.75"/>
    <row r="63418" ht="12.75"/>
    <row r="63419" ht="12.75"/>
    <row r="63420" ht="12.75"/>
    <row r="63421" ht="12.75"/>
    <row r="63422" ht="12.75"/>
    <row r="63423" ht="12.75"/>
    <row r="63424" ht="12.75"/>
    <row r="63425" ht="12.75"/>
    <row r="63426" ht="12.75"/>
    <row r="63427" ht="12.75"/>
    <row r="63428" ht="12.75"/>
    <row r="63429" ht="12.75"/>
    <row r="63430" ht="12.75"/>
    <row r="63431" ht="12.75"/>
    <row r="63432" ht="12.75"/>
    <row r="63433" ht="12.75"/>
    <row r="63434" ht="12.75"/>
    <row r="63435" ht="12.75"/>
    <row r="63436" ht="12.75"/>
    <row r="63437" ht="12.75"/>
    <row r="63438" ht="12.75"/>
    <row r="63439" ht="12.75"/>
    <row r="63440" ht="12.75"/>
    <row r="63441" ht="12.75"/>
    <row r="63442" ht="12.75"/>
    <row r="63443" ht="12.75"/>
    <row r="63444" ht="12.75"/>
    <row r="63445" ht="12.75"/>
    <row r="63446" ht="12.75"/>
    <row r="63447" ht="12.75"/>
    <row r="63448" ht="12.75"/>
    <row r="63449" ht="12.75"/>
    <row r="63450" ht="12.75"/>
    <row r="63451" ht="12.75"/>
    <row r="63452" ht="12.75"/>
    <row r="63453" ht="12.75"/>
    <row r="63454" ht="12.75"/>
    <row r="63455" ht="12.75"/>
    <row r="63456" ht="12.75"/>
    <row r="63457" ht="12.75"/>
    <row r="63458" ht="12.75"/>
    <row r="63459" ht="12.75"/>
    <row r="63460" ht="12.75"/>
    <row r="63461" ht="12.75"/>
    <row r="63462" ht="12.75"/>
    <row r="63463" ht="12.75"/>
    <row r="63464" ht="12.75"/>
    <row r="63465" ht="12.75"/>
    <row r="63466" ht="12.75"/>
    <row r="63467" ht="12.75"/>
    <row r="63468" ht="12.75"/>
    <row r="63469" ht="12.75"/>
    <row r="63470" ht="12.75"/>
    <row r="63471" ht="12.75"/>
    <row r="63472" ht="12.75"/>
    <row r="63473" ht="12.75"/>
    <row r="63474" ht="12.75"/>
    <row r="63475" ht="12.75"/>
    <row r="63476" ht="12.75"/>
    <row r="63477" ht="12.75"/>
    <row r="63478" ht="12.75"/>
    <row r="63479" ht="12.75"/>
    <row r="63480" ht="12.75"/>
    <row r="63481" ht="12.75"/>
    <row r="63482" ht="12.75"/>
    <row r="63483" ht="12.75"/>
    <row r="63484" ht="12.75"/>
    <row r="63485" ht="12.75"/>
    <row r="63486" ht="12.75"/>
    <row r="63487" ht="12.75"/>
    <row r="63488" ht="12.75"/>
    <row r="63489" ht="12.75"/>
    <row r="63490" ht="12.75"/>
    <row r="63491" ht="12.75"/>
    <row r="63492" ht="12.75"/>
    <row r="63493" ht="12.75"/>
    <row r="63494" ht="12.75"/>
    <row r="63495" ht="12.75"/>
    <row r="63496" ht="12.75"/>
    <row r="63497" ht="12.75"/>
    <row r="63498" ht="12.75"/>
    <row r="63499" ht="12.75"/>
    <row r="63500" ht="12.75"/>
    <row r="63501" ht="12.75"/>
    <row r="63502" ht="12.75"/>
    <row r="63503" ht="12.75"/>
    <row r="63504" ht="12.75"/>
    <row r="63505" ht="12.75"/>
    <row r="63506" ht="12.75"/>
    <row r="63507" ht="12.75"/>
    <row r="63508" ht="12.75"/>
    <row r="63509" ht="12.75"/>
    <row r="63510" ht="12.75"/>
    <row r="63511" ht="12.75"/>
    <row r="63512" ht="12.75"/>
    <row r="63513" ht="12.75"/>
    <row r="63514" ht="12.75"/>
    <row r="63515" ht="12.75"/>
    <row r="63516" ht="12.75"/>
    <row r="63517" ht="12.75"/>
    <row r="63518" ht="12.75"/>
    <row r="63519" ht="12.75"/>
    <row r="63520" ht="12.75"/>
    <row r="63521" ht="12.75"/>
    <row r="63522" ht="12.75"/>
    <row r="63523" ht="12.75"/>
    <row r="63524" ht="12.75"/>
    <row r="63525" ht="12.75"/>
    <row r="63526" ht="12.75"/>
    <row r="63527" ht="12.75"/>
    <row r="63528" ht="12.75"/>
    <row r="63529" ht="12.75"/>
    <row r="63530" ht="12.75"/>
    <row r="63531" ht="12.75"/>
    <row r="63532" ht="12.75"/>
    <row r="63533" ht="12.75"/>
    <row r="63534" ht="12.75"/>
    <row r="63535" ht="12.75"/>
    <row r="63536" ht="12.75"/>
    <row r="63537" ht="12.75"/>
    <row r="63538" ht="12.75"/>
    <row r="63539" ht="12.75"/>
    <row r="63540" ht="12.75"/>
    <row r="63541" ht="12.75"/>
    <row r="63542" ht="12.75"/>
    <row r="63543" ht="12.75"/>
    <row r="63544" ht="12.75"/>
    <row r="63545" ht="12.75"/>
    <row r="63546" ht="12.75"/>
    <row r="63547" ht="12.75"/>
    <row r="63548" ht="12.75"/>
    <row r="63549" ht="12.75"/>
    <row r="63550" ht="12.75"/>
    <row r="63551" ht="12.75"/>
    <row r="63552" ht="12.75"/>
    <row r="63553" ht="12.75"/>
    <row r="63554" ht="12.75"/>
    <row r="63555" ht="12.75"/>
    <row r="63556" ht="12.75"/>
    <row r="63557" ht="12.75"/>
    <row r="63558" ht="12.75"/>
    <row r="63559" ht="12.75"/>
    <row r="63560" ht="12.75"/>
    <row r="63561" ht="12.75"/>
    <row r="63562" ht="12.75"/>
    <row r="63563" ht="12.75"/>
    <row r="63564" ht="12.75"/>
    <row r="63565" ht="12.75"/>
    <row r="63566" ht="12.75"/>
    <row r="63567" ht="12.75"/>
    <row r="63568" ht="12.75"/>
    <row r="63569" ht="12.75"/>
    <row r="63570" ht="12.75"/>
    <row r="63571" ht="12.75"/>
    <row r="63572" ht="12.75"/>
    <row r="63573" ht="12.75"/>
    <row r="63574" ht="12.75"/>
    <row r="63575" ht="12.75"/>
    <row r="63576" ht="12.75"/>
    <row r="63577" ht="12.75"/>
    <row r="63578" ht="12.75"/>
    <row r="63579" ht="12.75"/>
    <row r="63580" ht="12.75"/>
    <row r="63581" ht="12.75"/>
    <row r="63582" ht="12.75"/>
    <row r="63583" ht="12.75"/>
    <row r="63584" ht="12.75"/>
    <row r="63585" ht="12.75"/>
    <row r="63586" ht="12.75"/>
    <row r="63587" ht="12.75"/>
    <row r="63588" ht="12.75"/>
    <row r="63589" ht="12.75"/>
    <row r="63590" ht="12.75"/>
    <row r="63591" ht="12.75"/>
    <row r="63592" ht="12.75"/>
    <row r="63593" ht="12.75"/>
    <row r="63594" ht="12.75"/>
    <row r="63595" ht="12.75"/>
    <row r="63596" ht="12.75"/>
    <row r="63597" ht="12.75"/>
    <row r="63598" ht="12.75"/>
    <row r="63599" ht="12.75"/>
    <row r="63600" ht="12.75"/>
    <row r="63601" ht="12.75"/>
    <row r="63602" ht="12.75"/>
    <row r="63603" ht="12.75"/>
    <row r="63604" ht="12.75"/>
    <row r="63605" ht="12.75"/>
    <row r="63606" ht="12.75"/>
    <row r="63607" ht="12.75"/>
    <row r="63608" ht="12.75"/>
    <row r="63609" ht="12.75"/>
    <row r="63610" ht="12.75"/>
    <row r="63611" ht="12.75"/>
    <row r="63612" ht="12.75"/>
    <row r="63613" ht="12.75"/>
    <row r="63614" ht="12.75"/>
    <row r="63615" ht="12.75"/>
    <row r="63616" ht="12.75"/>
    <row r="63617" ht="12.75"/>
    <row r="63618" ht="12.75"/>
    <row r="63619" ht="12.75"/>
    <row r="63620" ht="12.75"/>
    <row r="63621" ht="12.75"/>
    <row r="63622" ht="12.75"/>
    <row r="63623" ht="12.75"/>
    <row r="63624" ht="12.75"/>
    <row r="63625" ht="12.75"/>
    <row r="63626" ht="12.75"/>
    <row r="63627" ht="12.75"/>
    <row r="63628" ht="12.75"/>
    <row r="63629" ht="12.75"/>
    <row r="63630" ht="12.75"/>
    <row r="63631" ht="12.75"/>
    <row r="63632" ht="12.75"/>
    <row r="63633" ht="12.75"/>
    <row r="63634" ht="12.75"/>
    <row r="63635" ht="12.75"/>
    <row r="63636" ht="12.75"/>
    <row r="63637" ht="12.75"/>
    <row r="63638" ht="12.75"/>
    <row r="63639" ht="12.75"/>
    <row r="63640" ht="12.75"/>
    <row r="63641" ht="12.75"/>
    <row r="63642" ht="12.75"/>
    <row r="63643" ht="12.75"/>
    <row r="63644" ht="12.75"/>
    <row r="63645" ht="12.75"/>
    <row r="63646" ht="12.75"/>
    <row r="63647" ht="12.75"/>
    <row r="63648" ht="12.75"/>
    <row r="63649" ht="12.75"/>
    <row r="63650" ht="12.75"/>
    <row r="63651" ht="12.75"/>
    <row r="63652" ht="12.75"/>
    <row r="63653" ht="12.75"/>
    <row r="63654" ht="12.75"/>
    <row r="63655" ht="12.75"/>
    <row r="63656" ht="12.75"/>
    <row r="63657" ht="12.75"/>
    <row r="63658" ht="12.75"/>
    <row r="63659" ht="12.75"/>
    <row r="63660" ht="12.75"/>
    <row r="63661" ht="12.75"/>
    <row r="63662" ht="12.75"/>
    <row r="63663" ht="12.75"/>
    <row r="63664" ht="12.75"/>
    <row r="63665" ht="12.75"/>
    <row r="63666" ht="12.75"/>
    <row r="63667" ht="12.75"/>
    <row r="63668" ht="12.75"/>
    <row r="63669" ht="12.75"/>
    <row r="63670" ht="12.75"/>
    <row r="63671" ht="12.75"/>
    <row r="63672" ht="12.75"/>
    <row r="63673" ht="12.75"/>
    <row r="63674" ht="12.75"/>
    <row r="63675" ht="12.75"/>
    <row r="63676" ht="12.75"/>
    <row r="63677" ht="12.75"/>
    <row r="63678" ht="12.75"/>
    <row r="63679" ht="12.75"/>
    <row r="63680" ht="12.75"/>
    <row r="63681" ht="12.75"/>
    <row r="63682" ht="12.75"/>
    <row r="63683" ht="12.75"/>
    <row r="63684" ht="12.75"/>
    <row r="63685" ht="12.75"/>
    <row r="63686" ht="12.75"/>
    <row r="63687" ht="12.75"/>
    <row r="63688" ht="12.75"/>
    <row r="63689" ht="12.75"/>
    <row r="63690" ht="12.75"/>
    <row r="63691" ht="12.75"/>
    <row r="63692" ht="12.75"/>
    <row r="63693" ht="12.75"/>
    <row r="63694" ht="12.75"/>
    <row r="63695" ht="12.75"/>
    <row r="63696" ht="12.75"/>
    <row r="63697" ht="12.75"/>
    <row r="63698" ht="12.75"/>
    <row r="63699" ht="12.75"/>
    <row r="63700" ht="12.75"/>
    <row r="63701" ht="12.75"/>
    <row r="63702" ht="12.75"/>
    <row r="63703" ht="12.75"/>
    <row r="63704" ht="12.75"/>
    <row r="63705" ht="12.75"/>
    <row r="63706" ht="12.75"/>
    <row r="63707" ht="12.75"/>
    <row r="63708" ht="12.75"/>
    <row r="63709" ht="12.75"/>
    <row r="63710" ht="12.75"/>
    <row r="63711" ht="12.75"/>
    <row r="63712" ht="12.75"/>
    <row r="63713" ht="12.75"/>
    <row r="63714" ht="12.75"/>
    <row r="63715" ht="12.75"/>
    <row r="63716" ht="12.75"/>
    <row r="63717" ht="12.75"/>
    <row r="63718" ht="12.75"/>
    <row r="63719" ht="12.75"/>
    <row r="63720" ht="12.75"/>
    <row r="63721" ht="12.75"/>
    <row r="63722" ht="12.75"/>
    <row r="63723" ht="12.75"/>
    <row r="63724" ht="12.75"/>
    <row r="63725" ht="12.75"/>
    <row r="63726" ht="12.75"/>
    <row r="63727" ht="12.75"/>
    <row r="63728" ht="12.75"/>
    <row r="63729" ht="12.75"/>
    <row r="63730" ht="12.75"/>
    <row r="63731" ht="12.75"/>
    <row r="63732" ht="12.75"/>
    <row r="63733" ht="12.75"/>
    <row r="63734" ht="12.75"/>
    <row r="63735" ht="12.75"/>
    <row r="63736" ht="12.75"/>
    <row r="63737" ht="12.75"/>
    <row r="63738" ht="12.75"/>
    <row r="63739" ht="12.75"/>
    <row r="63740" ht="12.75"/>
    <row r="63741" ht="12.75"/>
    <row r="63742" ht="12.75"/>
    <row r="63743" ht="12.75"/>
    <row r="63744" ht="12.75"/>
    <row r="63745" ht="12.75"/>
    <row r="63746" ht="12.75"/>
    <row r="63747" ht="12.75"/>
    <row r="63748" ht="12.75"/>
    <row r="63749" ht="12.75"/>
    <row r="63750" ht="12.75"/>
    <row r="63751" ht="12.75"/>
    <row r="63752" ht="12.75"/>
    <row r="63753" ht="12.75"/>
    <row r="63754" ht="12.75"/>
    <row r="63755" ht="12.75"/>
    <row r="63756" ht="12.75"/>
    <row r="63757" ht="12.75"/>
    <row r="63758" ht="12.75"/>
    <row r="63759" ht="12.75"/>
    <row r="63760" ht="12.75"/>
    <row r="63761" ht="12.75"/>
    <row r="63762" ht="12.75"/>
    <row r="63763" ht="12.75"/>
    <row r="63764" ht="12.75"/>
    <row r="63765" ht="12.75"/>
    <row r="63766" ht="12.75"/>
    <row r="63767" ht="12.75"/>
    <row r="63768" ht="12.75"/>
    <row r="63769" ht="12.75"/>
    <row r="63770" ht="12.75"/>
    <row r="63771" ht="12.75"/>
    <row r="63772" ht="12.75"/>
    <row r="63773" ht="12.75"/>
    <row r="63774" ht="12.75"/>
    <row r="63775" ht="12.75"/>
    <row r="63776" ht="12.75"/>
    <row r="63777" ht="12.75"/>
    <row r="63778" ht="12.75"/>
    <row r="63779" ht="12.75"/>
    <row r="63780" ht="12.75"/>
    <row r="63781" ht="12.75"/>
    <row r="63782" ht="12.75"/>
    <row r="63783" ht="12.75"/>
    <row r="63784" ht="12.75"/>
    <row r="63785" ht="12.75"/>
    <row r="63786" ht="12.75"/>
    <row r="63787" ht="12.75"/>
    <row r="63788" ht="12.75"/>
    <row r="63789" ht="12.75"/>
    <row r="63790" ht="12.75"/>
    <row r="63791" ht="12.75"/>
    <row r="63792" ht="12.75"/>
    <row r="63793" ht="12.75"/>
    <row r="63794" ht="12.75"/>
    <row r="63795" ht="12.75"/>
    <row r="63796" ht="12.75"/>
    <row r="63797" ht="12.75"/>
    <row r="63798" ht="12.75"/>
    <row r="63799" ht="12.75"/>
    <row r="63800" ht="12.75"/>
    <row r="63801" ht="12.75"/>
    <row r="63802" ht="12.75"/>
    <row r="63803" ht="12.75"/>
    <row r="63804" ht="12.75"/>
    <row r="63805" ht="12.75"/>
    <row r="63806" ht="12.75"/>
    <row r="63807" ht="12.75"/>
    <row r="63808" ht="12.75"/>
    <row r="63809" ht="12.75"/>
    <row r="63810" ht="12.75"/>
    <row r="63811" ht="12.75"/>
    <row r="63812" ht="12.75"/>
    <row r="63813" ht="12.75"/>
    <row r="63814" ht="12.75"/>
    <row r="63815" ht="12.75"/>
    <row r="63816" ht="12.75"/>
    <row r="63817" ht="12.75"/>
    <row r="63818" ht="12.75"/>
    <row r="63819" ht="12.75"/>
    <row r="63820" ht="12.75"/>
    <row r="63821" ht="12.75"/>
    <row r="63822" ht="12.75"/>
    <row r="63823" ht="12.75"/>
    <row r="63824" ht="12.75"/>
    <row r="63825" ht="12.75"/>
    <row r="63826" ht="12.75"/>
    <row r="63827" ht="12.75"/>
    <row r="63828" ht="12.75"/>
    <row r="63829" ht="12.75"/>
    <row r="63830" ht="12.75"/>
    <row r="63831" ht="12.75"/>
    <row r="63832" ht="12.75"/>
    <row r="63833" ht="12.75"/>
    <row r="63834" ht="12.75"/>
    <row r="63835" ht="12.75"/>
    <row r="63836" ht="12.75"/>
    <row r="63837" ht="12.75"/>
    <row r="63838" ht="12.75"/>
    <row r="63839" ht="12.75"/>
    <row r="63840" ht="12.75"/>
    <row r="63841" ht="12.75"/>
    <row r="63842" ht="12.75"/>
    <row r="63843" ht="12.75"/>
    <row r="63844" ht="12.75"/>
    <row r="63845" ht="12.75"/>
    <row r="63846" ht="12.75"/>
    <row r="63847" ht="12.75"/>
    <row r="63848" ht="12.75"/>
    <row r="63849" ht="12.75"/>
    <row r="63850" ht="12.75"/>
    <row r="63851" ht="12.75"/>
    <row r="63852" ht="12.75"/>
    <row r="63853" ht="12.75"/>
    <row r="63854" ht="12.75"/>
    <row r="63855" ht="12.75"/>
    <row r="63856" ht="12.75"/>
    <row r="63857" ht="12.75"/>
    <row r="63858" ht="12.75"/>
    <row r="63859" ht="12.75"/>
    <row r="63860" ht="12.75"/>
    <row r="63861" ht="12.75"/>
    <row r="63862" ht="12.75"/>
    <row r="63863" ht="12.75"/>
    <row r="63864" ht="12.75"/>
    <row r="63865" ht="12.75"/>
    <row r="63866" ht="12.75"/>
    <row r="63867" ht="12.75"/>
    <row r="63868" ht="12.75"/>
    <row r="63869" ht="12.75"/>
    <row r="63870" ht="12.75"/>
    <row r="63871" ht="12.75"/>
    <row r="63872" ht="12.75"/>
    <row r="63873" ht="12.75"/>
    <row r="63874" ht="12.75"/>
    <row r="63875" ht="12.75"/>
    <row r="63876" ht="12.75"/>
    <row r="63877" ht="12.75"/>
    <row r="63878" ht="12.75"/>
    <row r="63879" ht="12.75"/>
    <row r="63880" ht="12.75"/>
    <row r="63881" ht="12.75"/>
    <row r="63882" ht="12.75"/>
    <row r="63883" ht="12.75"/>
    <row r="63884" ht="12.75"/>
    <row r="63885" ht="12.75"/>
    <row r="63886" ht="12.75"/>
    <row r="63887" ht="12.75"/>
    <row r="63888" ht="12.75"/>
    <row r="63889" ht="12.75"/>
    <row r="63890" ht="12.75"/>
    <row r="63891" ht="12.75"/>
    <row r="63892" ht="12.75"/>
    <row r="63893" ht="12.75"/>
    <row r="63894" ht="12.75"/>
    <row r="63895" ht="12.75"/>
    <row r="63896" ht="12.75"/>
    <row r="63897" ht="12.75"/>
    <row r="63898" ht="12.75"/>
    <row r="63899" ht="12.75"/>
    <row r="63900" ht="12.75"/>
    <row r="63901" ht="12.75"/>
    <row r="63902" ht="12.75"/>
    <row r="63903" ht="12.75"/>
    <row r="63904" ht="12.75"/>
    <row r="63905" ht="12.75"/>
    <row r="63906" ht="12.75"/>
    <row r="63907" ht="12.75"/>
    <row r="63908" ht="12.75"/>
    <row r="63909" ht="12.75"/>
    <row r="63910" ht="12.75"/>
    <row r="63911" ht="12.75"/>
    <row r="63912" ht="12.75"/>
    <row r="63913" ht="12.75"/>
    <row r="63914" ht="12.75"/>
    <row r="63915" ht="12.75"/>
    <row r="63916" ht="12.75"/>
    <row r="63917" ht="12.75"/>
    <row r="63918" ht="12.75"/>
    <row r="63919" ht="12.75"/>
    <row r="63920" ht="12.75"/>
    <row r="63921" ht="12.75"/>
    <row r="63922" ht="12.75"/>
    <row r="63923" ht="12.75"/>
    <row r="63924" ht="12.75"/>
    <row r="63925" ht="12.75"/>
    <row r="63926" ht="12.75"/>
    <row r="63927" ht="12.75"/>
    <row r="63928" ht="12.75"/>
    <row r="63929" ht="12.75"/>
    <row r="63930" ht="12.75"/>
    <row r="63931" ht="12.75"/>
    <row r="63932" ht="12.75"/>
    <row r="63933" ht="12.75"/>
    <row r="63934" ht="12.75"/>
    <row r="63935" ht="12.75"/>
    <row r="63936" ht="12.75"/>
    <row r="63937" ht="12.75"/>
    <row r="63938" ht="12.75"/>
    <row r="63939" ht="12.75"/>
    <row r="63940" ht="12.75"/>
    <row r="63941" ht="12.75"/>
    <row r="63942" ht="12.75"/>
    <row r="63943" ht="12.75"/>
    <row r="63944" ht="12.75"/>
    <row r="63945" ht="12.75"/>
    <row r="63946" ht="12.75"/>
    <row r="63947" ht="12.75"/>
    <row r="63948" ht="12.75"/>
    <row r="63949" ht="12.75"/>
    <row r="63950" ht="12.75"/>
    <row r="63951" ht="12.75"/>
    <row r="63952" ht="12.75"/>
    <row r="63953" ht="12.75"/>
    <row r="63954" ht="12.75"/>
    <row r="63955" ht="12.75"/>
    <row r="63956" ht="12.75"/>
    <row r="63957" ht="12.75"/>
    <row r="63958" ht="12.75"/>
    <row r="63959" ht="12.75"/>
    <row r="63960" ht="12.75"/>
    <row r="63961" ht="12.75"/>
    <row r="63962" ht="12.75"/>
    <row r="63963" ht="12.75"/>
    <row r="63964" ht="12.75"/>
    <row r="63965" ht="12.75"/>
    <row r="63966" ht="12.75"/>
    <row r="63967" ht="12.75"/>
    <row r="63968" ht="12.75"/>
    <row r="63969" ht="12.75"/>
    <row r="63970" ht="12.75"/>
    <row r="63971" ht="12.75"/>
    <row r="63972" ht="12.75"/>
    <row r="63973" ht="12.75"/>
    <row r="63974" ht="12.75"/>
    <row r="63975" ht="12.75"/>
    <row r="63976" ht="12.75"/>
    <row r="63977" ht="12.75"/>
    <row r="63978" ht="12.75"/>
    <row r="63979" ht="12.75"/>
    <row r="63980" ht="12.75"/>
    <row r="63981" ht="12.75"/>
    <row r="63982" ht="12.75"/>
    <row r="63983" ht="12.75"/>
    <row r="63984" ht="12.75"/>
    <row r="63985" ht="12.75"/>
    <row r="63986" ht="12.75"/>
    <row r="63987" ht="12.75"/>
    <row r="63988" ht="12.75"/>
    <row r="63989" ht="12.75"/>
    <row r="63990" ht="12.75"/>
    <row r="63991" ht="12.75"/>
    <row r="63992" ht="12.75"/>
    <row r="63993" ht="12.75"/>
    <row r="63994" ht="12.75"/>
    <row r="63995" ht="12.75"/>
    <row r="63996" ht="12.75"/>
    <row r="63997" ht="12.75"/>
    <row r="63998" ht="12.75"/>
    <row r="63999" ht="12.75"/>
    <row r="64000" ht="12.75"/>
    <row r="64001" ht="12.75"/>
    <row r="64002" ht="12.75"/>
    <row r="64003" ht="12.75"/>
    <row r="64004" ht="12.75"/>
    <row r="64005" ht="12.75"/>
    <row r="64006" ht="12.75"/>
    <row r="64007" ht="12.75"/>
    <row r="64008" ht="12.75"/>
    <row r="64009" ht="12.75"/>
    <row r="64010" ht="12.75"/>
    <row r="64011" ht="12.75"/>
    <row r="64012" ht="12.75"/>
    <row r="64013" ht="12.75"/>
    <row r="64014" ht="12.75"/>
    <row r="64015" ht="12.75"/>
    <row r="64016" ht="12.75"/>
    <row r="64017" ht="12.75"/>
    <row r="64018" ht="12.75"/>
    <row r="64019" ht="12.75"/>
    <row r="64020" ht="12.75"/>
    <row r="64021" ht="12.75"/>
    <row r="64022" ht="12.75"/>
    <row r="64023" ht="12.75"/>
    <row r="64024" ht="12.75"/>
    <row r="64025" ht="12.75"/>
    <row r="64026" ht="12.75"/>
    <row r="64027" ht="12.75"/>
    <row r="64028" ht="12.75"/>
    <row r="64029" ht="12.75"/>
    <row r="64030" ht="12.75"/>
    <row r="64031" ht="12.75"/>
    <row r="64032" ht="12.75"/>
    <row r="64033" ht="12.75"/>
    <row r="64034" ht="12.75"/>
    <row r="64035" ht="12.75"/>
    <row r="64036" ht="12.75"/>
    <row r="64037" ht="12.75"/>
    <row r="64038" ht="12.75"/>
    <row r="64039" ht="12.75"/>
    <row r="64040" ht="12.75"/>
    <row r="64041" ht="12.75"/>
    <row r="64042" ht="12.75"/>
    <row r="64043" ht="12.75"/>
    <row r="64044" ht="12.75"/>
    <row r="64045" ht="12.75"/>
    <row r="64046" ht="12.75"/>
    <row r="64047" ht="12.75"/>
    <row r="64048" ht="12.75"/>
    <row r="64049" ht="12.75"/>
    <row r="64050" ht="12.75"/>
    <row r="64051" ht="12.75"/>
    <row r="64052" ht="12.75"/>
    <row r="64053" ht="12.75"/>
    <row r="64054" ht="12.75"/>
    <row r="64055" ht="12.75"/>
    <row r="64056" ht="12.75"/>
    <row r="64057" ht="12.75"/>
    <row r="64058" ht="12.75"/>
    <row r="64059" ht="12.75"/>
    <row r="64060" ht="12.75"/>
    <row r="64061" ht="12.75"/>
    <row r="64062" ht="12.75"/>
    <row r="64063" ht="12.75"/>
    <row r="64064" ht="12.75"/>
    <row r="64065" ht="12.75"/>
    <row r="64066" ht="12.75"/>
    <row r="64067" ht="12.75"/>
    <row r="64068" ht="12.75"/>
    <row r="64069" ht="12.75"/>
    <row r="64070" ht="12.75"/>
    <row r="64071" ht="12.75"/>
    <row r="64072" ht="12.75"/>
    <row r="64073" ht="12.75"/>
    <row r="64074" ht="12.75"/>
    <row r="64075" ht="12.75"/>
    <row r="64076" ht="12.75"/>
    <row r="64077" ht="12.75"/>
    <row r="64078" ht="12.75"/>
    <row r="64079" ht="12.75"/>
    <row r="64080" ht="12.75"/>
    <row r="64081" ht="12.75"/>
    <row r="64082" ht="12.75"/>
    <row r="64083" ht="12.75"/>
    <row r="64084" ht="12.75"/>
    <row r="64085" ht="12.75"/>
    <row r="64086" ht="12.75"/>
    <row r="64087" ht="12.75"/>
    <row r="64088" ht="12.75"/>
    <row r="64089" ht="12.75"/>
    <row r="64090" ht="12.75"/>
    <row r="64091" ht="12.75"/>
    <row r="64092" ht="12.75"/>
    <row r="64093" ht="12.75"/>
    <row r="64094" ht="12.75"/>
    <row r="64095" ht="12.75"/>
    <row r="64096" ht="12.75"/>
    <row r="64097" ht="12.75"/>
    <row r="64098" ht="12.75"/>
    <row r="64099" ht="12.75"/>
    <row r="64100" ht="12.75"/>
    <row r="64101" ht="12.75"/>
    <row r="64102" ht="12.75"/>
    <row r="64103" ht="12.75"/>
    <row r="64104" ht="12.75"/>
    <row r="64105" ht="12.75"/>
    <row r="64106" ht="12.75"/>
    <row r="64107" ht="12.75"/>
    <row r="64108" ht="12.75"/>
    <row r="64109" ht="12.75"/>
    <row r="64110" ht="12.75"/>
    <row r="64111" ht="12.75"/>
    <row r="64112" ht="12.75"/>
    <row r="64113" ht="12.75"/>
    <row r="64114" ht="12.75"/>
    <row r="64115" ht="12.75"/>
    <row r="64116" ht="12.75"/>
    <row r="64117" ht="12.75"/>
    <row r="64118" ht="12.75"/>
    <row r="64119" ht="12.75"/>
    <row r="64120" ht="12.75"/>
    <row r="64121" ht="12.75"/>
    <row r="64122" ht="12.75"/>
    <row r="64123" ht="12.75"/>
    <row r="64124" ht="12.75"/>
    <row r="64125" ht="12.75"/>
    <row r="64126" ht="12.75"/>
    <row r="64127" ht="12.75"/>
    <row r="64128" ht="12.75"/>
    <row r="64129" ht="12.75"/>
    <row r="64130" ht="12.75"/>
    <row r="64131" ht="12.75"/>
    <row r="64132" ht="12.75"/>
    <row r="64133" ht="12.75"/>
    <row r="64134" ht="12.75"/>
    <row r="64135" ht="12.75"/>
    <row r="64136" ht="12.75"/>
    <row r="64137" ht="12.75"/>
    <row r="64138" ht="12.75"/>
    <row r="64139" ht="12.75"/>
    <row r="64140" ht="12.75"/>
    <row r="64141" ht="12.75"/>
    <row r="64142" ht="12.75"/>
    <row r="64143" ht="12.75"/>
    <row r="64144" ht="12.75"/>
    <row r="64145" ht="12.75"/>
    <row r="64146" ht="12.75"/>
    <row r="64147" ht="12.75"/>
    <row r="64148" ht="12.75"/>
    <row r="64149" ht="12.75"/>
    <row r="64150" ht="12.75"/>
    <row r="64151" ht="12.75"/>
    <row r="64152" ht="12.75"/>
    <row r="64153" ht="12.75"/>
    <row r="64154" ht="12.75"/>
    <row r="64155" ht="12.75"/>
    <row r="64156" ht="12.75"/>
    <row r="64157" ht="12.75"/>
    <row r="64158" ht="12.75"/>
    <row r="64159" ht="12.75"/>
    <row r="64160" ht="12.75"/>
    <row r="64161" ht="12.75"/>
    <row r="64162" ht="12.75"/>
    <row r="64163" ht="12.75"/>
    <row r="64164" ht="12.75"/>
    <row r="64165" ht="12.75"/>
    <row r="64166" ht="12.75"/>
    <row r="64167" ht="12.75"/>
    <row r="64168" ht="12.75"/>
    <row r="64169" ht="12.75"/>
    <row r="64170" ht="12.75"/>
    <row r="64171" ht="12.75"/>
    <row r="64172" ht="12.75"/>
    <row r="64173" ht="12.75"/>
    <row r="64174" ht="12.75"/>
    <row r="64175" ht="12.75"/>
    <row r="64176" ht="12.75"/>
    <row r="64177" ht="12.75"/>
    <row r="64178" ht="12.75"/>
    <row r="64179" ht="12.75"/>
    <row r="64180" ht="12.75"/>
    <row r="64181" ht="12.75"/>
    <row r="64182" ht="12.75"/>
    <row r="64183" ht="12.75"/>
    <row r="64184" ht="12.75"/>
    <row r="64185" ht="12.75"/>
    <row r="64186" ht="12.75"/>
    <row r="64187" ht="12.75"/>
    <row r="64188" ht="12.75"/>
    <row r="64189" ht="12.75"/>
    <row r="64190" ht="12.75"/>
    <row r="64191" ht="12.75"/>
    <row r="64192" ht="12.75"/>
    <row r="64193" ht="12.75"/>
    <row r="64194" ht="12.75"/>
    <row r="64195" ht="12.75"/>
    <row r="64196" ht="12.75"/>
    <row r="64197" ht="12.75"/>
    <row r="64198" ht="12.75"/>
    <row r="64199" ht="12.75"/>
    <row r="64200" ht="12.75"/>
    <row r="64201" ht="12.75"/>
    <row r="64202" ht="12.75"/>
    <row r="64203" ht="12.75"/>
    <row r="64204" ht="12.75"/>
    <row r="64205" ht="12.75"/>
    <row r="64206" ht="12.75"/>
    <row r="64207" ht="12.75"/>
    <row r="64208" ht="12.75"/>
    <row r="64209" ht="12.75"/>
    <row r="64210" ht="12.75"/>
    <row r="64211" ht="12.75"/>
    <row r="64212" ht="12.75"/>
    <row r="64213" ht="12.75"/>
    <row r="64214" ht="12.75"/>
    <row r="64215" ht="12.75"/>
    <row r="64216" ht="12.75"/>
    <row r="64217" ht="12.75"/>
    <row r="64218" ht="12.75"/>
    <row r="64219" ht="12.75"/>
    <row r="64220" ht="12.75"/>
    <row r="64221" ht="12.75"/>
    <row r="64222" ht="12.75"/>
    <row r="64223" ht="12.75"/>
    <row r="64224" ht="12.75"/>
    <row r="64225" ht="12.75"/>
    <row r="64226" ht="12.75"/>
    <row r="64227" ht="12.75"/>
    <row r="64228" ht="12.75"/>
    <row r="64229" ht="12.75"/>
    <row r="64230" ht="12.75"/>
    <row r="64231" ht="12.75"/>
    <row r="64232" ht="12.75"/>
    <row r="64233" ht="12.75"/>
    <row r="64234" ht="12.75"/>
    <row r="64235" ht="12.75"/>
    <row r="64236" ht="12.75"/>
    <row r="64237" ht="12.75"/>
    <row r="64238" ht="12.75"/>
    <row r="64239" ht="12.75"/>
    <row r="64240" ht="12.75"/>
    <row r="64241" ht="12.75"/>
    <row r="64242" ht="12.75"/>
    <row r="64243" ht="12.75"/>
    <row r="64244" ht="12.75"/>
    <row r="64245" ht="12.75"/>
    <row r="64246" ht="12.75"/>
    <row r="64247" ht="12.75"/>
    <row r="64248" ht="12.75"/>
    <row r="64249" ht="12.75"/>
    <row r="64250" ht="12.75"/>
    <row r="64251" ht="12.75"/>
    <row r="64252" ht="12.75"/>
    <row r="64253" ht="12.75"/>
    <row r="64254" ht="12.75"/>
    <row r="64255" ht="12.75"/>
    <row r="64256" ht="12.75"/>
    <row r="64257" ht="12.75"/>
    <row r="64258" ht="12.75"/>
    <row r="64259" ht="12.75"/>
    <row r="64260" ht="12.75"/>
    <row r="64261" ht="12.75"/>
    <row r="64262" ht="12.75"/>
    <row r="64263" ht="12.75"/>
    <row r="64264" ht="12.75"/>
    <row r="64265" ht="12.75"/>
    <row r="64266" ht="12.75"/>
    <row r="64267" ht="12.75"/>
    <row r="64268" ht="12.75"/>
    <row r="64269" ht="12.75"/>
    <row r="64270" ht="12.75"/>
    <row r="64271" ht="12.75"/>
    <row r="64272" ht="12.75"/>
    <row r="64273" ht="12.75"/>
    <row r="64274" ht="12.75"/>
    <row r="64275" ht="12.75"/>
    <row r="64276" ht="12.75"/>
    <row r="64277" ht="12.75"/>
    <row r="64278" ht="12.75"/>
    <row r="64279" ht="12.75"/>
    <row r="64280" ht="12.75"/>
    <row r="64281" ht="12.75"/>
    <row r="64282" ht="12.75"/>
    <row r="64283" ht="12.75"/>
    <row r="64284" ht="12.75"/>
    <row r="64285" ht="12.75"/>
    <row r="64286" ht="12.75"/>
    <row r="64287" ht="12.75"/>
    <row r="64288" ht="12.75"/>
    <row r="64289" ht="12.75"/>
    <row r="64290" ht="12.75"/>
    <row r="64291" ht="12.75"/>
    <row r="64292" ht="12.75"/>
    <row r="64293" ht="12.75"/>
    <row r="64294" ht="12.75"/>
    <row r="64295" ht="12.75"/>
    <row r="64296" ht="12.75"/>
    <row r="64297" ht="12.75"/>
    <row r="64298" ht="12.75"/>
    <row r="64299" ht="12.75"/>
    <row r="64300" ht="12.75"/>
    <row r="64301" ht="12.75"/>
    <row r="64302" ht="12.75"/>
    <row r="64303" ht="12.75"/>
    <row r="64304" ht="12.75"/>
    <row r="64305" ht="12.75"/>
    <row r="64306" ht="12.75"/>
    <row r="64307" ht="12.75"/>
    <row r="64308" ht="12.75"/>
    <row r="64309" ht="12.75"/>
    <row r="64310" ht="12.75"/>
    <row r="64311" ht="12.75"/>
    <row r="64312" ht="12.75"/>
    <row r="64313" ht="12.75"/>
    <row r="64314" ht="12.75"/>
    <row r="64315" ht="12.75"/>
    <row r="64316" ht="12.75"/>
    <row r="64317" ht="12.75"/>
    <row r="64318" ht="12.75"/>
    <row r="64319" ht="12.75"/>
    <row r="64320" ht="12.75"/>
    <row r="64321" ht="12.75"/>
    <row r="64322" ht="12.75"/>
    <row r="64323" ht="12.75"/>
    <row r="64324" ht="12.75"/>
    <row r="64325" ht="12.75"/>
    <row r="64326" ht="12.75"/>
    <row r="64327" ht="12.75"/>
    <row r="64328" ht="12.75"/>
    <row r="64329" ht="12.75"/>
    <row r="64330" ht="12.75"/>
    <row r="64331" ht="12.75"/>
    <row r="64332" ht="12.75"/>
    <row r="64333" ht="12.75"/>
    <row r="64334" ht="12.75"/>
    <row r="64335" ht="12.75"/>
    <row r="64336" ht="12.75"/>
    <row r="64337" ht="12.75"/>
    <row r="64338" ht="12.75"/>
    <row r="64339" ht="12.75"/>
    <row r="64340" ht="12.75"/>
    <row r="64341" ht="12.75"/>
    <row r="64342" ht="12.75"/>
    <row r="64343" ht="12.75"/>
    <row r="64344" ht="12.75"/>
    <row r="64345" ht="12.75"/>
    <row r="64346" ht="12.75"/>
    <row r="64347" ht="12.75"/>
    <row r="64348" ht="12.75"/>
    <row r="64349" ht="12.75"/>
    <row r="64350" ht="12.75"/>
    <row r="64351" ht="12.75"/>
    <row r="64352" ht="12.75"/>
    <row r="64353" ht="12.75"/>
    <row r="64354" ht="12.75"/>
    <row r="64355" ht="12.75"/>
    <row r="64356" ht="12.75"/>
    <row r="64357" ht="12.75"/>
    <row r="64358" ht="12.75"/>
    <row r="64359" ht="12.75"/>
    <row r="64360" ht="12.75"/>
    <row r="64361" ht="12.75"/>
    <row r="64362" ht="12.75"/>
    <row r="64363" ht="12.75"/>
    <row r="64364" ht="12.75"/>
    <row r="64365" ht="12.75"/>
    <row r="64366" ht="12.75"/>
    <row r="64367" ht="12.75"/>
    <row r="64368" ht="12.75"/>
    <row r="64369" ht="12.75"/>
    <row r="64370" ht="12.75"/>
    <row r="64371" ht="12.75"/>
    <row r="64372" ht="12.75"/>
    <row r="64373" ht="12.75"/>
    <row r="64374" ht="12.75"/>
    <row r="64375" ht="12.75"/>
    <row r="64376" ht="12.75"/>
    <row r="64377" ht="12.75"/>
    <row r="64378" ht="12.75"/>
    <row r="64379" ht="12.75"/>
    <row r="64380" ht="12.75"/>
    <row r="64381" ht="12.75"/>
    <row r="64382" ht="12.75"/>
    <row r="64383" ht="12.75"/>
    <row r="64384" ht="12.75"/>
    <row r="64385" ht="12.75"/>
    <row r="64386" ht="12.75"/>
    <row r="64387" ht="12.75"/>
    <row r="64388" ht="12.75"/>
    <row r="64389" ht="12.75"/>
    <row r="64390" ht="12.75"/>
    <row r="64391" ht="12.75"/>
    <row r="64392" ht="12.75"/>
    <row r="64393" ht="12.75"/>
    <row r="64394" ht="12.75"/>
    <row r="64395" ht="12.75"/>
    <row r="64396" ht="12.75"/>
    <row r="64397" ht="12.75"/>
    <row r="64398" ht="12.75"/>
    <row r="64399" ht="12.75"/>
    <row r="64400" ht="12.75"/>
    <row r="64401" ht="12.75"/>
    <row r="64402" ht="12.75"/>
    <row r="64403" ht="12.75"/>
    <row r="64404" ht="12.75"/>
    <row r="64405" ht="12.75"/>
    <row r="64406" ht="12.75"/>
    <row r="64407" ht="12.75"/>
    <row r="64408" ht="12.75"/>
    <row r="64409" ht="12.75"/>
    <row r="64410" ht="12.75"/>
    <row r="64411" ht="12.75"/>
    <row r="64412" ht="12.75"/>
    <row r="64413" ht="12.75"/>
    <row r="64414" ht="12.75"/>
    <row r="64415" ht="12.75"/>
    <row r="64416" ht="12.75"/>
    <row r="64417" ht="12.75"/>
    <row r="64418" ht="12.75"/>
    <row r="64419" ht="12.75"/>
    <row r="64420" ht="12.75"/>
    <row r="64421" ht="12.75"/>
    <row r="64422" ht="12.75"/>
    <row r="64423" ht="12.75"/>
    <row r="64424" ht="12.75"/>
    <row r="64425" ht="12.75"/>
    <row r="64426" ht="12.75"/>
    <row r="64427" ht="12.75"/>
    <row r="64428" ht="12.75"/>
    <row r="64429" ht="12.75"/>
    <row r="64430" ht="12.75"/>
    <row r="64431" ht="12.75"/>
    <row r="64432" ht="12.75"/>
    <row r="64433" ht="12.75"/>
    <row r="64434" ht="12.75"/>
    <row r="64435" ht="12.75"/>
    <row r="64436" ht="12.75"/>
    <row r="64437" ht="12.75"/>
    <row r="64438" ht="12.75"/>
    <row r="64439" ht="12.75"/>
    <row r="64440" ht="12.75"/>
    <row r="64441" ht="12.75"/>
    <row r="64442" ht="12.75"/>
    <row r="64443" ht="12.75"/>
    <row r="64444" ht="12.75"/>
    <row r="64445" ht="12.75"/>
    <row r="64446" ht="12.75"/>
    <row r="64447" ht="12.75"/>
    <row r="64448" ht="12.75"/>
    <row r="64449" ht="12.75"/>
    <row r="64450" ht="12.75"/>
    <row r="64451" ht="12.75"/>
    <row r="64452" ht="12.75"/>
    <row r="64453" ht="12.75"/>
    <row r="64454" ht="12.75"/>
    <row r="64455" ht="12.75"/>
    <row r="64456" ht="12.75"/>
    <row r="64457" ht="12.75"/>
    <row r="64458" ht="12.75"/>
    <row r="64459" ht="12.75"/>
    <row r="64460" ht="12.75"/>
    <row r="64461" ht="12.75"/>
    <row r="64462" ht="12.75"/>
    <row r="64463" ht="12.75"/>
    <row r="64464" ht="12.75"/>
    <row r="64465" ht="12.75"/>
    <row r="64466" ht="12.75"/>
    <row r="64467" ht="12.75"/>
    <row r="64468" ht="12.75"/>
    <row r="64469" ht="12.75"/>
    <row r="64470" ht="12.75"/>
    <row r="64471" ht="12.75"/>
    <row r="64472" ht="12.75"/>
    <row r="64473" ht="12.75"/>
    <row r="64474" ht="12.75"/>
    <row r="64475" ht="12.75"/>
    <row r="64476" ht="12.75"/>
    <row r="64477" ht="12.75"/>
    <row r="64478" ht="12.75"/>
    <row r="64479" ht="12.75"/>
    <row r="64480" ht="12.75"/>
    <row r="64481" ht="12.75"/>
    <row r="64482" ht="12.75"/>
    <row r="64483" ht="12.75"/>
    <row r="64484" ht="12.75"/>
    <row r="64485" ht="12.75"/>
    <row r="64486" ht="12.75"/>
    <row r="64487" ht="12.75"/>
    <row r="64488" ht="12.75"/>
    <row r="64489" ht="12.75"/>
    <row r="64490" ht="12.75"/>
    <row r="64491" ht="12.75"/>
    <row r="64492" ht="12.75"/>
    <row r="64493" ht="12.75"/>
    <row r="64494" ht="12.75"/>
    <row r="64495" ht="12.75"/>
    <row r="64496" ht="12.75"/>
    <row r="64497" ht="12.75"/>
    <row r="64498" ht="12.75"/>
    <row r="64499" ht="12.75"/>
    <row r="64500" ht="12.75"/>
    <row r="64501" ht="12.75"/>
    <row r="64502" ht="12.75"/>
    <row r="64503" ht="12.75"/>
    <row r="64504" ht="12.75"/>
    <row r="64505" ht="12.75"/>
    <row r="64506" ht="12.75"/>
    <row r="64507" ht="12.75"/>
    <row r="64508" ht="12.75"/>
    <row r="64509" ht="12.75"/>
    <row r="64510" ht="12.75"/>
    <row r="64511" ht="12.75"/>
    <row r="64512" ht="12.75"/>
    <row r="64513" ht="12.75"/>
    <row r="64514" ht="12.75"/>
    <row r="64515" ht="12.75"/>
    <row r="64516" ht="12.75"/>
    <row r="64517" ht="12.75"/>
    <row r="64518" ht="12.75"/>
    <row r="64519" ht="12.75"/>
    <row r="64520" ht="12.75"/>
    <row r="64521" ht="12.75"/>
    <row r="64522" ht="12.75"/>
    <row r="64523" ht="12.75"/>
    <row r="64524" ht="12.75"/>
    <row r="64525" ht="12.75"/>
    <row r="64526" ht="12.75"/>
    <row r="64527" ht="12.75"/>
    <row r="64528" ht="12.75"/>
    <row r="64529" ht="12.75"/>
    <row r="64530" ht="12.75"/>
    <row r="64531" ht="12.75"/>
    <row r="64532" ht="12.75"/>
    <row r="64533" ht="12.75"/>
    <row r="64534" ht="12.75"/>
    <row r="64535" ht="12.75"/>
    <row r="64536" ht="12.75"/>
    <row r="64537" ht="12.75"/>
    <row r="64538" ht="12.75"/>
    <row r="64539" ht="12.75"/>
    <row r="64540" ht="12.75"/>
    <row r="64541" ht="12.75"/>
    <row r="64542" ht="12.75"/>
    <row r="64543" ht="12.75"/>
    <row r="64544" ht="12.75"/>
    <row r="64545" ht="12.75"/>
    <row r="64546" ht="12.75"/>
    <row r="64547" ht="12.75"/>
    <row r="64548" ht="12.75"/>
    <row r="64549" ht="12.75"/>
    <row r="64550" ht="12.75"/>
    <row r="64551" ht="12.75"/>
    <row r="64552" ht="12.75"/>
    <row r="64553" ht="12.75"/>
    <row r="64554" ht="12.75"/>
    <row r="64555" ht="12.75"/>
    <row r="64556" ht="12.75"/>
    <row r="64557" ht="12.75"/>
    <row r="64558" ht="12.75"/>
    <row r="64559" ht="12.75"/>
    <row r="64560" ht="12.75"/>
    <row r="64561" ht="12.75"/>
    <row r="64562" ht="12.75"/>
    <row r="64563" ht="12.75"/>
    <row r="64564" ht="12.75"/>
    <row r="64565" ht="12.75"/>
    <row r="64566" ht="12.75"/>
    <row r="64567" ht="12.75"/>
    <row r="64568" ht="12.75"/>
    <row r="64569" ht="12.75"/>
    <row r="64570" ht="12.75"/>
    <row r="64571" ht="12.75"/>
    <row r="64572" ht="12.75"/>
    <row r="64573" ht="12.75"/>
    <row r="64574" ht="12.75"/>
    <row r="64575" ht="12.75"/>
    <row r="64576" ht="12.75"/>
    <row r="64577" ht="12.75"/>
    <row r="64578" ht="12.75"/>
    <row r="64579" ht="12.75"/>
    <row r="64580" ht="12.75"/>
    <row r="64581" ht="12.75"/>
    <row r="64582" ht="12.75"/>
    <row r="64583" ht="12.75"/>
    <row r="64584" ht="12.75"/>
    <row r="64585" ht="12.75"/>
    <row r="64586" ht="12.75"/>
    <row r="64587" ht="12.75"/>
    <row r="64588" ht="12.75"/>
    <row r="64589" ht="12.75"/>
    <row r="64590" ht="12.75"/>
    <row r="64591" ht="12.75"/>
    <row r="64592" ht="12.75"/>
    <row r="64593" ht="12.75"/>
    <row r="64594" ht="12.75"/>
    <row r="64595" ht="12.75"/>
    <row r="64596" ht="12.75"/>
    <row r="64597" ht="12.75"/>
    <row r="64598" ht="12.75"/>
    <row r="64599" ht="12.75"/>
    <row r="64600" ht="12.75"/>
    <row r="64601" ht="12.75"/>
    <row r="64602" ht="12.75"/>
    <row r="64603" ht="12.75"/>
    <row r="64604" ht="12.75"/>
    <row r="64605" ht="12.75"/>
    <row r="64606" ht="12.75"/>
    <row r="64607" ht="12.75"/>
    <row r="64608" ht="12.75"/>
    <row r="64609" ht="12.75"/>
    <row r="64610" ht="12.75"/>
    <row r="64611" ht="12.75"/>
    <row r="64612" ht="12.75"/>
    <row r="64613" ht="12.75"/>
    <row r="64614" ht="12.75"/>
    <row r="64615" ht="12.75"/>
    <row r="64616" ht="12.75"/>
    <row r="64617" ht="12.75"/>
    <row r="64618" ht="12.75"/>
    <row r="64619" ht="12.75"/>
    <row r="64620" ht="12.75"/>
    <row r="64621" ht="12.75"/>
    <row r="64622" ht="12.75"/>
    <row r="64623" ht="12.75"/>
    <row r="64624" ht="12.75"/>
    <row r="64625" ht="12.75"/>
    <row r="64626" ht="12.75"/>
    <row r="64627" ht="12.75"/>
    <row r="64628" ht="12.75"/>
    <row r="64629" ht="12.75"/>
    <row r="64630" ht="12.75"/>
    <row r="64631" ht="12.75"/>
    <row r="64632" ht="12.75"/>
    <row r="64633" ht="12.75"/>
    <row r="64634" ht="12.75"/>
    <row r="64635" ht="12.75"/>
    <row r="64636" ht="12.75"/>
    <row r="64637" ht="12.75"/>
    <row r="64638" ht="12.75"/>
    <row r="64639" ht="12.75"/>
    <row r="64640" ht="12.75"/>
    <row r="64641" ht="12.75"/>
    <row r="64642" ht="12.75"/>
    <row r="64643" ht="12.75"/>
    <row r="64644" ht="12.75"/>
    <row r="64645" ht="12.75"/>
    <row r="64646" ht="12.75"/>
    <row r="64647" ht="12.75"/>
    <row r="64648" ht="12.75"/>
    <row r="64649" ht="12.75"/>
    <row r="64650" ht="12.75"/>
    <row r="64651" ht="12.75"/>
    <row r="64652" ht="12.75"/>
    <row r="64653" ht="12.75"/>
    <row r="64654" ht="12.75"/>
    <row r="64655" ht="12.75"/>
    <row r="64656" ht="12.75"/>
    <row r="64657" ht="12.75"/>
    <row r="64658" ht="12.75"/>
    <row r="64659" ht="12.75"/>
    <row r="64660" ht="12.75"/>
    <row r="64661" ht="12.75"/>
    <row r="64662" ht="12.75"/>
    <row r="64663" ht="12.75"/>
    <row r="64664" ht="12.75"/>
    <row r="64665" ht="12.75"/>
    <row r="64666" ht="12.75"/>
    <row r="64667" ht="12.75"/>
    <row r="64668" ht="12.75"/>
    <row r="64669" ht="12.75"/>
    <row r="64670" ht="12.75"/>
    <row r="64671" ht="12.75"/>
    <row r="64672" ht="12.75"/>
    <row r="64673" ht="12.75"/>
    <row r="64674" ht="12.75"/>
    <row r="64675" ht="12.75"/>
    <row r="64676" ht="12.75"/>
    <row r="64677" ht="12.75"/>
    <row r="64678" ht="12.75"/>
    <row r="64679" ht="12.75"/>
    <row r="64680" ht="12.75"/>
    <row r="64681" ht="12.75"/>
    <row r="64682" ht="12.75"/>
    <row r="64683" ht="12.75"/>
    <row r="64684" ht="12.75"/>
    <row r="64685" ht="12.75"/>
    <row r="64686" ht="12.75"/>
    <row r="64687" ht="12.75"/>
    <row r="64688" ht="12.75"/>
    <row r="64689" ht="12.75"/>
    <row r="64690" ht="12.75"/>
    <row r="64691" ht="12.75"/>
    <row r="64692" ht="12.75"/>
    <row r="64693" ht="12.75"/>
    <row r="64694" ht="12.75"/>
    <row r="64695" ht="12.75"/>
    <row r="64696" ht="12.75"/>
    <row r="64697" ht="12.75"/>
    <row r="64698" ht="12.75"/>
    <row r="64699" ht="12.75"/>
    <row r="64700" ht="12.75"/>
    <row r="64701" ht="12.75"/>
    <row r="64702" ht="12.75"/>
    <row r="64703" ht="12.75"/>
    <row r="64704" ht="12.75"/>
    <row r="64705" ht="12.75"/>
    <row r="64706" ht="12.75"/>
    <row r="64707" ht="12.75"/>
    <row r="64708" ht="12.75"/>
    <row r="64709" ht="12.75"/>
    <row r="64710" ht="12.75"/>
    <row r="64711" ht="12.75"/>
    <row r="64712" ht="12.75"/>
    <row r="64713" ht="12.75"/>
    <row r="64714" ht="12.75"/>
    <row r="64715" ht="12.75"/>
    <row r="64716" ht="12.75"/>
    <row r="64717" ht="12.75"/>
    <row r="64718" ht="12.75"/>
    <row r="64719" ht="12.75"/>
    <row r="64720" ht="12.75"/>
    <row r="64721" ht="12.75"/>
    <row r="64722" ht="12.75"/>
    <row r="64723" ht="12.75"/>
    <row r="64724" ht="12.75"/>
    <row r="64725" ht="12.75"/>
    <row r="64726" ht="12.75"/>
    <row r="64727" ht="12.75"/>
    <row r="64728" ht="12.75"/>
    <row r="64729" ht="12.75"/>
    <row r="64730" ht="12.75"/>
    <row r="64731" ht="12.75"/>
    <row r="64732" ht="12.75"/>
    <row r="64733" ht="12.75"/>
    <row r="64734" ht="12.75"/>
    <row r="64735" ht="12.75"/>
    <row r="64736" ht="12.75"/>
    <row r="64737" ht="12.75"/>
    <row r="64738" ht="12.75"/>
    <row r="64739" ht="12.75"/>
    <row r="64740" ht="12.75"/>
    <row r="64741" ht="12.75"/>
    <row r="64742" ht="12.75"/>
    <row r="64743" ht="12.75"/>
    <row r="64744" ht="12.75"/>
    <row r="64745" ht="12.75"/>
    <row r="64746" ht="12.75"/>
    <row r="64747" ht="12.75"/>
    <row r="64748" ht="12.75"/>
    <row r="64749" ht="12.75"/>
    <row r="64750" ht="12.75"/>
    <row r="64751" ht="12.75"/>
    <row r="64752" ht="12.75"/>
    <row r="64753" ht="12.75"/>
    <row r="64754" ht="12.75"/>
    <row r="64755" ht="12.75"/>
    <row r="64756" ht="12.75"/>
    <row r="64757" ht="12.75"/>
    <row r="64758" ht="12.75"/>
    <row r="64759" ht="12.75"/>
    <row r="64760" ht="12.75"/>
    <row r="64761" ht="12.75"/>
    <row r="64762" ht="12.75"/>
    <row r="64763" ht="12.75"/>
    <row r="64764" ht="12.75"/>
    <row r="64765" ht="12.75"/>
    <row r="64766" ht="12.75"/>
    <row r="64767" ht="12.75"/>
    <row r="64768" ht="12.75"/>
    <row r="64769" ht="12.75"/>
    <row r="64770" ht="12.75"/>
    <row r="64771" ht="12.75"/>
    <row r="64772" ht="12.75"/>
    <row r="64773" ht="12.75"/>
    <row r="64774" ht="12.75"/>
    <row r="64775" ht="12.75"/>
    <row r="64776" ht="12.75"/>
    <row r="64777" ht="12.75"/>
    <row r="64778" ht="12.75"/>
    <row r="64779" ht="12.75"/>
    <row r="64780" ht="12.75"/>
    <row r="64781" ht="12.75"/>
    <row r="64782" ht="12.75"/>
    <row r="64783" ht="12.75"/>
    <row r="64784" ht="12.75"/>
    <row r="64785" ht="12.75"/>
    <row r="64786" ht="12.75"/>
    <row r="64787" ht="12.75"/>
    <row r="64788" ht="12.75"/>
    <row r="64789" ht="12.75"/>
    <row r="64790" ht="12.75"/>
    <row r="64791" ht="12.75"/>
    <row r="64792" ht="12.75"/>
    <row r="64793" ht="12.75"/>
    <row r="64794" ht="12.75"/>
    <row r="64795" ht="12.75"/>
    <row r="64796" ht="12.75"/>
    <row r="64797" ht="12.75"/>
    <row r="64798" ht="12.75"/>
    <row r="64799" ht="12.75"/>
    <row r="64800" ht="12.75"/>
    <row r="64801" ht="12.75"/>
    <row r="64802" ht="12.75"/>
    <row r="64803" ht="12.75"/>
    <row r="64804" ht="12.75"/>
    <row r="64805" ht="12.75"/>
    <row r="64806" ht="12.75"/>
    <row r="64807" ht="12.75"/>
    <row r="64808" ht="12.75"/>
    <row r="64809" ht="12.75"/>
    <row r="64810" ht="12.75"/>
    <row r="64811" ht="12.75"/>
    <row r="64812" ht="12.75"/>
    <row r="64813" ht="12.75"/>
    <row r="64814" ht="12.75"/>
    <row r="64815" ht="12.75"/>
    <row r="64816" ht="12.75"/>
    <row r="64817" ht="12.75"/>
    <row r="64818" ht="12.75"/>
    <row r="64819" ht="12.75"/>
    <row r="64820" ht="12.75"/>
    <row r="64821" ht="12.75"/>
    <row r="64822" ht="12.75"/>
    <row r="64823" ht="12.75"/>
    <row r="64824" ht="12.75"/>
    <row r="64825" ht="12.75"/>
    <row r="64826" ht="12.75"/>
    <row r="64827" ht="12.75"/>
    <row r="64828" ht="12.75"/>
    <row r="64829" ht="12.75"/>
    <row r="64830" ht="12.75"/>
    <row r="64831" ht="12.75"/>
    <row r="64832" ht="12.75"/>
    <row r="64833" ht="12.75"/>
    <row r="64834" ht="12.75"/>
    <row r="64835" ht="12.75"/>
    <row r="64836" ht="12.75"/>
    <row r="64837" ht="12.75"/>
    <row r="64838" ht="12.75"/>
    <row r="64839" ht="12.75"/>
    <row r="64840" ht="12.75"/>
    <row r="64841" ht="12.75"/>
    <row r="64842" ht="12.75"/>
    <row r="64843" ht="12.75"/>
    <row r="64844" ht="12.75"/>
    <row r="64845" ht="12.75"/>
    <row r="64846" ht="12.75"/>
    <row r="64847" ht="12.75"/>
    <row r="64848" ht="12.75"/>
    <row r="64849" ht="12.75"/>
    <row r="64850" ht="12.75"/>
    <row r="64851" ht="12.75"/>
    <row r="64852" ht="12.75"/>
    <row r="64853" ht="12.75"/>
    <row r="64854" ht="12.75"/>
    <row r="64855" ht="12.75"/>
    <row r="64856" ht="12.75"/>
    <row r="64857" ht="12.75"/>
    <row r="64858" ht="12.75"/>
    <row r="64859" ht="12.75"/>
    <row r="64860" ht="12.75"/>
    <row r="64861" ht="12.75"/>
    <row r="64862" ht="12.75"/>
    <row r="64863" ht="12.75"/>
    <row r="64864" ht="12.75"/>
    <row r="64865" ht="12.75"/>
    <row r="64866" ht="12.75"/>
    <row r="64867" ht="12.75"/>
    <row r="64868" ht="12.75"/>
    <row r="64869" ht="12.75"/>
    <row r="64870" ht="12.75"/>
    <row r="64871" ht="12.75"/>
    <row r="64872" ht="12.75"/>
    <row r="64873" ht="12.75"/>
    <row r="64874" ht="12.75"/>
    <row r="64875" ht="12.75"/>
    <row r="64876" ht="12.75"/>
    <row r="64877" ht="12.75"/>
    <row r="64878" ht="12.75"/>
    <row r="64879" ht="12.75"/>
    <row r="64880" ht="12.75"/>
    <row r="64881" ht="12.75"/>
    <row r="64882" ht="12.75"/>
    <row r="64883" ht="12.75"/>
    <row r="64884" ht="12.75"/>
    <row r="64885" ht="12.75"/>
    <row r="64886" ht="12.75"/>
    <row r="64887" ht="12.75"/>
    <row r="64888" ht="12.75"/>
    <row r="64889" ht="12.75"/>
    <row r="64890" ht="12.75"/>
    <row r="64891" ht="12.75"/>
    <row r="64892" ht="12.75"/>
    <row r="64893" ht="12.75"/>
    <row r="64894" ht="12.75"/>
    <row r="64895" ht="12.75"/>
    <row r="64896" ht="12.75"/>
    <row r="64897" ht="12.75"/>
    <row r="64898" ht="12.75"/>
    <row r="64899" ht="12.75"/>
    <row r="64900" ht="12.75"/>
    <row r="64901" ht="12.75"/>
    <row r="64902" ht="12.75"/>
    <row r="64903" ht="12.75"/>
    <row r="64904" ht="12.75"/>
    <row r="64905" ht="12.75"/>
    <row r="64906" ht="12.75"/>
    <row r="64907" ht="12.75"/>
    <row r="64908" ht="12.75"/>
    <row r="64909" ht="12.75"/>
    <row r="64910" ht="12.75"/>
    <row r="64911" ht="12.75"/>
    <row r="64912" ht="12.75"/>
    <row r="64913" ht="12.75"/>
    <row r="64914" ht="12.75"/>
    <row r="64915" ht="12.75"/>
    <row r="64916" ht="12.75"/>
    <row r="64917" ht="12.75"/>
    <row r="64918" ht="12.75"/>
    <row r="64919" ht="12.75"/>
    <row r="64920" ht="12.75"/>
    <row r="64921" ht="12.75"/>
    <row r="64922" ht="12.75"/>
    <row r="64923" ht="12.75"/>
    <row r="64924" ht="12.75"/>
    <row r="64925" ht="12.75"/>
    <row r="64926" ht="12.75"/>
    <row r="64927" ht="12.75"/>
    <row r="64928" ht="12.75"/>
    <row r="64929" ht="12.75"/>
    <row r="64930" ht="12.75"/>
    <row r="64931" ht="12.75"/>
    <row r="64932" ht="12.75"/>
    <row r="64933" ht="12.75"/>
    <row r="64934" ht="12.75"/>
    <row r="64935" ht="12.75"/>
    <row r="64936" ht="12.75"/>
    <row r="64937" ht="12.75"/>
    <row r="64938" ht="12.75"/>
    <row r="64939" ht="12.75"/>
    <row r="64940" ht="12.75"/>
    <row r="64941" ht="12.75"/>
    <row r="64942" ht="12.75"/>
    <row r="64943" ht="12.75"/>
    <row r="64944" ht="12.75"/>
    <row r="64945" ht="12.75"/>
    <row r="64946" ht="12.75"/>
    <row r="64947" ht="12.75"/>
    <row r="64948" ht="12.75"/>
    <row r="64949" ht="12.75"/>
    <row r="64950" ht="12.75"/>
    <row r="64951" ht="12.75"/>
    <row r="64952" ht="12.75"/>
    <row r="64953" ht="12.75"/>
    <row r="64954" ht="12.75"/>
    <row r="64955" ht="12.75"/>
    <row r="64956" ht="12.75"/>
    <row r="64957" ht="12.75"/>
    <row r="64958" ht="12.75"/>
    <row r="64959" ht="12.75"/>
    <row r="64960" ht="12.75"/>
    <row r="64961" ht="12.75"/>
    <row r="64962" ht="12.75"/>
    <row r="64963" ht="12.75"/>
    <row r="64964" ht="12.75"/>
    <row r="64965" ht="12.75"/>
    <row r="64966" ht="12.75"/>
    <row r="64967" ht="12.75"/>
    <row r="64968" ht="12.75"/>
    <row r="64969" ht="12.75"/>
    <row r="64970" ht="12.75"/>
    <row r="64971" ht="12.75"/>
    <row r="64972" ht="12.75"/>
    <row r="64973" ht="12.75"/>
    <row r="64974" ht="12.75"/>
    <row r="64975" ht="12.75"/>
    <row r="64976" ht="12.75"/>
    <row r="64977" ht="12.75"/>
    <row r="64978" ht="12.75"/>
    <row r="64979" ht="12.75"/>
    <row r="64980" ht="12.75"/>
    <row r="64981" ht="12.75"/>
    <row r="64982" ht="12.75"/>
    <row r="64983" ht="12.75"/>
    <row r="64984" ht="12.75"/>
    <row r="64985" ht="12.75"/>
    <row r="64986" ht="12.75"/>
    <row r="64987" ht="12.75"/>
    <row r="64988" ht="12.75"/>
    <row r="64989" ht="12.75"/>
    <row r="64990" ht="12.75"/>
    <row r="64991" ht="12.75"/>
    <row r="64992" ht="12.75"/>
    <row r="64993" ht="12.75"/>
    <row r="64994" ht="12.75"/>
    <row r="64995" ht="12.75"/>
    <row r="64996" ht="12.75"/>
    <row r="64997" ht="12.75"/>
    <row r="64998" ht="12.75"/>
    <row r="64999" ht="12.75"/>
    <row r="65000" ht="12.75"/>
    <row r="65001" ht="12.75"/>
    <row r="65002" ht="12.75"/>
    <row r="65003" ht="12.75"/>
    <row r="65004" ht="12.75"/>
    <row r="65005" ht="12.75"/>
    <row r="65006" ht="12.75"/>
    <row r="65007" ht="12.75"/>
    <row r="65008" ht="12.75"/>
    <row r="65009" ht="12.75"/>
    <row r="65010" ht="12.75"/>
    <row r="65011" ht="12.75"/>
    <row r="65012" ht="12.75"/>
    <row r="65013" ht="12.75"/>
    <row r="65014" ht="12.75"/>
    <row r="65015" ht="12.75"/>
    <row r="65016" ht="12.75"/>
    <row r="65017" ht="12.75"/>
    <row r="65018" ht="12.75"/>
    <row r="65019" ht="12.75"/>
    <row r="65020" ht="12.75"/>
    <row r="65021" ht="12.75"/>
    <row r="65022" ht="12.75"/>
    <row r="65023" ht="12.75"/>
    <row r="65024" ht="12.75"/>
    <row r="65025" ht="12.75"/>
    <row r="65026" ht="12.75"/>
    <row r="65027" ht="12.75"/>
    <row r="65028" ht="12.75"/>
    <row r="65029" ht="12.75"/>
    <row r="65030" ht="12.75"/>
    <row r="65031" ht="12.75"/>
    <row r="65032" ht="12.75"/>
    <row r="65033" ht="12.75"/>
    <row r="65034" ht="12.75"/>
    <row r="65035" ht="12.75"/>
    <row r="65036" ht="12.75"/>
    <row r="65037" ht="12.75"/>
    <row r="65038" ht="12.75"/>
    <row r="65039" ht="12.75"/>
    <row r="65040" ht="12.75"/>
    <row r="65041" ht="12.75"/>
    <row r="65042" ht="12.75"/>
    <row r="65043" ht="12.75"/>
    <row r="65044" ht="12.75"/>
    <row r="65045" ht="12.75"/>
    <row r="65046" ht="12.75"/>
    <row r="65047" ht="12.75"/>
    <row r="65048" ht="12.75"/>
    <row r="65049" ht="12.75"/>
    <row r="65050" ht="12.75"/>
    <row r="65051" ht="12.75"/>
    <row r="65052" ht="12.75"/>
    <row r="65053" ht="12.75"/>
    <row r="65054" ht="12.75"/>
    <row r="65055" ht="12.75"/>
    <row r="65056" ht="12.75"/>
    <row r="65057" ht="12.75"/>
    <row r="65058" ht="12.75"/>
    <row r="65059" ht="12.75"/>
    <row r="65060" ht="12.75"/>
    <row r="65061" ht="12.75"/>
    <row r="65062" ht="12.75"/>
    <row r="65063" ht="12.75"/>
    <row r="65064" ht="12.75"/>
    <row r="65065" ht="12.75"/>
    <row r="65066" ht="12.75"/>
    <row r="65067" ht="12.75"/>
    <row r="65068" ht="12.75"/>
    <row r="65069" ht="12.75"/>
    <row r="65070" ht="12.75"/>
    <row r="65071" ht="12.75"/>
    <row r="65072" ht="12.75"/>
    <row r="65073" ht="12.75"/>
    <row r="65074" ht="12.75"/>
    <row r="65075" ht="12.75"/>
    <row r="65076" ht="12.75"/>
    <row r="65077" ht="12.75"/>
    <row r="65078" ht="12.75"/>
    <row r="65079" ht="12.75"/>
    <row r="65080" ht="12.75"/>
    <row r="65081" ht="12.75"/>
    <row r="65082" ht="12.75"/>
    <row r="65083" ht="12.75"/>
    <row r="65084" ht="12.75"/>
    <row r="65085" ht="12.75"/>
    <row r="65086" ht="12.75"/>
    <row r="65087" ht="12.75"/>
    <row r="65088" ht="12.75"/>
    <row r="65089" ht="12.75"/>
    <row r="65090" ht="12.75"/>
    <row r="65091" ht="12.75"/>
    <row r="65092" ht="12.75"/>
    <row r="65093" ht="12.75"/>
    <row r="65094" ht="12.75"/>
    <row r="65095" ht="12.75"/>
    <row r="65096" ht="12.75"/>
    <row r="65097" ht="12.75"/>
    <row r="65098" ht="12.75"/>
    <row r="65099" ht="12.75"/>
    <row r="65100" ht="12.75"/>
    <row r="65101" ht="12.75"/>
    <row r="65102" ht="12.75"/>
    <row r="65103" ht="12.75"/>
    <row r="65104" ht="12.75"/>
    <row r="65105" ht="12.75"/>
    <row r="65106" ht="12.75"/>
    <row r="65107" ht="12.75"/>
    <row r="65108" ht="12.75"/>
    <row r="65109" ht="12.75"/>
    <row r="65110" ht="12.75"/>
    <row r="65111" ht="12.75"/>
    <row r="65112" ht="12.75"/>
    <row r="65113" ht="12.75"/>
    <row r="65114" ht="12.75"/>
    <row r="65115" ht="12.75"/>
    <row r="65116" ht="12.75"/>
    <row r="65117" ht="12.75"/>
    <row r="65118" ht="12.75"/>
    <row r="65119" ht="12.75"/>
    <row r="65120" ht="12.75"/>
    <row r="65121" ht="12.75"/>
    <row r="65122" ht="12.75"/>
    <row r="65123" ht="12.75"/>
    <row r="65124" ht="12.75"/>
    <row r="65125" ht="12.75"/>
    <row r="65126" ht="12.75"/>
    <row r="65127" ht="12.75"/>
    <row r="65128" ht="12.75"/>
    <row r="65129" ht="12.75"/>
    <row r="65130" ht="12.75"/>
    <row r="65131" ht="12.75"/>
    <row r="65132" ht="12.75"/>
    <row r="65133" ht="12.75"/>
    <row r="65134" ht="12.75"/>
    <row r="65135" ht="12.75"/>
    <row r="65136" ht="12.75"/>
    <row r="65137" ht="12.75"/>
    <row r="65138" ht="12.75"/>
    <row r="65139" ht="12.75"/>
    <row r="65140" ht="12.75"/>
    <row r="65141" ht="12.75"/>
    <row r="65142" ht="12.75"/>
    <row r="65143" ht="12.75"/>
    <row r="65144" ht="12.75"/>
    <row r="65145" ht="12.75"/>
    <row r="65146" ht="12.75"/>
    <row r="65147" ht="12.75"/>
    <row r="65148" ht="12.75"/>
    <row r="65149" ht="12.75"/>
    <row r="65150" ht="12.75"/>
    <row r="65151" ht="12.75"/>
    <row r="65152" ht="12.75"/>
    <row r="65153" ht="12.75"/>
    <row r="65154" ht="12.75"/>
    <row r="65155" ht="12.75"/>
    <row r="65156" ht="12.75"/>
    <row r="65157" ht="12.75"/>
    <row r="65158" ht="12.75"/>
    <row r="65159" ht="12.75"/>
    <row r="65160" ht="12.75"/>
    <row r="65161" ht="12.75"/>
    <row r="65162" ht="12.75"/>
    <row r="65163" ht="12.75"/>
    <row r="65164" ht="12.75"/>
    <row r="65165" ht="12.75"/>
    <row r="65166" ht="12.75"/>
    <row r="65167" ht="12.75"/>
    <row r="65168" ht="12.75"/>
    <row r="65169" ht="12.75"/>
    <row r="65170" ht="12.75"/>
    <row r="65171" ht="12.75"/>
    <row r="65172" ht="12.75"/>
    <row r="65173" ht="12.75"/>
    <row r="65174" ht="12.75"/>
    <row r="65175" ht="12.75"/>
    <row r="65176" ht="12.75"/>
    <row r="65177" ht="12.75"/>
    <row r="65178" ht="12.75"/>
    <row r="65179" ht="12.75"/>
    <row r="65180" ht="12.75"/>
    <row r="65181" ht="12.75"/>
    <row r="65182" ht="12.75"/>
    <row r="65183" ht="12.75"/>
    <row r="65184" ht="12.75"/>
    <row r="65185" ht="12.75"/>
    <row r="65186" ht="12.75"/>
    <row r="65187" ht="12.75"/>
    <row r="65188" ht="12.75"/>
    <row r="65189" ht="12.75"/>
    <row r="65190" ht="12.75"/>
    <row r="65191" ht="12.75"/>
    <row r="65192" ht="12.75"/>
    <row r="65193" ht="12.75"/>
    <row r="65194" ht="12.75"/>
    <row r="65195" ht="12.75"/>
    <row r="65196" ht="12.75"/>
    <row r="65197" ht="12.75"/>
    <row r="65198" ht="12.75"/>
    <row r="65199" ht="12.75"/>
    <row r="65200" ht="12.75"/>
    <row r="65201" ht="12.75"/>
    <row r="65202" ht="12.75"/>
    <row r="65203" ht="12.75"/>
    <row r="65204" ht="12.75"/>
    <row r="65205" ht="12.75"/>
    <row r="65206" ht="12.75"/>
    <row r="65207" ht="12.75"/>
    <row r="65208" ht="12.75"/>
    <row r="65209" ht="12.75"/>
    <row r="65210" ht="12.75"/>
    <row r="65211" ht="12.75"/>
    <row r="65212" ht="12.75"/>
    <row r="65213" ht="12.75"/>
    <row r="65214" ht="12.75"/>
    <row r="65215" ht="12.75"/>
    <row r="65216" ht="12.75"/>
    <row r="65217" ht="12.75"/>
    <row r="65218" ht="12.75"/>
    <row r="65219" ht="12.75"/>
    <row r="65220" ht="12.75"/>
    <row r="65221" ht="12.75"/>
    <row r="65222" ht="12.75"/>
    <row r="65223" ht="12.75"/>
    <row r="65224" ht="12.75"/>
    <row r="65225" ht="12.75"/>
    <row r="65226" ht="12.75"/>
    <row r="65227" ht="12.75"/>
    <row r="65228" ht="12.75"/>
    <row r="65229" ht="12.75"/>
    <row r="65230" ht="12.75"/>
    <row r="65231" ht="12.75"/>
    <row r="65232" ht="12.75"/>
    <row r="65233" ht="12.75"/>
    <row r="65234" ht="12.75"/>
    <row r="65235" ht="12.75"/>
    <row r="65236" ht="12.75"/>
    <row r="65237" ht="12.75"/>
    <row r="65238" ht="12.75"/>
    <row r="65239" ht="12.75"/>
    <row r="65240" ht="12.75"/>
    <row r="65241" ht="12.75"/>
    <row r="65242" ht="12.75"/>
    <row r="65243" ht="12.75"/>
    <row r="65244" ht="12.75"/>
    <row r="65245" ht="12.75"/>
    <row r="65246" ht="12.75"/>
    <row r="65247" ht="12.75"/>
    <row r="65248" ht="12.75"/>
    <row r="65249" ht="12.75"/>
    <row r="65250" ht="12.75"/>
    <row r="65251" ht="12.75"/>
    <row r="65252" ht="12.75"/>
    <row r="65253" ht="12.75"/>
    <row r="65254" ht="12.75"/>
    <row r="65255" ht="12.75"/>
    <row r="65256" ht="12.75"/>
    <row r="65257" ht="12.75"/>
    <row r="65258" ht="12.75"/>
    <row r="65259" ht="12.75"/>
    <row r="65260" ht="12.75"/>
    <row r="65261" ht="12.75"/>
    <row r="65262" ht="12.75"/>
    <row r="65263" ht="12.75"/>
    <row r="65264" ht="12.75"/>
    <row r="65265" ht="12.75"/>
    <row r="65266" ht="12.75"/>
    <row r="65267" ht="12.75"/>
    <row r="65268" ht="12.75"/>
    <row r="65269" ht="12.75"/>
    <row r="65270" ht="12.75"/>
    <row r="65271" ht="12.75"/>
    <row r="65272" ht="12.75"/>
    <row r="65273" ht="12.75"/>
    <row r="65274" ht="12.75"/>
    <row r="65275" ht="12.75"/>
    <row r="65276" ht="12.75"/>
    <row r="65277" ht="12.75"/>
    <row r="65278" ht="12.75"/>
    <row r="65279" ht="12.75"/>
    <row r="65280" ht="12.75"/>
    <row r="65281" ht="12.75"/>
    <row r="65282" ht="12.75"/>
    <row r="65283" ht="12.75"/>
    <row r="65284" ht="12.75"/>
    <row r="65285" ht="12.75"/>
    <row r="65286" ht="12.75"/>
    <row r="65287" ht="12.75"/>
    <row r="65288" ht="12.75"/>
    <row r="65289" ht="12.75"/>
    <row r="65290" ht="12.75"/>
    <row r="65291" ht="12.75"/>
    <row r="65292" ht="12.75"/>
    <row r="65293" ht="12.75"/>
    <row r="65294" ht="12.75"/>
    <row r="65295" ht="12.75"/>
    <row r="65296" ht="12.75"/>
    <row r="65297" ht="12.75"/>
    <row r="65298" ht="12.75"/>
    <row r="65299" ht="12.75"/>
    <row r="65300" ht="12.75"/>
    <row r="65301" ht="12.75"/>
    <row r="65302" ht="12.75"/>
    <row r="65303" ht="12.75"/>
    <row r="65304" ht="12.75"/>
    <row r="65305" ht="12.75"/>
    <row r="65306" ht="12.75"/>
    <row r="65307" ht="12.75"/>
    <row r="65308" ht="12.75"/>
    <row r="65309" ht="12.75"/>
    <row r="65310" ht="12.75"/>
    <row r="65311" ht="12.75"/>
    <row r="65312" ht="12.75"/>
    <row r="65313" ht="12.75"/>
    <row r="65314" ht="12.75"/>
    <row r="65315" ht="12.75"/>
    <row r="65316" ht="12.75"/>
    <row r="65317" ht="12.75"/>
    <row r="65318" ht="12.75"/>
    <row r="65319" ht="12.75"/>
    <row r="65320" ht="12.75"/>
    <row r="65321" ht="12.75"/>
    <row r="65322" ht="12.75"/>
    <row r="65323" ht="12.75"/>
    <row r="65324" ht="12.75"/>
    <row r="65325" ht="12.75"/>
    <row r="65326" ht="12.75"/>
    <row r="65327" ht="12.75"/>
    <row r="65328" ht="12.75"/>
    <row r="65329" ht="12.75"/>
    <row r="65330" ht="12.75"/>
    <row r="65331" ht="12.75"/>
    <row r="65332" ht="12.75"/>
    <row r="65333" ht="12.75"/>
    <row r="65334" ht="12.75"/>
    <row r="65335" ht="12.75"/>
    <row r="65336" ht="12.75"/>
    <row r="65337" ht="12.75"/>
    <row r="65338" ht="12.75"/>
    <row r="65339" ht="12.75"/>
    <row r="65340" ht="12.75"/>
    <row r="65341" ht="12.75"/>
    <row r="65342" ht="12.75"/>
    <row r="65343" ht="12.75"/>
    <row r="65344" ht="12.75"/>
    <row r="65345" ht="12.75"/>
    <row r="65346" ht="12.75"/>
    <row r="65347" ht="12.75"/>
    <row r="65348" ht="12.75"/>
    <row r="65349" ht="12.75"/>
    <row r="65350" ht="12.75"/>
    <row r="65351" ht="12.75"/>
    <row r="65352" ht="12.75"/>
    <row r="65353" ht="12.75"/>
    <row r="65354" ht="12.75"/>
    <row r="65355" ht="12.75"/>
    <row r="65356" ht="12.75"/>
    <row r="65357" ht="12.75"/>
    <row r="65358" ht="12.75"/>
    <row r="65359" ht="12.75"/>
    <row r="65360" ht="12.75"/>
    <row r="65361" ht="12.75"/>
    <row r="65362" ht="12.75"/>
    <row r="65363" ht="12.75"/>
    <row r="65364" ht="12.75"/>
    <row r="65365" ht="12.75"/>
    <row r="65366" ht="12.75"/>
    <row r="65367" ht="12.75"/>
    <row r="65368" ht="12.75"/>
    <row r="65369" ht="12.75"/>
    <row r="65370" ht="12.75"/>
    <row r="65371" ht="12.75"/>
    <row r="65372" ht="12.75"/>
    <row r="65373" ht="12.75"/>
    <row r="65374" ht="12.75"/>
    <row r="65375" ht="12.75"/>
    <row r="65376" ht="12.75"/>
    <row r="65377" ht="12.75"/>
    <row r="65378" ht="12.75"/>
    <row r="65379" ht="12.75"/>
    <row r="65380" ht="12.75"/>
    <row r="65381" ht="12.75"/>
    <row r="65382" ht="12.75"/>
    <row r="65383" ht="12.75"/>
    <row r="65384" ht="12.75"/>
    <row r="65385" ht="12.75"/>
    <row r="65386" ht="12.75"/>
    <row r="65387" ht="12.75"/>
    <row r="65388" ht="12.75"/>
    <row r="65389" ht="12.75"/>
    <row r="65390" ht="12.75"/>
    <row r="65391" ht="12.75"/>
    <row r="65392" ht="12.75"/>
    <row r="65393" ht="12.75"/>
    <row r="65394" ht="12.75"/>
    <row r="65395" ht="12.75"/>
    <row r="65396" ht="12.75"/>
    <row r="65397" ht="12.75"/>
    <row r="65398" ht="12.75"/>
    <row r="65399" ht="12.75"/>
    <row r="65400" ht="12.75"/>
    <row r="65401" ht="12.75"/>
    <row r="65402" ht="12.75"/>
    <row r="65403" ht="12.75"/>
    <row r="65404" ht="12.75"/>
    <row r="65405" ht="12.75"/>
    <row r="65406" ht="12.75"/>
    <row r="65407" ht="12.75"/>
    <row r="65408" ht="12.75"/>
    <row r="65409" ht="12.75"/>
    <row r="65410" ht="12.75"/>
    <row r="65411" ht="12.75"/>
    <row r="65412" ht="12.75"/>
    <row r="65413" ht="12.75"/>
    <row r="65414" ht="12.75"/>
    <row r="65415" ht="12.75"/>
    <row r="65416" ht="12.75"/>
    <row r="65417" ht="12.75"/>
    <row r="65418" ht="12.75"/>
    <row r="65419" ht="12.75"/>
    <row r="65420" ht="12.75"/>
    <row r="65421" ht="12.75"/>
    <row r="65422" ht="12.75"/>
    <row r="65423" ht="12.75"/>
    <row r="65424" ht="12.75"/>
    <row r="65425" ht="12.75"/>
    <row r="65426" ht="12.75"/>
    <row r="65427" ht="12.75"/>
    <row r="65428" ht="12.75"/>
    <row r="65429" ht="12.75"/>
    <row r="65430" ht="12.75"/>
    <row r="65431" ht="12.75"/>
    <row r="65432" ht="12.75"/>
    <row r="65433" ht="12.75"/>
    <row r="65434" ht="12.75"/>
    <row r="65435" ht="12.75"/>
    <row r="65436" ht="12.75"/>
    <row r="65437" ht="12.75"/>
    <row r="65438" ht="12.75"/>
    <row r="65439" ht="12.75"/>
    <row r="65440" ht="12.75"/>
    <row r="65441" ht="12.75"/>
    <row r="65442" ht="12.75"/>
    <row r="65443" ht="12.75"/>
    <row r="65444" ht="12.75"/>
    <row r="65445" ht="12.75"/>
    <row r="65446" ht="12.75"/>
    <row r="65447" ht="12.75"/>
    <row r="65448" ht="12.75"/>
    <row r="65449" ht="12.75"/>
    <row r="65450" ht="12.75"/>
    <row r="65451" ht="12.75"/>
    <row r="65452" ht="12.75"/>
    <row r="65453" ht="12.75"/>
    <row r="65454" ht="12.75"/>
    <row r="65455" ht="12.75"/>
    <row r="65456" ht="12.75"/>
    <row r="65457" ht="12.75"/>
    <row r="65458" ht="12.75"/>
    <row r="65459" ht="12.75"/>
    <row r="65460" ht="12.75"/>
    <row r="65461" ht="12.75"/>
    <row r="65462" ht="12.75"/>
    <row r="65463" ht="12.75"/>
    <row r="65464" ht="12.75"/>
    <row r="65465" ht="12.75"/>
    <row r="65466" ht="12.75"/>
    <row r="65467" ht="12.75"/>
    <row r="65468" ht="12.75"/>
    <row r="65469" ht="12.75"/>
    <row r="65470" ht="12.75"/>
    <row r="65471" ht="12.75"/>
    <row r="65472" ht="12.75"/>
    <row r="65473" ht="12.75"/>
    <row r="65474" ht="12.75"/>
    <row r="65475" ht="12.75"/>
    <row r="65476" ht="12.75"/>
    <row r="65477" ht="12.75"/>
    <row r="65478" ht="12.75"/>
    <row r="65479" ht="12.75"/>
    <row r="65480" ht="12.75"/>
    <row r="65481" ht="12.75"/>
    <row r="65482" ht="12.75"/>
    <row r="65483" ht="12.75"/>
    <row r="65484" ht="12.75"/>
    <row r="65485" ht="12.75"/>
    <row r="65486" ht="12.75"/>
    <row r="65487" ht="12.75"/>
    <row r="65488" ht="12.75"/>
    <row r="65489" ht="12.75"/>
    <row r="65490" ht="12.75"/>
    <row r="65491" ht="12.75"/>
    <row r="65492" ht="12.75"/>
    <row r="65493" ht="12.75"/>
    <row r="65494" ht="12.75"/>
    <row r="65495" ht="12.75"/>
    <row r="65496" ht="12.75"/>
    <row r="65497" ht="12.75"/>
    <row r="65498" ht="12.75"/>
    <row r="65499" ht="12.75"/>
    <row r="65500" ht="12.75"/>
    <row r="65501" ht="12.75"/>
    <row r="65502" ht="12.75"/>
    <row r="65503" ht="12.75"/>
    <row r="65504" ht="12.75"/>
    <row r="65505" ht="12.75"/>
    <row r="65506" ht="12.75"/>
    <row r="65507" ht="12.75"/>
    <row r="65508" ht="12.75"/>
    <row r="65509" ht="12.75"/>
    <row r="65510" ht="12.75"/>
    <row r="65511" ht="12.75"/>
    <row r="65512" ht="12.75"/>
    <row r="65513" ht="12.75"/>
    <row r="65514" ht="12.75"/>
    <row r="65515" ht="12.75"/>
    <row r="65516" ht="12.75"/>
    <row r="65517" ht="12.75"/>
    <row r="65518" ht="12.75"/>
    <row r="65519" ht="12.75"/>
    <row r="65520" ht="12.75"/>
    <row r="65521" ht="12.75"/>
    <row r="65522" ht="12.75"/>
    <row r="65523" ht="12.75"/>
    <row r="65524" ht="12.75"/>
    <row r="65525" ht="12.75"/>
    <row r="65526" ht="12.75"/>
    <row r="65527" ht="12.75"/>
    <row r="65528" ht="12.75"/>
    <row r="65529" ht="12.75"/>
    <row r="65530" ht="12.75"/>
    <row r="65531" ht="12.75"/>
    <row r="65532" ht="12.75"/>
    <row r="65533" ht="12.75"/>
    <row r="65534" ht="12.75"/>
    <row r="65535" ht="12.75"/>
    <row r="65536" ht="12.75"/>
    <row r="65537" ht="12.75"/>
    <row r="65538" ht="12.75"/>
    <row r="65539" ht="12.75"/>
    <row r="65540" ht="12.75"/>
    <row r="65541" ht="12.75"/>
    <row r="65542" ht="12.75"/>
    <row r="65543" ht="12.75"/>
    <row r="65544" ht="12.75"/>
    <row r="65545" ht="12.75"/>
    <row r="65546" ht="12.75"/>
    <row r="65547" ht="12.75"/>
    <row r="65548" ht="12.75"/>
    <row r="65549" ht="12.75"/>
    <row r="65550" ht="12.75"/>
    <row r="65551" ht="12.75"/>
    <row r="65552" ht="12.75"/>
    <row r="65553" ht="12.75"/>
    <row r="65554" ht="12.75"/>
    <row r="65555" ht="12.75"/>
    <row r="65556" ht="12.75"/>
    <row r="65557" ht="12.75"/>
    <row r="65558" ht="12.75"/>
    <row r="65559" ht="12.75"/>
    <row r="65560" ht="12.75"/>
    <row r="65561" ht="12.75"/>
    <row r="65562" ht="12.75"/>
    <row r="65563" ht="12.75"/>
    <row r="65564" ht="12.75"/>
    <row r="65565" ht="12.75"/>
    <row r="65566" ht="12.75"/>
    <row r="65567" ht="12.75"/>
    <row r="65568" ht="12.75"/>
    <row r="65569" ht="12.75"/>
    <row r="65570" ht="12.75"/>
    <row r="65571" ht="12.75"/>
    <row r="65572" ht="12.75"/>
    <row r="65573" ht="12.75"/>
    <row r="65574" ht="12.75"/>
    <row r="65575" ht="12.75"/>
    <row r="65576" ht="12.75"/>
    <row r="65577" ht="12.75"/>
    <row r="65578" ht="12.75"/>
    <row r="65579" ht="12.75"/>
    <row r="65580" ht="12.75"/>
    <row r="65581" ht="12.75"/>
    <row r="65582" ht="12.75"/>
    <row r="65583" ht="12.75"/>
  </sheetData>
  <mergeCells count="6">
    <mergeCell ref="B183:K183"/>
    <mergeCell ref="B1:E1"/>
    <mergeCell ref="B2:E2"/>
    <mergeCell ref="B180:K180"/>
    <mergeCell ref="B181:K181"/>
    <mergeCell ref="B182:K182"/>
  </mergeCells>
  <printOptions horizontalCentered="1"/>
  <pageMargins left="0.4724409448818898" right="0.2362204724409449" top="1.141732283464567" bottom="0.7874015748031497" header="0.5118110236220472" footer="0.5118110236220472"/>
  <pageSetup fitToHeight="0" fitToWidth="1" horizontalDpi="300" verticalDpi="300" orientation="portrait" paperSize="9" scale="74" r:id="rId1"/>
  <headerFooter alignWithMargins="0">
    <oddHeader>&amp;L10. melléklet a 1/2017.(II.24.) önkormányzati rendelethez
10. melléklet a 29/2015.(XII.18.) önkormányzati rendelethez</oddHeader>
  </headerFooter>
  <rowBreaks count="1" manualBreakCount="1">
    <brk id="69" min="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99"/>
  <sheetViews>
    <sheetView view="pageBreakPreview" zoomScale="90" zoomScaleSheetLayoutView="90" workbookViewId="0" topLeftCell="A70">
      <selection activeCell="A96" sqref="A96:XFD96"/>
    </sheetView>
  </sheetViews>
  <sheetFormatPr defaultColWidth="9.00390625" defaultRowHeight="12.75"/>
  <cols>
    <col min="1" max="1" width="82.00390625" style="60" customWidth="1"/>
    <col min="2" max="2" width="12.25390625" style="89" customWidth="1"/>
    <col min="3" max="3" width="9.00390625" style="89" hidden="1" customWidth="1"/>
    <col min="4" max="5" width="12.125" style="61" customWidth="1"/>
    <col min="6" max="16384" width="9.125" style="61" customWidth="1"/>
  </cols>
  <sheetData>
    <row r="1" spans="1:5" ht="33" customHeight="1">
      <c r="A1" s="1126" t="s">
        <v>320</v>
      </c>
      <c r="B1" s="1126"/>
      <c r="C1" s="1126"/>
      <c r="D1" s="1126"/>
      <c r="E1" s="1126"/>
    </row>
    <row r="2" spans="1:5" ht="14.25" customHeight="1">
      <c r="A2" s="1128" t="s">
        <v>233</v>
      </c>
      <c r="B2" s="1128"/>
      <c r="C2" s="1128"/>
      <c r="D2" s="1128"/>
      <c r="E2" s="1128"/>
    </row>
    <row r="3" spans="1:2" ht="9" customHeight="1" thickBot="1">
      <c r="A3" s="90"/>
      <c r="B3" s="91"/>
    </row>
    <row r="4" spans="1:5" s="69" customFormat="1" ht="12.75">
      <c r="A4" s="139" t="s">
        <v>3</v>
      </c>
      <c r="B4" s="224" t="s">
        <v>4</v>
      </c>
      <c r="C4" s="924"/>
      <c r="D4" s="224" t="s">
        <v>861</v>
      </c>
      <c r="E4" s="925" t="s">
        <v>1041</v>
      </c>
    </row>
    <row r="5" spans="1:5" s="69" customFormat="1" ht="9" customHeight="1">
      <c r="A5" s="201"/>
      <c r="B5" s="225"/>
      <c r="C5" s="227"/>
      <c r="D5" s="225"/>
      <c r="E5" s="926"/>
    </row>
    <row r="6" spans="1:5" s="69" customFormat="1" ht="15" customHeight="1">
      <c r="A6" s="927" t="s">
        <v>254</v>
      </c>
      <c r="B6" s="226"/>
      <c r="C6" s="227"/>
      <c r="D6" s="226"/>
      <c r="E6" s="928"/>
    </row>
    <row r="7" spans="1:5" s="69" customFormat="1" ht="9" customHeight="1">
      <c r="A7" s="201"/>
      <c r="B7" s="225"/>
      <c r="C7" s="227"/>
      <c r="D7" s="225"/>
      <c r="E7" s="926"/>
    </row>
    <row r="8" spans="1:5" s="68" customFormat="1" ht="12.75">
      <c r="A8" s="927" t="s">
        <v>321</v>
      </c>
      <c r="B8" s="226">
        <f>SUM(B9:B13)</f>
        <v>130967</v>
      </c>
      <c r="C8" s="226">
        <f aca="true" t="shared" si="0" ref="C8">SUM(C9:C13)</f>
        <v>0</v>
      </c>
      <c r="D8" s="226">
        <f>SUM(D9:D19)</f>
        <v>198855</v>
      </c>
      <c r="E8" s="928">
        <f>SUM(E9:E21)</f>
        <v>181614</v>
      </c>
    </row>
    <row r="9" spans="1:5" s="69" customFormat="1" ht="15.75" customHeight="1">
      <c r="A9" s="201" t="s">
        <v>792</v>
      </c>
      <c r="B9" s="225">
        <f>1572+5000</f>
        <v>6572</v>
      </c>
      <c r="C9" s="227"/>
      <c r="D9" s="225">
        <v>6572</v>
      </c>
      <c r="E9" s="926">
        <v>6572</v>
      </c>
    </row>
    <row r="10" spans="1:5" s="69" customFormat="1" ht="15.75" customHeight="1">
      <c r="A10" s="929" t="s">
        <v>857</v>
      </c>
      <c r="B10" s="225"/>
      <c r="C10" s="227"/>
      <c r="D10" s="225">
        <v>6626</v>
      </c>
      <c r="E10" s="926">
        <v>6626</v>
      </c>
    </row>
    <row r="11" spans="1:5" s="69" customFormat="1" ht="12.75">
      <c r="A11" s="201" t="s">
        <v>322</v>
      </c>
      <c r="B11" s="225">
        <v>124395</v>
      </c>
      <c r="C11" s="227"/>
      <c r="D11" s="225">
        <v>124395</v>
      </c>
      <c r="E11" s="926">
        <f>124395-21414</f>
        <v>102981</v>
      </c>
    </row>
    <row r="12" spans="1:5" s="69" customFormat="1" ht="12.75">
      <c r="A12" s="201" t="s">
        <v>573</v>
      </c>
      <c r="B12" s="225"/>
      <c r="C12" s="227"/>
      <c r="D12" s="225">
        <v>49070</v>
      </c>
      <c r="E12" s="926">
        <v>49070</v>
      </c>
    </row>
    <row r="13" spans="1:5" s="69" customFormat="1" ht="12.75">
      <c r="A13" s="201" t="s">
        <v>793</v>
      </c>
      <c r="B13" s="225"/>
      <c r="C13" s="227"/>
      <c r="D13" s="225">
        <v>475</v>
      </c>
      <c r="E13" s="926">
        <v>475</v>
      </c>
    </row>
    <row r="14" spans="1:5" s="69" customFormat="1" ht="12.75">
      <c r="A14" s="201" t="s">
        <v>794</v>
      </c>
      <c r="B14" s="225"/>
      <c r="C14" s="227"/>
      <c r="D14" s="225">
        <v>331</v>
      </c>
      <c r="E14" s="926">
        <f>331+834</f>
        <v>1165</v>
      </c>
    </row>
    <row r="15" spans="1:5" s="69" customFormat="1" ht="12.75">
      <c r="A15" s="201" t="s">
        <v>795</v>
      </c>
      <c r="B15" s="225"/>
      <c r="C15" s="227"/>
      <c r="D15" s="225">
        <v>3325</v>
      </c>
      <c r="E15" s="926">
        <v>3325</v>
      </c>
    </row>
    <row r="16" spans="1:5" s="69" customFormat="1" ht="12.75">
      <c r="A16" s="201" t="s">
        <v>744</v>
      </c>
      <c r="B16" s="225"/>
      <c r="C16" s="227"/>
      <c r="D16" s="225">
        <v>2871</v>
      </c>
      <c r="E16" s="926">
        <f>2871+2535</f>
        <v>5406</v>
      </c>
    </row>
    <row r="17" spans="1:5" s="69" customFormat="1" ht="12.75">
      <c r="A17" s="201" t="s">
        <v>858</v>
      </c>
      <c r="B17" s="225"/>
      <c r="C17" s="227"/>
      <c r="D17" s="225">
        <v>1993</v>
      </c>
      <c r="E17" s="926">
        <f>1993+450</f>
        <v>2443</v>
      </c>
    </row>
    <row r="18" spans="1:5" s="69" customFormat="1" ht="12.75">
      <c r="A18" s="201" t="s">
        <v>796</v>
      </c>
      <c r="B18" s="225"/>
      <c r="C18" s="227"/>
      <c r="D18" s="225">
        <v>1651</v>
      </c>
      <c r="E18" s="926">
        <v>1651</v>
      </c>
    </row>
    <row r="19" spans="1:5" s="69" customFormat="1" ht="12.75">
      <c r="A19" s="201" t="s">
        <v>953</v>
      </c>
      <c r="B19" s="225"/>
      <c r="C19" s="227"/>
      <c r="D19" s="225">
        <v>1546</v>
      </c>
      <c r="E19" s="926">
        <v>1546</v>
      </c>
    </row>
    <row r="20" spans="1:5" s="69" customFormat="1" ht="12.75">
      <c r="A20" s="201" t="s">
        <v>1048</v>
      </c>
      <c r="B20" s="225"/>
      <c r="C20" s="227"/>
      <c r="D20" s="225"/>
      <c r="E20" s="926">
        <v>225</v>
      </c>
    </row>
    <row r="21" spans="1:5" s="69" customFormat="1" ht="25.5">
      <c r="A21" s="201" t="s">
        <v>1049</v>
      </c>
      <c r="B21" s="225"/>
      <c r="C21" s="227"/>
      <c r="D21" s="225"/>
      <c r="E21" s="926">
        <v>129</v>
      </c>
    </row>
    <row r="22" spans="1:5" s="69" customFormat="1" ht="12.75">
      <c r="A22" s="201"/>
      <c r="B22" s="225"/>
      <c r="C22" s="227"/>
      <c r="D22" s="225"/>
      <c r="E22" s="926"/>
    </row>
    <row r="23" spans="1:5" s="69" customFormat="1" ht="12.75">
      <c r="A23" s="927" t="s">
        <v>323</v>
      </c>
      <c r="B23" s="226"/>
      <c r="C23" s="227"/>
      <c r="D23" s="226">
        <f>SUM(D24)</f>
        <v>1645</v>
      </c>
      <c r="E23" s="928">
        <f>SUM(E24)</f>
        <v>1645</v>
      </c>
    </row>
    <row r="24" spans="1:5" s="69" customFormat="1" ht="12.75">
      <c r="A24" s="201" t="s">
        <v>926</v>
      </c>
      <c r="B24" s="226"/>
      <c r="C24" s="227"/>
      <c r="D24" s="225">
        <v>1645</v>
      </c>
      <c r="E24" s="926">
        <v>1645</v>
      </c>
    </row>
    <row r="25" spans="1:5" s="69" customFormat="1" ht="12.75">
      <c r="A25" s="201"/>
      <c r="B25" s="226"/>
      <c r="C25" s="227"/>
      <c r="D25" s="226"/>
      <c r="E25" s="928"/>
    </row>
    <row r="26" spans="1:5" s="69" customFormat="1" ht="12.75">
      <c r="A26" s="927" t="s">
        <v>750</v>
      </c>
      <c r="B26" s="226">
        <f>SUM(B8+B23)</f>
        <v>130967</v>
      </c>
      <c r="C26" s="226">
        <f>SUM(C8+C23)</f>
        <v>0</v>
      </c>
      <c r="D26" s="226">
        <f>SUM(D8+D23)</f>
        <v>200500</v>
      </c>
      <c r="E26" s="928">
        <f>SUM(E8+E23)</f>
        <v>183259</v>
      </c>
    </row>
    <row r="27" spans="1:5" s="69" customFormat="1" ht="12.75">
      <c r="A27" s="201"/>
      <c r="B27" s="226"/>
      <c r="C27" s="227"/>
      <c r="D27" s="226"/>
      <c r="E27" s="928"/>
    </row>
    <row r="28" spans="1:5" s="68" customFormat="1" ht="12.75">
      <c r="A28" s="927" t="s">
        <v>324</v>
      </c>
      <c r="B28" s="226">
        <f>SUM(B29:B29)</f>
        <v>0</v>
      </c>
      <c r="C28" s="226">
        <f aca="true" t="shared" si="1" ref="C28">SUM(C29:C29)</f>
        <v>0</v>
      </c>
      <c r="D28" s="226">
        <f>SUM(D29:D30)</f>
        <v>11492</v>
      </c>
      <c r="E28" s="928">
        <f>SUM(E29:E30)</f>
        <v>11492</v>
      </c>
    </row>
    <row r="29" spans="1:5" s="69" customFormat="1" ht="12.75">
      <c r="A29" s="201" t="s">
        <v>797</v>
      </c>
      <c r="B29" s="225"/>
      <c r="C29" s="227"/>
      <c r="D29" s="225">
        <v>1492</v>
      </c>
      <c r="E29" s="926">
        <v>1492</v>
      </c>
    </row>
    <row r="30" spans="1:5" s="69" customFormat="1" ht="12.75">
      <c r="A30" s="201" t="s">
        <v>1012</v>
      </c>
      <c r="B30" s="225"/>
      <c r="C30" s="227"/>
      <c r="D30" s="225">
        <v>10000</v>
      </c>
      <c r="E30" s="926">
        <v>10000</v>
      </c>
    </row>
    <row r="31" spans="1:5" s="69" customFormat="1" ht="12.75">
      <c r="A31" s="201"/>
      <c r="B31" s="225"/>
      <c r="C31" s="227"/>
      <c r="D31" s="225"/>
      <c r="E31" s="926"/>
    </row>
    <row r="32" spans="1:5" s="68" customFormat="1" ht="12.75">
      <c r="A32" s="927" t="s">
        <v>325</v>
      </c>
      <c r="B32" s="226">
        <f>SUM(B33:B34)</f>
        <v>65989</v>
      </c>
      <c r="C32" s="226">
        <f aca="true" t="shared" si="2" ref="C32">SUM(C33:C34)</f>
        <v>0</v>
      </c>
      <c r="D32" s="226">
        <f>SUM(D33:D35)</f>
        <v>80179</v>
      </c>
      <c r="E32" s="928">
        <f>SUM(E33:E35)</f>
        <v>16190</v>
      </c>
    </row>
    <row r="33" spans="1:5" s="68" customFormat="1" ht="12.75">
      <c r="A33" s="201" t="s">
        <v>326</v>
      </c>
      <c r="B33" s="225">
        <v>2000</v>
      </c>
      <c r="C33" s="228"/>
      <c r="D33" s="225">
        <v>2000</v>
      </c>
      <c r="E33" s="926">
        <v>2000</v>
      </c>
    </row>
    <row r="34" spans="1:5" s="68" customFormat="1" ht="12.75">
      <c r="A34" s="201" t="s">
        <v>751</v>
      </c>
      <c r="B34" s="225">
        <f>6500+57489</f>
        <v>63989</v>
      </c>
      <c r="C34" s="228"/>
      <c r="D34" s="225">
        <v>63989</v>
      </c>
      <c r="E34" s="926">
        <v>0</v>
      </c>
    </row>
    <row r="35" spans="1:5" s="68" customFormat="1" ht="12.75">
      <c r="A35" s="201" t="s">
        <v>993</v>
      </c>
      <c r="B35" s="225"/>
      <c r="C35" s="228"/>
      <c r="D35" s="225">
        <v>14190</v>
      </c>
      <c r="E35" s="926">
        <v>14190</v>
      </c>
    </row>
    <row r="36" spans="1:5" s="68" customFormat="1" ht="12.75">
      <c r="A36" s="201"/>
      <c r="B36" s="225"/>
      <c r="C36" s="228"/>
      <c r="D36" s="225"/>
      <c r="E36" s="926"/>
    </row>
    <row r="37" spans="1:5" s="68" customFormat="1" ht="26.25" customHeight="1">
      <c r="A37" s="927" t="s">
        <v>752</v>
      </c>
      <c r="B37" s="226">
        <f>SUM(B28+B32)</f>
        <v>65989</v>
      </c>
      <c r="C37" s="226">
        <f aca="true" t="shared" si="3" ref="C37">SUM(C28+C32)</f>
        <v>0</v>
      </c>
      <c r="D37" s="226">
        <f>SUM(D28+D32)</f>
        <v>91671</v>
      </c>
      <c r="E37" s="928">
        <f>SUM(E28+E32)</f>
        <v>27682</v>
      </c>
    </row>
    <row r="38" spans="1:5" s="69" customFormat="1" ht="12.75">
      <c r="A38" s="201"/>
      <c r="B38" s="225"/>
      <c r="C38" s="227"/>
      <c r="D38" s="225"/>
      <c r="E38" s="926"/>
    </row>
    <row r="39" spans="1:5" s="68" customFormat="1" ht="12.75">
      <c r="A39" s="927" t="s">
        <v>327</v>
      </c>
      <c r="B39" s="226">
        <f>SUM(B40:B40)</f>
        <v>0</v>
      </c>
      <c r="C39" s="226">
        <f aca="true" t="shared" si="4" ref="C39">SUM(C40:C40)</f>
        <v>0</v>
      </c>
      <c r="D39" s="226">
        <f>SUM(D40:D41)</f>
        <v>46266</v>
      </c>
      <c r="E39" s="928">
        <f>SUM(E40:E41)</f>
        <v>46266</v>
      </c>
    </row>
    <row r="40" spans="1:5" s="68" customFormat="1" ht="12.75">
      <c r="A40" s="201" t="s">
        <v>573</v>
      </c>
      <c r="B40" s="225"/>
      <c r="C40" s="228"/>
      <c r="D40" s="225">
        <v>24788</v>
      </c>
      <c r="E40" s="926">
        <v>24788</v>
      </c>
    </row>
    <row r="41" spans="1:5" s="68" customFormat="1" ht="12.75">
      <c r="A41" s="201" t="s">
        <v>754</v>
      </c>
      <c r="B41" s="225"/>
      <c r="C41" s="228"/>
      <c r="D41" s="225">
        <v>21478</v>
      </c>
      <c r="E41" s="926">
        <v>21478</v>
      </c>
    </row>
    <row r="42" spans="1:5" s="68" customFormat="1" ht="12.75">
      <c r="A42" s="201"/>
      <c r="B42" s="226"/>
      <c r="C42" s="228"/>
      <c r="D42" s="226"/>
      <c r="E42" s="928"/>
    </row>
    <row r="43" spans="1:5" s="68" customFormat="1" ht="25.5" customHeight="1">
      <c r="A43" s="927" t="s">
        <v>328</v>
      </c>
      <c r="B43" s="226"/>
      <c r="C43" s="228"/>
      <c r="D43" s="226">
        <f>SUM(D39)</f>
        <v>46266</v>
      </c>
      <c r="E43" s="928">
        <f>SUM(E39)</f>
        <v>46266</v>
      </c>
    </row>
    <row r="44" spans="1:5" s="68" customFormat="1" ht="12.75">
      <c r="A44" s="201"/>
      <c r="B44" s="225"/>
      <c r="C44" s="227"/>
      <c r="D44" s="225"/>
      <c r="E44" s="926"/>
    </row>
    <row r="45" spans="1:5" s="68" customFormat="1" ht="12.75">
      <c r="A45" s="927" t="s">
        <v>329</v>
      </c>
      <c r="B45" s="226">
        <f>SUM(B46:B46)</f>
        <v>0</v>
      </c>
      <c r="C45" s="226">
        <f aca="true" t="shared" si="5" ref="C45">SUM(C46:C46)</f>
        <v>0</v>
      </c>
      <c r="D45" s="226">
        <f>SUM(D46:D46)</f>
        <v>160</v>
      </c>
      <c r="E45" s="928">
        <f>SUM(E46:E46)</f>
        <v>160</v>
      </c>
    </row>
    <row r="46" spans="1:5" s="69" customFormat="1" ht="12.75">
      <c r="A46" s="201" t="s">
        <v>753</v>
      </c>
      <c r="B46" s="225"/>
      <c r="C46" s="227"/>
      <c r="D46" s="225">
        <v>160</v>
      </c>
      <c r="E46" s="926">
        <v>160</v>
      </c>
    </row>
    <row r="47" spans="1:5" s="68" customFormat="1" ht="12" customHeight="1">
      <c r="A47" s="201"/>
      <c r="B47" s="225"/>
      <c r="C47" s="227"/>
      <c r="D47" s="225"/>
      <c r="E47" s="926"/>
    </row>
    <row r="48" spans="1:5" s="69" customFormat="1" ht="26.25" customHeight="1">
      <c r="A48" s="927" t="s">
        <v>330</v>
      </c>
      <c r="B48" s="226">
        <f>SUM(B49:B50)</f>
        <v>1196</v>
      </c>
      <c r="C48" s="226">
        <f aca="true" t="shared" si="6" ref="C48">SUM(C49:C50)</f>
        <v>0</v>
      </c>
      <c r="D48" s="226">
        <f>SUM(D49:D51)</f>
        <v>3748</v>
      </c>
      <c r="E48" s="928">
        <f>SUM(E49:E51)</f>
        <v>3748</v>
      </c>
    </row>
    <row r="49" spans="1:5" s="69" customFormat="1" ht="12.75">
      <c r="A49" s="201" t="s">
        <v>331</v>
      </c>
      <c r="B49" s="225">
        <v>1100</v>
      </c>
      <c r="C49" s="227"/>
      <c r="D49" s="225">
        <v>1100</v>
      </c>
      <c r="E49" s="926">
        <v>1100</v>
      </c>
    </row>
    <row r="50" spans="1:5" s="68" customFormat="1" ht="12.75">
      <c r="A50" s="201" t="s">
        <v>798</v>
      </c>
      <c r="B50" s="225">
        <v>96</v>
      </c>
      <c r="C50" s="227"/>
      <c r="D50" s="225">
        <v>48</v>
      </c>
      <c r="E50" s="926">
        <v>48</v>
      </c>
    </row>
    <row r="51" spans="1:5" s="69" customFormat="1" ht="12.75">
      <c r="A51" s="201" t="s">
        <v>799</v>
      </c>
      <c r="B51" s="225"/>
      <c r="C51" s="227"/>
      <c r="D51" s="225">
        <v>2600</v>
      </c>
      <c r="E51" s="926">
        <v>2600</v>
      </c>
    </row>
    <row r="52" spans="1:5" s="68" customFormat="1" ht="12.75">
      <c r="A52" s="201"/>
      <c r="B52" s="225"/>
      <c r="C52" s="227"/>
      <c r="D52" s="225"/>
      <c r="E52" s="926"/>
    </row>
    <row r="53" spans="1:5" s="69" customFormat="1" ht="25.5">
      <c r="A53" s="927" t="s">
        <v>332</v>
      </c>
      <c r="B53" s="226">
        <f>SUM(B45,B48)</f>
        <v>1196</v>
      </c>
      <c r="C53" s="226">
        <f>SUM(C45,C48)</f>
        <v>0</v>
      </c>
      <c r="D53" s="226">
        <f>SUM(D45,D48)</f>
        <v>3908</v>
      </c>
      <c r="E53" s="928">
        <f>SUM(E45,E48)</f>
        <v>3908</v>
      </c>
    </row>
    <row r="54" spans="1:5" s="69" customFormat="1" ht="9.75" customHeight="1">
      <c r="A54" s="201"/>
      <c r="B54" s="225"/>
      <c r="C54" s="227"/>
      <c r="D54" s="225"/>
      <c r="E54" s="926"/>
    </row>
    <row r="55" spans="1:5" s="69" customFormat="1" ht="32.25" customHeight="1" thickBot="1">
      <c r="A55" s="142" t="s">
        <v>333</v>
      </c>
      <c r="B55" s="229">
        <f>SUM(B26,B37,B43,B53)</f>
        <v>198152</v>
      </c>
      <c r="C55" s="229">
        <f>SUM(C26,C37,C43,C53)</f>
        <v>0</v>
      </c>
      <c r="D55" s="229">
        <f>SUM(D26,D37,D43,D53)</f>
        <v>342345</v>
      </c>
      <c r="E55" s="930">
        <f>SUM(E26,E37,E43,E53)</f>
        <v>261115</v>
      </c>
    </row>
    <row r="56" spans="1:5" s="69" customFormat="1" ht="13.5" thickBot="1">
      <c r="A56" s="92"/>
      <c r="B56" s="93"/>
      <c r="C56" s="94"/>
      <c r="D56" s="93"/>
      <c r="E56" s="93"/>
    </row>
    <row r="57" spans="1:5" s="68" customFormat="1" ht="17.25" customHeight="1">
      <c r="A57" s="139" t="s">
        <v>310</v>
      </c>
      <c r="B57" s="224" t="s">
        <v>4</v>
      </c>
      <c r="C57" s="533"/>
      <c r="D57" s="224" t="s">
        <v>861</v>
      </c>
      <c r="E57" s="534" t="s">
        <v>1041</v>
      </c>
    </row>
    <row r="58" spans="1:5" s="83" customFormat="1" ht="12" customHeight="1">
      <c r="A58" s="140"/>
      <c r="B58" s="225"/>
      <c r="C58" s="227"/>
      <c r="D58" s="230"/>
      <c r="E58" s="482"/>
    </row>
    <row r="59" spans="1:5" s="69" customFormat="1" ht="14.25" customHeight="1">
      <c r="A59" s="143" t="s">
        <v>130</v>
      </c>
      <c r="B59" s="231">
        <f>SUM(B61,B69,B67)</f>
        <v>800</v>
      </c>
      <c r="C59" s="231">
        <f>SUM(C61,C69,C67)</f>
        <v>0</v>
      </c>
      <c r="D59" s="231">
        <f>SUM(D61,D69,D67)</f>
        <v>6165</v>
      </c>
      <c r="E59" s="483">
        <f>SUM(E61,E69,E67)</f>
        <v>6809</v>
      </c>
    </row>
    <row r="60" spans="1:5" s="69" customFormat="1" ht="12.75">
      <c r="A60" s="143"/>
      <c r="B60" s="225"/>
      <c r="C60" s="227"/>
      <c r="D60" s="225"/>
      <c r="E60" s="479"/>
    </row>
    <row r="61" spans="1:5" s="79" customFormat="1" ht="12.75">
      <c r="A61" s="141" t="s">
        <v>321</v>
      </c>
      <c r="B61" s="226">
        <f>SUM(B66:B66)</f>
        <v>0</v>
      </c>
      <c r="C61" s="226">
        <f aca="true" t="shared" si="7" ref="C61">SUM(C66:C66)</f>
        <v>0</v>
      </c>
      <c r="D61" s="226">
        <f>SUM(D62:D64)</f>
        <v>5365</v>
      </c>
      <c r="E61" s="480">
        <f>SUM(E62:E65)</f>
        <v>6009</v>
      </c>
    </row>
    <row r="62" spans="1:5" s="79" customFormat="1" ht="12.75">
      <c r="A62" s="201" t="s">
        <v>954</v>
      </c>
      <c r="B62" s="226"/>
      <c r="C62" s="233"/>
      <c r="D62" s="225">
        <v>3688</v>
      </c>
      <c r="E62" s="479">
        <f>3688+144</f>
        <v>3832</v>
      </c>
    </row>
    <row r="63" spans="1:5" s="79" customFormat="1" ht="12.75">
      <c r="A63" s="201" t="s">
        <v>955</v>
      </c>
      <c r="B63" s="226"/>
      <c r="C63" s="233"/>
      <c r="D63" s="225">
        <v>715</v>
      </c>
      <c r="E63" s="479">
        <v>715</v>
      </c>
    </row>
    <row r="64" spans="1:5" s="79" customFormat="1" ht="12.75">
      <c r="A64" s="201" t="s">
        <v>956</v>
      </c>
      <c r="B64" s="226"/>
      <c r="C64" s="233"/>
      <c r="D64" s="225">
        <v>962</v>
      </c>
      <c r="E64" s="479">
        <v>962</v>
      </c>
    </row>
    <row r="65" spans="1:5" s="79" customFormat="1" ht="12.75">
      <c r="A65" s="201" t="s">
        <v>1050</v>
      </c>
      <c r="B65" s="226"/>
      <c r="C65" s="233"/>
      <c r="D65" s="225"/>
      <c r="E65" s="479">
        <v>500</v>
      </c>
    </row>
    <row r="66" spans="1:5" s="69" customFormat="1" ht="12.75">
      <c r="A66" s="140"/>
      <c r="B66" s="225"/>
      <c r="C66" s="227"/>
      <c r="D66" s="225"/>
      <c r="E66" s="479"/>
    </row>
    <row r="67" spans="1:5" s="69" customFormat="1" ht="12.75">
      <c r="A67" s="141" t="s">
        <v>327</v>
      </c>
      <c r="B67" s="226">
        <f>SUM(B68)</f>
        <v>0</v>
      </c>
      <c r="C67" s="226">
        <f aca="true" t="shared" si="8" ref="C67">SUM(C68)</f>
        <v>0</v>
      </c>
      <c r="D67" s="226">
        <f>SUM(D68)</f>
        <v>0</v>
      </c>
      <c r="E67" s="480">
        <f>SUM(E68)</f>
        <v>0</v>
      </c>
    </row>
    <row r="68" spans="1:5" s="69" customFormat="1" ht="12.75">
      <c r="A68" s="140"/>
      <c r="B68" s="225"/>
      <c r="C68" s="227"/>
      <c r="D68" s="225"/>
      <c r="E68" s="479"/>
    </row>
    <row r="69" spans="1:5" s="69" customFormat="1" ht="12.75">
      <c r="A69" s="141" t="s">
        <v>330</v>
      </c>
      <c r="B69" s="226">
        <f>SUM(B70:B71)</f>
        <v>800</v>
      </c>
      <c r="C69" s="226">
        <f aca="true" t="shared" si="9" ref="C69">SUM(C70:C71)</f>
        <v>0</v>
      </c>
      <c r="D69" s="226">
        <f>SUM(D70:D71)</f>
        <v>800</v>
      </c>
      <c r="E69" s="480">
        <f>SUM(E70:E71)</f>
        <v>800</v>
      </c>
    </row>
    <row r="70" spans="1:5" s="69" customFormat="1" ht="12.75">
      <c r="A70" s="140" t="s">
        <v>334</v>
      </c>
      <c r="B70" s="225">
        <v>800</v>
      </c>
      <c r="C70" s="227"/>
      <c r="D70" s="225">
        <v>800</v>
      </c>
      <c r="E70" s="479">
        <v>800</v>
      </c>
    </row>
    <row r="71" spans="1:5" s="69" customFormat="1" ht="12.75">
      <c r="A71" s="140"/>
      <c r="B71" s="225"/>
      <c r="C71" s="227"/>
      <c r="D71" s="225"/>
      <c r="E71" s="479"/>
    </row>
    <row r="72" spans="1:5" s="69" customFormat="1" ht="12.75">
      <c r="A72" s="143" t="s">
        <v>335</v>
      </c>
      <c r="B72" s="231">
        <f>SUM(B74)</f>
        <v>6163</v>
      </c>
      <c r="C72" s="231">
        <f aca="true" t="shared" si="10" ref="C72">SUM(C74)</f>
        <v>0</v>
      </c>
      <c r="D72" s="231">
        <f>SUM(D74)</f>
        <v>6430</v>
      </c>
      <c r="E72" s="483">
        <f>SUM(E74)</f>
        <v>6486</v>
      </c>
    </row>
    <row r="73" spans="1:5" s="69" customFormat="1" ht="12.75">
      <c r="A73" s="143"/>
      <c r="B73" s="225"/>
      <c r="C73" s="227"/>
      <c r="D73" s="225"/>
      <c r="E73" s="479"/>
    </row>
    <row r="74" spans="1:5" s="79" customFormat="1" ht="12.75">
      <c r="A74" s="141" t="s">
        <v>321</v>
      </c>
      <c r="B74" s="226">
        <f>SUM(B75)</f>
        <v>6163</v>
      </c>
      <c r="C74" s="226">
        <f aca="true" t="shared" si="11" ref="C74">SUM(C75)</f>
        <v>0</v>
      </c>
      <c r="D74" s="226">
        <f>SUM(D75:D76)</f>
        <v>6430</v>
      </c>
      <c r="E74" s="480">
        <f>SUM(E75:E76)</f>
        <v>6486</v>
      </c>
    </row>
    <row r="75" spans="1:5" s="69" customFormat="1" ht="12.75">
      <c r="A75" s="140" t="s">
        <v>800</v>
      </c>
      <c r="B75" s="225">
        <v>6163</v>
      </c>
      <c r="C75" s="227"/>
      <c r="D75" s="225">
        <v>6163</v>
      </c>
      <c r="E75" s="479">
        <v>6163</v>
      </c>
    </row>
    <row r="76" spans="1:5" s="69" customFormat="1" ht="12.75">
      <c r="A76" s="140" t="s">
        <v>954</v>
      </c>
      <c r="B76" s="225"/>
      <c r="C76" s="227"/>
      <c r="D76" s="225">
        <v>267</v>
      </c>
      <c r="E76" s="479">
        <f>267+56</f>
        <v>323</v>
      </c>
    </row>
    <row r="77" spans="1:5" s="69" customFormat="1" ht="12.75">
      <c r="A77" s="201"/>
      <c r="B77" s="225"/>
      <c r="C77" s="227"/>
      <c r="D77" s="225"/>
      <c r="E77" s="479"/>
    </row>
    <row r="78" spans="1:5" s="69" customFormat="1" ht="12.75">
      <c r="A78" s="143" t="s">
        <v>336</v>
      </c>
      <c r="B78" s="231">
        <f>SUM(B80)</f>
        <v>8128</v>
      </c>
      <c r="C78" s="231">
        <f aca="true" t="shared" si="12" ref="C78">SUM(C80)</f>
        <v>0</v>
      </c>
      <c r="D78" s="231">
        <f>SUM(D80)</f>
        <v>8395</v>
      </c>
      <c r="E78" s="483">
        <f>SUM(E80)</f>
        <v>8448</v>
      </c>
    </row>
    <row r="79" spans="1:5" s="69" customFormat="1" ht="12.75">
      <c r="A79" s="143"/>
      <c r="B79" s="225"/>
      <c r="C79" s="227"/>
      <c r="D79" s="225"/>
      <c r="E79" s="479"/>
    </row>
    <row r="80" spans="1:5" s="69" customFormat="1" ht="12.75">
      <c r="A80" s="141" t="s">
        <v>321</v>
      </c>
      <c r="B80" s="226">
        <f>SUM(B81)</f>
        <v>8128</v>
      </c>
      <c r="C80" s="226">
        <f aca="true" t="shared" si="13" ref="C80">SUM(C81)</f>
        <v>0</v>
      </c>
      <c r="D80" s="226">
        <f>SUM(D81:D82)</f>
        <v>8395</v>
      </c>
      <c r="E80" s="480">
        <f>SUM(E81:E82)</f>
        <v>8448</v>
      </c>
    </row>
    <row r="81" spans="1:5" s="69" customFormat="1" ht="12.75">
      <c r="A81" s="140" t="s">
        <v>337</v>
      </c>
      <c r="B81" s="225">
        <v>8128</v>
      </c>
      <c r="C81" s="227"/>
      <c r="D81" s="225">
        <v>8128</v>
      </c>
      <c r="E81" s="479">
        <v>8128</v>
      </c>
    </row>
    <row r="82" spans="1:5" s="69" customFormat="1" ht="12.75">
      <c r="A82" s="140" t="s">
        <v>954</v>
      </c>
      <c r="B82" s="225"/>
      <c r="C82" s="227"/>
      <c r="D82" s="225">
        <v>267</v>
      </c>
      <c r="E82" s="479">
        <f>267+53</f>
        <v>320</v>
      </c>
    </row>
    <row r="83" spans="1:5" s="69" customFormat="1" ht="12.75">
      <c r="A83" s="201"/>
      <c r="B83" s="225"/>
      <c r="C83" s="227"/>
      <c r="D83" s="225"/>
      <c r="E83" s="479"/>
    </row>
    <row r="84" spans="1:5" s="69" customFormat="1" ht="12.75">
      <c r="A84" s="143" t="s">
        <v>338</v>
      </c>
      <c r="B84" s="231">
        <f>SUM(B86)</f>
        <v>4372</v>
      </c>
      <c r="C84" s="231">
        <f aca="true" t="shared" si="14" ref="C84">SUM(C86)</f>
        <v>4072</v>
      </c>
      <c r="D84" s="231">
        <f>SUM(D86)</f>
        <v>4810</v>
      </c>
      <c r="E84" s="483">
        <f>SUM(E86)</f>
        <v>4811</v>
      </c>
    </row>
    <row r="85" spans="1:5" s="69" customFormat="1" ht="12.75">
      <c r="A85" s="143"/>
      <c r="B85" s="225"/>
      <c r="C85" s="227"/>
      <c r="D85" s="225"/>
      <c r="E85" s="479"/>
    </row>
    <row r="86" spans="1:5" s="79" customFormat="1" ht="12.75">
      <c r="A86" s="141" t="s">
        <v>321</v>
      </c>
      <c r="B86" s="226">
        <f>SUM(B87)</f>
        <v>4372</v>
      </c>
      <c r="C86" s="226">
        <f aca="true" t="shared" si="15" ref="C86">SUM(C87)</f>
        <v>4072</v>
      </c>
      <c r="D86" s="226">
        <f>SUM(D87:D88)</f>
        <v>4810</v>
      </c>
      <c r="E86" s="480">
        <f>SUM(E87:E88)</f>
        <v>4811</v>
      </c>
    </row>
    <row r="87" spans="1:5" s="69" customFormat="1" ht="12.75">
      <c r="A87" s="140" t="s">
        <v>339</v>
      </c>
      <c r="B87" s="225">
        <v>4372</v>
      </c>
      <c r="C87" s="227">
        <v>4072</v>
      </c>
      <c r="D87" s="225">
        <v>4626</v>
      </c>
      <c r="E87" s="479">
        <v>4626</v>
      </c>
    </row>
    <row r="88" spans="1:5" s="68" customFormat="1" ht="12.75">
      <c r="A88" s="140" t="s">
        <v>954</v>
      </c>
      <c r="B88" s="225"/>
      <c r="C88" s="227"/>
      <c r="D88" s="225">
        <v>184</v>
      </c>
      <c r="E88" s="479">
        <v>185</v>
      </c>
    </row>
    <row r="89" spans="1:5" s="68" customFormat="1" ht="12.75">
      <c r="A89" s="201"/>
      <c r="B89" s="225"/>
      <c r="C89" s="227"/>
      <c r="D89" s="225"/>
      <c r="E89" s="479"/>
    </row>
    <row r="90" spans="1:5" s="69" customFormat="1" ht="13.5">
      <c r="A90" s="144" t="s">
        <v>340</v>
      </c>
      <c r="B90" s="232">
        <f>SUM(B61,B74,B80,B86)</f>
        <v>18663</v>
      </c>
      <c r="C90" s="232">
        <f>SUM(C61,C74,C80,C86)</f>
        <v>4072</v>
      </c>
      <c r="D90" s="232">
        <f>SUM(D61,D74,D80,D86)</f>
        <v>25000</v>
      </c>
      <c r="E90" s="484">
        <f>SUM(E61,E74,E80,E86)</f>
        <v>25754</v>
      </c>
    </row>
    <row r="91" spans="1:5" s="69" customFormat="1" ht="12.75">
      <c r="A91" s="140"/>
      <c r="B91" s="225"/>
      <c r="C91" s="227"/>
      <c r="D91" s="225"/>
      <c r="E91" s="479"/>
    </row>
    <row r="92" spans="1:5" s="76" customFormat="1" ht="13.5">
      <c r="A92" s="144" t="s">
        <v>341</v>
      </c>
      <c r="B92" s="232">
        <f>SUM(B69,B67)</f>
        <v>800</v>
      </c>
      <c r="C92" s="232">
        <f>SUM(C69,C67)</f>
        <v>0</v>
      </c>
      <c r="D92" s="232">
        <f>SUM(D69,D67)</f>
        <v>800</v>
      </c>
      <c r="E92" s="484">
        <f>SUM(E69,E67)</f>
        <v>800</v>
      </c>
    </row>
    <row r="93" spans="1:5" s="69" customFormat="1" ht="12.75">
      <c r="A93" s="140"/>
      <c r="B93" s="226"/>
      <c r="C93" s="227"/>
      <c r="D93" s="226"/>
      <c r="E93" s="480"/>
    </row>
    <row r="94" spans="1:5" s="76" customFormat="1" ht="44.25" customHeight="1" thickBot="1">
      <c r="A94" s="142" t="s">
        <v>342</v>
      </c>
      <c r="B94" s="229">
        <f>SUM(B90,B92)</f>
        <v>19463</v>
      </c>
      <c r="C94" s="229">
        <f aca="true" t="shared" si="16" ref="C94">SUM(C90,C92)</f>
        <v>4072</v>
      </c>
      <c r="D94" s="229">
        <f>SUM(D90,D92)</f>
        <v>25800</v>
      </c>
      <c r="E94" s="481">
        <f>SUM(E90,E92)</f>
        <v>26554</v>
      </c>
    </row>
    <row r="96" spans="1:10" ht="12.75">
      <c r="A96" s="1035" t="s">
        <v>1167</v>
      </c>
      <c r="B96" s="1035"/>
      <c r="C96" s="1035"/>
      <c r="D96" s="1035"/>
      <c r="E96" s="1035"/>
      <c r="F96" s="1035"/>
      <c r="G96" s="1035"/>
      <c r="H96" s="1035"/>
      <c r="I96" s="1035"/>
      <c r="J96" s="1035"/>
    </row>
    <row r="97" spans="1:10" ht="12.75">
      <c r="A97" s="1035" t="s">
        <v>1168</v>
      </c>
      <c r="B97" s="1035"/>
      <c r="C97" s="1035"/>
      <c r="D97" s="1035"/>
      <c r="E97" s="1035"/>
      <c r="F97" s="1035"/>
      <c r="G97" s="1035"/>
      <c r="H97" s="1035"/>
      <c r="I97" s="1035"/>
      <c r="J97" s="1035"/>
    </row>
    <row r="98" spans="1:10" ht="12.75">
      <c r="A98" s="1035" t="s">
        <v>1169</v>
      </c>
      <c r="B98" s="1035"/>
      <c r="C98" s="1035"/>
      <c r="D98" s="1035"/>
      <c r="E98" s="1035"/>
      <c r="F98" s="1035"/>
      <c r="G98" s="1035"/>
      <c r="H98" s="1035"/>
      <c r="I98" s="1035"/>
      <c r="J98" s="1035"/>
    </row>
    <row r="99" spans="1:10" ht="12.75">
      <c r="A99" s="1035" t="s">
        <v>1170</v>
      </c>
      <c r="B99" s="1035"/>
      <c r="C99" s="1035"/>
      <c r="D99" s="1035"/>
      <c r="E99" s="1035"/>
      <c r="F99" s="1035"/>
      <c r="G99" s="1035"/>
      <c r="H99" s="1035"/>
      <c r="I99" s="1035"/>
      <c r="J99" s="1035"/>
    </row>
  </sheetData>
  <mergeCells count="6">
    <mergeCell ref="A99:J99"/>
    <mergeCell ref="A1:E1"/>
    <mergeCell ref="A2:E2"/>
    <mergeCell ref="A96:J96"/>
    <mergeCell ref="A97:J97"/>
    <mergeCell ref="A98:J98"/>
  </mergeCells>
  <printOptions horizontalCentered="1"/>
  <pageMargins left="0.4724409448818898" right="0.2362204724409449" top="0.9448818897637796" bottom="0.7480314960629921" header="0.5118110236220472" footer="0.5118110236220472"/>
  <pageSetup fitToHeight="0" fitToWidth="1" horizontalDpi="300" verticalDpi="300" orientation="portrait" paperSize="9" scale="83" r:id="rId1"/>
  <headerFooter alignWithMargins="0">
    <oddHeader>&amp;L11. melléklet a 1/2017.(II.24.)  önkormányzati rendelethez
11. melléklet a 29/2015.(XII.18.)  önkormányzati rendelethez</oddHeader>
  </headerFooter>
  <rowBreaks count="1" manualBreakCount="1">
    <brk id="55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MJ44"/>
  <sheetViews>
    <sheetView view="pageBreakPreview" zoomScale="90" zoomScaleSheetLayoutView="90" zoomScalePageLayoutView="90" workbookViewId="0" topLeftCell="A16">
      <selection activeCell="A41" sqref="A41:XFD42"/>
    </sheetView>
  </sheetViews>
  <sheetFormatPr defaultColWidth="9.00390625" defaultRowHeight="12.75"/>
  <cols>
    <col min="1" max="1" width="45.375" style="95" customWidth="1"/>
    <col min="2" max="2" width="9.125" style="95" customWidth="1"/>
    <col min="3" max="3" width="12.75390625" style="95" customWidth="1"/>
    <col min="4" max="4" width="12.375" style="95" customWidth="1"/>
    <col min="5" max="1025" width="9.125" style="95" customWidth="1"/>
  </cols>
  <sheetData>
    <row r="1" spans="1:1024" ht="18.75" customHeight="1">
      <c r="A1" s="1129" t="s">
        <v>343</v>
      </c>
      <c r="B1" s="1129"/>
      <c r="C1" s="1129"/>
      <c r="D1" s="1129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4.25" customHeight="1" thickBot="1">
      <c r="A2" s="96"/>
      <c r="B2" s="97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7.75" customHeight="1">
      <c r="A3" s="1130" t="s">
        <v>344</v>
      </c>
      <c r="B3" s="1132" t="s">
        <v>345</v>
      </c>
      <c r="C3" s="1132"/>
      <c r="D3" s="113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32.25" customHeight="1">
      <c r="A4" s="1131"/>
      <c r="B4" s="580" t="s">
        <v>4</v>
      </c>
      <c r="C4" s="580" t="s">
        <v>861</v>
      </c>
      <c r="D4" s="581" t="s">
        <v>1041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customHeight="1">
      <c r="A5" s="582" t="s">
        <v>346</v>
      </c>
      <c r="B5" s="583">
        <v>22</v>
      </c>
      <c r="C5" s="583">
        <v>22</v>
      </c>
      <c r="D5" s="584">
        <v>22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customHeight="1">
      <c r="A6" s="582" t="s">
        <v>347</v>
      </c>
      <c r="B6" s="583">
        <v>18.75</v>
      </c>
      <c r="C6" s="583">
        <v>18.75</v>
      </c>
      <c r="D6" s="584">
        <v>18.75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5" customHeight="1">
      <c r="A7" s="582" t="s">
        <v>348</v>
      </c>
      <c r="B7" s="583">
        <v>3.5</v>
      </c>
      <c r="C7" s="583">
        <v>3.5</v>
      </c>
      <c r="D7" s="584">
        <v>3.5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4" s="98" customFormat="1" ht="15" customHeight="1">
      <c r="A8" s="585" t="s">
        <v>349</v>
      </c>
      <c r="B8" s="586">
        <f>SUM(B6:B7)</f>
        <v>22.25</v>
      </c>
      <c r="C8" s="586">
        <f>SUM(C6:C7)</f>
        <v>22.25</v>
      </c>
      <c r="D8" s="587">
        <f>SUM(D6:D7)</f>
        <v>22.25</v>
      </c>
    </row>
    <row r="9" spans="1:1024" ht="15" customHeight="1">
      <c r="A9" s="582" t="s">
        <v>350</v>
      </c>
      <c r="B9" s="583">
        <v>23</v>
      </c>
      <c r="C9" s="583">
        <v>23</v>
      </c>
      <c r="D9" s="584">
        <v>23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5" customHeight="1">
      <c r="A10" s="582" t="s">
        <v>351</v>
      </c>
      <c r="B10" s="583">
        <v>17.5</v>
      </c>
      <c r="C10" s="583">
        <v>17.5</v>
      </c>
      <c r="D10" s="584">
        <v>17.5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5" customHeight="1">
      <c r="A11" s="582" t="s">
        <v>352</v>
      </c>
      <c r="B11" s="583">
        <v>17</v>
      </c>
      <c r="C11" s="583">
        <v>17</v>
      </c>
      <c r="D11" s="584">
        <v>17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5" customHeight="1">
      <c r="A12" s="582" t="s">
        <v>353</v>
      </c>
      <c r="B12" s="583">
        <v>7</v>
      </c>
      <c r="C12" s="583">
        <v>7</v>
      </c>
      <c r="D12" s="584">
        <v>7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4" s="98" customFormat="1" ht="15" customHeight="1">
      <c r="A13" s="585" t="s">
        <v>354</v>
      </c>
      <c r="B13" s="586">
        <f>SUM(B11:B12)</f>
        <v>24</v>
      </c>
      <c r="C13" s="586">
        <f>SUM(C11:C12)</f>
        <v>24</v>
      </c>
      <c r="D13" s="587">
        <f>SUM(D11:D12)</f>
        <v>24</v>
      </c>
    </row>
    <row r="14" spans="1:4" s="98" customFormat="1" ht="15" customHeight="1">
      <c r="A14" s="585" t="s">
        <v>355</v>
      </c>
      <c r="B14" s="586">
        <f>SUM(B5,B8,B9,B10,B13)</f>
        <v>108.75</v>
      </c>
      <c r="C14" s="586">
        <f>SUM(C5,C8,C9,C10,C13)</f>
        <v>108.75</v>
      </c>
      <c r="D14" s="587">
        <f>SUM(D5,D8,D9,D10,D13)</f>
        <v>108.75</v>
      </c>
    </row>
    <row r="15" spans="1:1024" ht="15" customHeight="1">
      <c r="A15" s="582" t="s">
        <v>356</v>
      </c>
      <c r="B15" s="583">
        <v>34</v>
      </c>
      <c r="C15" s="583">
        <v>36</v>
      </c>
      <c r="D15" s="584">
        <v>36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5.75" customHeight="1">
      <c r="A16" s="582" t="s">
        <v>357</v>
      </c>
      <c r="B16" s="583">
        <v>9.5</v>
      </c>
      <c r="C16" s="583">
        <v>9.5</v>
      </c>
      <c r="D16" s="584">
        <v>9.5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5" customHeight="1">
      <c r="A17" s="582" t="s">
        <v>358</v>
      </c>
      <c r="B17" s="583">
        <v>20.5</v>
      </c>
      <c r="C17" s="583">
        <v>20.5</v>
      </c>
      <c r="D17" s="584">
        <v>20.5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15" customHeight="1">
      <c r="A18" s="582" t="s">
        <v>359</v>
      </c>
      <c r="B18" s="583">
        <v>10</v>
      </c>
      <c r="C18" s="583">
        <v>10</v>
      </c>
      <c r="D18" s="584">
        <v>10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15" customHeight="1">
      <c r="A19" s="588" t="s">
        <v>191</v>
      </c>
      <c r="B19" s="583">
        <v>38</v>
      </c>
      <c r="C19" s="583">
        <v>42</v>
      </c>
      <c r="D19" s="584">
        <v>42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15" customHeight="1">
      <c r="A20" s="589" t="s">
        <v>360</v>
      </c>
      <c r="B20" s="590">
        <f>B14+B15+B16+B17+B18+B19</f>
        <v>220.75</v>
      </c>
      <c r="C20" s="590">
        <f>C14+C15+C16+C17+C18+C19</f>
        <v>226.75</v>
      </c>
      <c r="D20" s="591">
        <f>D14+D15+D16+D17+D18+D19</f>
        <v>226.75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15" customHeight="1">
      <c r="A21" s="582"/>
      <c r="B21" s="583"/>
      <c r="C21" s="583"/>
      <c r="D21" s="584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15" customHeight="1">
      <c r="A22" s="589" t="s">
        <v>82</v>
      </c>
      <c r="B22" s="583"/>
      <c r="C22" s="583"/>
      <c r="D22" s="584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ht="15" customHeight="1">
      <c r="A23" s="582" t="s">
        <v>361</v>
      </c>
      <c r="B23" s="592">
        <v>80</v>
      </c>
      <c r="C23" s="592">
        <v>83</v>
      </c>
      <c r="D23" s="593">
        <v>83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ht="15" customHeight="1">
      <c r="A24" s="594" t="s">
        <v>362</v>
      </c>
      <c r="B24" s="583">
        <v>5</v>
      </c>
      <c r="C24" s="583">
        <v>5</v>
      </c>
      <c r="D24" s="584">
        <v>5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ht="15" customHeight="1">
      <c r="A25" s="582" t="s">
        <v>363</v>
      </c>
      <c r="B25" s="583">
        <v>3</v>
      </c>
      <c r="C25" s="583">
        <v>3</v>
      </c>
      <c r="D25" s="584">
        <v>3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ht="15" customHeight="1">
      <c r="A26" s="582" t="s">
        <v>364</v>
      </c>
      <c r="B26" s="583">
        <v>6</v>
      </c>
      <c r="C26" s="583">
        <v>6</v>
      </c>
      <c r="D26" s="584">
        <v>6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ht="15" customHeight="1">
      <c r="A27" s="589" t="s">
        <v>365</v>
      </c>
      <c r="B27" s="590">
        <f>SUM(B23:B26)</f>
        <v>94</v>
      </c>
      <c r="C27" s="590">
        <f>SUM(C23:C26)</f>
        <v>97</v>
      </c>
      <c r="D27" s="591">
        <f>SUM(D23:D26)</f>
        <v>97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ht="15" customHeight="1">
      <c r="A28" s="589"/>
      <c r="B28" s="583"/>
      <c r="C28" s="583"/>
      <c r="D28" s="584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ht="15" customHeight="1">
      <c r="A29" s="589" t="s">
        <v>1052</v>
      </c>
      <c r="B29" s="590">
        <v>2</v>
      </c>
      <c r="C29" s="590">
        <v>2</v>
      </c>
      <c r="D29" s="591">
        <v>2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ht="15" customHeight="1">
      <c r="A30" s="582"/>
      <c r="B30" s="583"/>
      <c r="C30" s="583"/>
      <c r="D30" s="584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ht="15" customHeight="1" thickBot="1">
      <c r="A31" s="595" t="s">
        <v>68</v>
      </c>
      <c r="B31" s="596">
        <f>SUM(B20+B27+B29)</f>
        <v>316.75</v>
      </c>
      <c r="C31" s="596">
        <f>SUM(C20+C27+C29)</f>
        <v>325.75</v>
      </c>
      <c r="D31" s="597">
        <f>SUM(D20+D27+D29)</f>
        <v>325.75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ht="18.75">
      <c r="A32" s="100"/>
      <c r="B32" s="101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ht="15.75">
      <c r="A33" s="102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ht="12.75">
      <c r="A34" s="1134" t="s">
        <v>366</v>
      </c>
      <c r="B34" s="1134"/>
      <c r="C34" s="1134"/>
      <c r="D34" s="11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ht="13.5" thickBo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ht="12.75">
      <c r="A36" s="1135" t="s">
        <v>3</v>
      </c>
      <c r="B36" s="1137" t="s">
        <v>367</v>
      </c>
      <c r="C36" s="1137"/>
      <c r="D36" s="1138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ht="15.75" customHeight="1">
      <c r="A37" s="1136"/>
      <c r="B37" s="580" t="s">
        <v>4</v>
      </c>
      <c r="C37" s="580" t="s">
        <v>861</v>
      </c>
      <c r="D37" s="581" t="s">
        <v>1041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ht="12.75">
      <c r="A38" s="598" t="s">
        <v>368</v>
      </c>
      <c r="B38" s="592">
        <v>131</v>
      </c>
      <c r="C38" s="592">
        <v>131</v>
      </c>
      <c r="D38" s="593">
        <v>107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4" s="99" customFormat="1" ht="13.5" thickBot="1">
      <c r="A39" s="599" t="s">
        <v>369</v>
      </c>
      <c r="B39" s="600">
        <f>SUM(B38)</f>
        <v>131</v>
      </c>
      <c r="C39" s="600">
        <f>SUM(C38)</f>
        <v>131</v>
      </c>
      <c r="D39" s="579">
        <f>SUM(D38)</f>
        <v>107</v>
      </c>
    </row>
    <row r="41" spans="1:10" ht="12.75">
      <c r="A41" s="1035" t="s">
        <v>1171</v>
      </c>
      <c r="B41" s="1035"/>
      <c r="C41" s="1035"/>
      <c r="D41" s="1035"/>
      <c r="E41" s="1035"/>
      <c r="F41" s="1035"/>
      <c r="G41" s="1035"/>
      <c r="H41" s="1035"/>
      <c r="I41" s="1035"/>
      <c r="J41" s="1035"/>
    </row>
    <row r="42" spans="1:10" ht="12.75">
      <c r="A42" s="1035" t="s">
        <v>1172</v>
      </c>
      <c r="B42" s="1035"/>
      <c r="C42" s="1035"/>
      <c r="D42" s="1035"/>
      <c r="E42" s="1035"/>
      <c r="F42" s="1035"/>
      <c r="G42" s="1035"/>
      <c r="H42" s="1035"/>
      <c r="I42" s="1035"/>
      <c r="J42" s="1035"/>
    </row>
    <row r="43" spans="1:10" ht="12.75">
      <c r="A43" s="1035" t="s">
        <v>1173</v>
      </c>
      <c r="B43" s="1035"/>
      <c r="C43" s="1035"/>
      <c r="D43" s="1035"/>
      <c r="E43" s="1035"/>
      <c r="F43" s="1035"/>
      <c r="G43" s="1035"/>
      <c r="H43" s="1035"/>
      <c r="I43" s="1035"/>
      <c r="J43" s="1035"/>
    </row>
    <row r="44" spans="1:10" ht="12.75">
      <c r="A44" s="1035" t="s">
        <v>1174</v>
      </c>
      <c r="B44" s="1035"/>
      <c r="C44" s="1035"/>
      <c r="D44" s="1035"/>
      <c r="E44" s="1035"/>
      <c r="F44" s="1035"/>
      <c r="G44" s="1035"/>
      <c r="H44" s="1035"/>
      <c r="I44" s="1035"/>
      <c r="J44" s="1035"/>
    </row>
  </sheetData>
  <mergeCells count="10">
    <mergeCell ref="A41:J41"/>
    <mergeCell ref="A42:J42"/>
    <mergeCell ref="A43:J43"/>
    <mergeCell ref="A44:J44"/>
    <mergeCell ref="A1:D1"/>
    <mergeCell ref="A3:A4"/>
    <mergeCell ref="B3:D3"/>
    <mergeCell ref="A34:D34"/>
    <mergeCell ref="A36:A37"/>
    <mergeCell ref="B36:D3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6" r:id="rId1"/>
  <headerFooter>
    <oddHeader>&amp;L12. melléklet a 1/2017.(II.24.) önkormányzati rendelethez
12. melléklet a 29/2015.(XII.18.)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38"/>
  <sheetViews>
    <sheetView view="pageBreakPreview" zoomScale="60" workbookViewId="0" topLeftCell="A22">
      <selection activeCell="A35" sqref="A35:J38"/>
    </sheetView>
  </sheetViews>
  <sheetFormatPr defaultColWidth="9.00390625" defaultRowHeight="12.75"/>
  <cols>
    <col min="1" max="1" width="6.00390625" style="0" customWidth="1"/>
    <col min="2" max="2" width="15.125" style="0" customWidth="1"/>
    <col min="3" max="4" width="12.75390625" style="0" customWidth="1"/>
    <col min="5" max="5" width="14.00390625" style="0" customWidth="1"/>
    <col min="6" max="7" width="11.75390625" style="0" customWidth="1"/>
    <col min="8" max="8" width="14.375" style="0" customWidth="1"/>
    <col min="9" max="9" width="10.625" style="0" customWidth="1"/>
    <col min="10" max="10" width="11.75390625" style="0" customWidth="1"/>
    <col min="11" max="11" width="11.00390625" style="0" customWidth="1"/>
  </cols>
  <sheetData>
    <row r="1" spans="1:11" ht="12.75">
      <c r="A1" s="1142" t="s">
        <v>863</v>
      </c>
      <c r="B1" s="1142"/>
      <c r="C1" s="1142"/>
      <c r="D1" s="1142"/>
      <c r="E1" s="1142"/>
      <c r="F1" s="1142"/>
      <c r="G1" s="1142"/>
      <c r="H1" s="1142"/>
      <c r="I1" s="1142"/>
      <c r="J1" s="1142"/>
      <c r="K1" s="1142"/>
    </row>
    <row r="2" spans="1:10" ht="12.75">
      <c r="A2" s="343"/>
      <c r="B2" s="343"/>
      <c r="C2" s="343"/>
      <c r="D2" s="343"/>
      <c r="E2" s="343"/>
      <c r="F2" s="343"/>
      <c r="G2" s="343"/>
      <c r="H2" s="343"/>
      <c r="I2" s="343"/>
      <c r="J2" s="343"/>
    </row>
    <row r="3" spans="1:11" ht="12.75">
      <c r="A3" s="1140" t="s">
        <v>864</v>
      </c>
      <c r="B3" s="1140"/>
      <c r="C3" s="1140"/>
      <c r="D3" s="1140"/>
      <c r="E3" s="1140"/>
      <c r="F3" s="1140"/>
      <c r="G3" s="1140"/>
      <c r="H3" s="1140"/>
      <c r="I3" s="1140"/>
      <c r="J3" s="1140"/>
      <c r="K3" s="1140"/>
    </row>
    <row r="4" spans="1:10" ht="12.75">
      <c r="A4" s="1140"/>
      <c r="B4" s="1140"/>
      <c r="C4" s="1140"/>
      <c r="D4" s="1140"/>
      <c r="E4" s="1140"/>
      <c r="F4" s="1140"/>
      <c r="G4" s="1140"/>
      <c r="H4" s="1140"/>
      <c r="I4" s="1140"/>
      <c r="J4" s="344"/>
    </row>
    <row r="5" spans="1:10" ht="15.75">
      <c r="A5" s="345"/>
      <c r="B5" s="345"/>
      <c r="C5" s="345"/>
      <c r="D5" s="345"/>
      <c r="E5" s="345"/>
      <c r="F5" s="345"/>
      <c r="G5" s="345"/>
      <c r="H5" s="345"/>
      <c r="I5" s="346"/>
      <c r="J5" s="346"/>
    </row>
    <row r="6" spans="1:11" ht="77.25" customHeight="1">
      <c r="A6" s="1141" t="s">
        <v>3</v>
      </c>
      <c r="B6" s="1141"/>
      <c r="C6" s="347" t="s">
        <v>865</v>
      </c>
      <c r="D6" s="347" t="s">
        <v>905</v>
      </c>
      <c r="E6" s="493" t="s">
        <v>1094</v>
      </c>
      <c r="F6" s="347" t="s">
        <v>866</v>
      </c>
      <c r="G6" s="347" t="s">
        <v>906</v>
      </c>
      <c r="H6" s="493" t="s">
        <v>1093</v>
      </c>
      <c r="I6" s="347" t="s">
        <v>1095</v>
      </c>
      <c r="J6" s="347" t="s">
        <v>1096</v>
      </c>
      <c r="K6" s="493" t="s">
        <v>1097</v>
      </c>
    </row>
    <row r="7" spans="1:11" ht="12.75">
      <c r="A7" s="1139" t="s">
        <v>867</v>
      </c>
      <c r="B7" s="1139"/>
      <c r="C7" s="348">
        <v>166394</v>
      </c>
      <c r="D7" s="348">
        <v>166394</v>
      </c>
      <c r="E7" s="348">
        <v>166394</v>
      </c>
      <c r="F7" s="348">
        <v>650000</v>
      </c>
      <c r="G7" s="348">
        <v>650000</v>
      </c>
      <c r="H7" s="348">
        <v>608368</v>
      </c>
      <c r="I7" s="349">
        <f aca="true" t="shared" si="0" ref="I7:I33">C7+F7</f>
        <v>816394</v>
      </c>
      <c r="J7" s="349">
        <f>D7+G7</f>
        <v>816394</v>
      </c>
      <c r="K7" s="349">
        <f aca="true" t="shared" si="1" ref="K7:K33">E7+H7</f>
        <v>774762</v>
      </c>
    </row>
    <row r="8" spans="1:11" ht="12.75">
      <c r="A8" s="350"/>
      <c r="B8" s="350" t="s">
        <v>868</v>
      </c>
      <c r="C8" s="348">
        <v>35030</v>
      </c>
      <c r="D8" s="348">
        <v>35030</v>
      </c>
      <c r="E8" s="348">
        <v>35030</v>
      </c>
      <c r="F8" s="348">
        <v>38235</v>
      </c>
      <c r="G8" s="348">
        <v>38235</v>
      </c>
      <c r="H8" s="348">
        <v>35787</v>
      </c>
      <c r="I8" s="349">
        <f t="shared" si="0"/>
        <v>73265</v>
      </c>
      <c r="J8" s="349">
        <f aca="true" t="shared" si="2" ref="J8:J33">D8+G8</f>
        <v>73265</v>
      </c>
      <c r="K8" s="349">
        <f t="shared" si="1"/>
        <v>70817</v>
      </c>
    </row>
    <row r="9" spans="1:11" ht="12.75">
      <c r="A9" s="351"/>
      <c r="B9" s="350" t="s">
        <v>869</v>
      </c>
      <c r="C9" s="348">
        <v>3583</v>
      </c>
      <c r="D9" s="348">
        <v>3583</v>
      </c>
      <c r="E9" s="348">
        <v>3237</v>
      </c>
      <c r="F9" s="348">
        <v>18107</v>
      </c>
      <c r="G9" s="348">
        <v>18107</v>
      </c>
      <c r="H9" s="348">
        <v>14905</v>
      </c>
      <c r="I9" s="349">
        <f t="shared" si="0"/>
        <v>21690</v>
      </c>
      <c r="J9" s="349">
        <f t="shared" si="2"/>
        <v>21690</v>
      </c>
      <c r="K9" s="349">
        <f t="shared" si="1"/>
        <v>18142</v>
      </c>
    </row>
    <row r="10" spans="1:11" ht="12.75">
      <c r="A10" s="1139" t="s">
        <v>870</v>
      </c>
      <c r="B10" s="1139"/>
      <c r="C10" s="348">
        <f aca="true" t="shared" si="3" ref="C10:F10">C7-C8</f>
        <v>131364</v>
      </c>
      <c r="D10" s="348">
        <f t="shared" si="3"/>
        <v>131364</v>
      </c>
      <c r="E10" s="348">
        <v>140121</v>
      </c>
      <c r="F10" s="348">
        <f t="shared" si="3"/>
        <v>611765</v>
      </c>
      <c r="G10" s="348">
        <f>G7-G8</f>
        <v>611765</v>
      </c>
      <c r="H10" s="348">
        <v>572581</v>
      </c>
      <c r="I10" s="349">
        <f t="shared" si="0"/>
        <v>743129</v>
      </c>
      <c r="J10" s="349">
        <f t="shared" si="2"/>
        <v>743129</v>
      </c>
      <c r="K10" s="349">
        <f t="shared" si="1"/>
        <v>712702</v>
      </c>
    </row>
    <row r="11" spans="1:11" ht="12.75">
      <c r="A11" s="351"/>
      <c r="B11" s="350" t="s">
        <v>868</v>
      </c>
      <c r="C11" s="348">
        <v>35030</v>
      </c>
      <c r="D11" s="348">
        <v>35030</v>
      </c>
      <c r="E11" s="348">
        <v>43788</v>
      </c>
      <c r="F11" s="348">
        <v>76471</v>
      </c>
      <c r="G11" s="348">
        <v>76471</v>
      </c>
      <c r="H11" s="348">
        <v>71573</v>
      </c>
      <c r="I11" s="349">
        <f t="shared" si="0"/>
        <v>111501</v>
      </c>
      <c r="J11" s="349">
        <f t="shared" si="2"/>
        <v>111501</v>
      </c>
      <c r="K11" s="349">
        <f t="shared" si="1"/>
        <v>115361</v>
      </c>
    </row>
    <row r="12" spans="1:11" ht="12.75">
      <c r="A12" s="351"/>
      <c r="B12" s="350" t="s">
        <v>869</v>
      </c>
      <c r="C12" s="348">
        <v>2755</v>
      </c>
      <c r="D12" s="348">
        <v>2755</v>
      </c>
      <c r="E12" s="348">
        <v>2101</v>
      </c>
      <c r="F12" s="348">
        <v>16460</v>
      </c>
      <c r="G12" s="348">
        <v>16460</v>
      </c>
      <c r="H12" s="348">
        <v>9223</v>
      </c>
      <c r="I12" s="349">
        <f t="shared" si="0"/>
        <v>19215</v>
      </c>
      <c r="J12" s="349">
        <f t="shared" si="2"/>
        <v>19215</v>
      </c>
      <c r="K12" s="349">
        <f t="shared" si="1"/>
        <v>11324</v>
      </c>
    </row>
    <row r="13" spans="1:11" ht="12.75">
      <c r="A13" s="1139" t="s">
        <v>871</v>
      </c>
      <c r="B13" s="1139"/>
      <c r="C13" s="348">
        <f aca="true" t="shared" si="4" ref="C13:G13">C10-C11</f>
        <v>96334</v>
      </c>
      <c r="D13" s="348">
        <f t="shared" si="4"/>
        <v>96334</v>
      </c>
      <c r="E13" s="348">
        <f aca="true" t="shared" si="5" ref="E13">E10-E11</f>
        <v>96333</v>
      </c>
      <c r="F13" s="348">
        <f t="shared" si="4"/>
        <v>535294</v>
      </c>
      <c r="G13" s="348">
        <f t="shared" si="4"/>
        <v>535294</v>
      </c>
      <c r="H13" s="348">
        <f aca="true" t="shared" si="6" ref="H13">H10-H11</f>
        <v>501008</v>
      </c>
      <c r="I13" s="349">
        <f t="shared" si="0"/>
        <v>631628</v>
      </c>
      <c r="J13" s="349">
        <f t="shared" si="2"/>
        <v>631628</v>
      </c>
      <c r="K13" s="349">
        <f t="shared" si="1"/>
        <v>597341</v>
      </c>
    </row>
    <row r="14" spans="1:11" ht="12.75">
      <c r="A14" s="351"/>
      <c r="B14" s="350" t="s">
        <v>868</v>
      </c>
      <c r="C14" s="348">
        <v>35030</v>
      </c>
      <c r="D14" s="348">
        <v>35030</v>
      </c>
      <c r="E14" s="348">
        <v>35030</v>
      </c>
      <c r="F14" s="348">
        <v>76471</v>
      </c>
      <c r="G14" s="348">
        <v>76471</v>
      </c>
      <c r="H14" s="348">
        <v>71573</v>
      </c>
      <c r="I14" s="349">
        <f t="shared" si="0"/>
        <v>111501</v>
      </c>
      <c r="J14" s="349">
        <f t="shared" si="2"/>
        <v>111501</v>
      </c>
      <c r="K14" s="349">
        <f t="shared" si="1"/>
        <v>106603</v>
      </c>
    </row>
    <row r="15" spans="1:11" ht="12.75">
      <c r="A15" s="351"/>
      <c r="B15" s="350" t="s">
        <v>869</v>
      </c>
      <c r="C15" s="348">
        <v>1938</v>
      </c>
      <c r="D15" s="348">
        <v>1938</v>
      </c>
      <c r="E15" s="348">
        <v>1011</v>
      </c>
      <c r="F15" s="348">
        <v>14335</v>
      </c>
      <c r="G15" s="348">
        <v>14335</v>
      </c>
      <c r="H15" s="348">
        <v>8032</v>
      </c>
      <c r="I15" s="349">
        <f t="shared" si="0"/>
        <v>16273</v>
      </c>
      <c r="J15" s="349">
        <f t="shared" si="2"/>
        <v>16273</v>
      </c>
      <c r="K15" s="349">
        <f t="shared" si="1"/>
        <v>9043</v>
      </c>
    </row>
    <row r="16" spans="1:11" ht="12.75">
      <c r="A16" s="1139" t="s">
        <v>872</v>
      </c>
      <c r="B16" s="1139"/>
      <c r="C16" s="348">
        <f aca="true" t="shared" si="7" ref="C16:G16">C13-C14</f>
        <v>61304</v>
      </c>
      <c r="D16" s="348">
        <f t="shared" si="7"/>
        <v>61304</v>
      </c>
      <c r="E16" s="348">
        <f aca="true" t="shared" si="8" ref="E16">E13-E14</f>
        <v>61303</v>
      </c>
      <c r="F16" s="348">
        <f t="shared" si="7"/>
        <v>458823</v>
      </c>
      <c r="G16" s="348">
        <f t="shared" si="7"/>
        <v>458823</v>
      </c>
      <c r="H16" s="348">
        <f aca="true" t="shared" si="9" ref="H16">H13-H14</f>
        <v>429435</v>
      </c>
      <c r="I16" s="349">
        <f t="shared" si="0"/>
        <v>520127</v>
      </c>
      <c r="J16" s="349">
        <f t="shared" si="2"/>
        <v>520127</v>
      </c>
      <c r="K16" s="349">
        <f t="shared" si="1"/>
        <v>490738</v>
      </c>
    </row>
    <row r="17" spans="1:11" ht="12.75">
      <c r="A17" s="351"/>
      <c r="B17" s="350" t="s">
        <v>868</v>
      </c>
      <c r="C17" s="348">
        <v>35030</v>
      </c>
      <c r="D17" s="348">
        <v>35030</v>
      </c>
      <c r="E17" s="348">
        <v>35030</v>
      </c>
      <c r="F17" s="348">
        <v>76471</v>
      </c>
      <c r="G17" s="348">
        <v>76471</v>
      </c>
      <c r="H17" s="348">
        <v>71573</v>
      </c>
      <c r="I17" s="349">
        <f t="shared" si="0"/>
        <v>111501</v>
      </c>
      <c r="J17" s="349">
        <f t="shared" si="2"/>
        <v>111501</v>
      </c>
      <c r="K17" s="349">
        <f t="shared" si="1"/>
        <v>106603</v>
      </c>
    </row>
    <row r="18" spans="1:11" ht="12.75">
      <c r="A18" s="351"/>
      <c r="B18" s="350" t="s">
        <v>869</v>
      </c>
      <c r="C18" s="348">
        <v>1121</v>
      </c>
      <c r="D18" s="348">
        <v>1121</v>
      </c>
      <c r="E18" s="348">
        <v>585</v>
      </c>
      <c r="F18" s="348">
        <v>12211</v>
      </c>
      <c r="G18" s="348">
        <v>12211</v>
      </c>
      <c r="H18" s="348">
        <v>6842</v>
      </c>
      <c r="I18" s="349">
        <f t="shared" si="0"/>
        <v>13332</v>
      </c>
      <c r="J18" s="349">
        <f t="shared" si="2"/>
        <v>13332</v>
      </c>
      <c r="K18" s="349">
        <f t="shared" si="1"/>
        <v>7427</v>
      </c>
    </row>
    <row r="19" spans="1:11" ht="12.75">
      <c r="A19" s="1139" t="s">
        <v>873</v>
      </c>
      <c r="B19" s="1139"/>
      <c r="C19" s="348">
        <f aca="true" t="shared" si="10" ref="C19:G19">C16-C17</f>
        <v>26274</v>
      </c>
      <c r="D19" s="348">
        <f t="shared" si="10"/>
        <v>26274</v>
      </c>
      <c r="E19" s="348">
        <f aca="true" t="shared" si="11" ref="E19">E16-E17</f>
        <v>26273</v>
      </c>
      <c r="F19" s="348">
        <f t="shared" si="10"/>
        <v>382352</v>
      </c>
      <c r="G19" s="348">
        <f t="shared" si="10"/>
        <v>382352</v>
      </c>
      <c r="H19" s="348">
        <f aca="true" t="shared" si="12" ref="H19">H16-H17</f>
        <v>357862</v>
      </c>
      <c r="I19" s="349">
        <f t="shared" si="0"/>
        <v>408626</v>
      </c>
      <c r="J19" s="349">
        <f t="shared" si="2"/>
        <v>408626</v>
      </c>
      <c r="K19" s="349">
        <f t="shared" si="1"/>
        <v>384135</v>
      </c>
    </row>
    <row r="20" spans="1:11" ht="12.75">
      <c r="A20" s="351"/>
      <c r="B20" s="350" t="s">
        <v>868</v>
      </c>
      <c r="C20" s="348">
        <v>26274</v>
      </c>
      <c r="D20" s="348">
        <v>26274</v>
      </c>
      <c r="E20" s="348">
        <v>26273</v>
      </c>
      <c r="F20" s="348">
        <v>76471</v>
      </c>
      <c r="G20" s="348">
        <v>76471</v>
      </c>
      <c r="H20" s="348">
        <v>71573</v>
      </c>
      <c r="I20" s="349">
        <f t="shared" si="0"/>
        <v>102745</v>
      </c>
      <c r="J20" s="349">
        <f t="shared" si="2"/>
        <v>102745</v>
      </c>
      <c r="K20" s="349">
        <f t="shared" si="1"/>
        <v>97846</v>
      </c>
    </row>
    <row r="21" spans="1:11" ht="12.75">
      <c r="A21" s="351"/>
      <c r="B21" s="350" t="s">
        <v>869</v>
      </c>
      <c r="C21" s="348">
        <v>298</v>
      </c>
      <c r="D21" s="348">
        <v>298</v>
      </c>
      <c r="E21" s="348">
        <v>155</v>
      </c>
      <c r="F21" s="348">
        <v>10116</v>
      </c>
      <c r="G21" s="348">
        <v>10116</v>
      </c>
      <c r="H21" s="348">
        <v>5652</v>
      </c>
      <c r="I21" s="349">
        <f t="shared" si="0"/>
        <v>10414</v>
      </c>
      <c r="J21" s="349">
        <f t="shared" si="2"/>
        <v>10414</v>
      </c>
      <c r="K21" s="349">
        <f t="shared" si="1"/>
        <v>5807</v>
      </c>
    </row>
    <row r="22" spans="1:11" ht="12.75">
      <c r="A22" s="1139" t="s">
        <v>874</v>
      </c>
      <c r="B22" s="1139"/>
      <c r="C22" s="348"/>
      <c r="D22" s="348"/>
      <c r="E22" s="348"/>
      <c r="F22" s="348">
        <f>F19-F20</f>
        <v>305881</v>
      </c>
      <c r="G22" s="348">
        <f>G19-G20</f>
        <v>305881</v>
      </c>
      <c r="H22" s="348">
        <f>H19-H20</f>
        <v>286289</v>
      </c>
      <c r="I22" s="349">
        <f t="shared" si="0"/>
        <v>305881</v>
      </c>
      <c r="J22" s="349">
        <f t="shared" si="2"/>
        <v>305881</v>
      </c>
      <c r="K22" s="349">
        <f t="shared" si="1"/>
        <v>286289</v>
      </c>
    </row>
    <row r="23" spans="1:11" ht="12.75">
      <c r="A23" s="351"/>
      <c r="B23" s="350" t="s">
        <v>868</v>
      </c>
      <c r="C23" s="348"/>
      <c r="D23" s="348"/>
      <c r="E23" s="348"/>
      <c r="F23" s="348">
        <v>76471</v>
      </c>
      <c r="G23" s="348">
        <v>76471</v>
      </c>
      <c r="H23" s="348">
        <v>71573</v>
      </c>
      <c r="I23" s="349">
        <f t="shared" si="0"/>
        <v>76471</v>
      </c>
      <c r="J23" s="349">
        <f t="shared" si="2"/>
        <v>76471</v>
      </c>
      <c r="K23" s="349">
        <f t="shared" si="1"/>
        <v>71573</v>
      </c>
    </row>
    <row r="24" spans="1:11" ht="12.75">
      <c r="A24" s="351"/>
      <c r="B24" s="350" t="s">
        <v>869</v>
      </c>
      <c r="C24" s="348"/>
      <c r="D24" s="348"/>
      <c r="E24" s="348"/>
      <c r="F24" s="348">
        <v>7962</v>
      </c>
      <c r="G24" s="348">
        <v>7962</v>
      </c>
      <c r="H24" s="348">
        <v>4462</v>
      </c>
      <c r="I24" s="349">
        <f t="shared" si="0"/>
        <v>7962</v>
      </c>
      <c r="J24" s="349">
        <f t="shared" si="2"/>
        <v>7962</v>
      </c>
      <c r="K24" s="349">
        <f t="shared" si="1"/>
        <v>4462</v>
      </c>
    </row>
    <row r="25" spans="1:11" ht="12.75">
      <c r="A25" s="1139" t="s">
        <v>875</v>
      </c>
      <c r="B25" s="1139"/>
      <c r="C25" s="348"/>
      <c r="D25" s="348"/>
      <c r="E25" s="348"/>
      <c r="F25" s="348">
        <f>F22-F23</f>
        <v>229410</v>
      </c>
      <c r="G25" s="348">
        <f>G22-G23</f>
        <v>229410</v>
      </c>
      <c r="H25" s="348">
        <f>H22-H23</f>
        <v>214716</v>
      </c>
      <c r="I25" s="349">
        <f t="shared" si="0"/>
        <v>229410</v>
      </c>
      <c r="J25" s="349">
        <f t="shared" si="2"/>
        <v>229410</v>
      </c>
      <c r="K25" s="349">
        <f t="shared" si="1"/>
        <v>214716</v>
      </c>
    </row>
    <row r="26" spans="1:11" ht="12.75">
      <c r="A26" s="351"/>
      <c r="B26" s="350" t="s">
        <v>868</v>
      </c>
      <c r="C26" s="348"/>
      <c r="D26" s="348"/>
      <c r="E26" s="348"/>
      <c r="F26" s="348">
        <v>76471</v>
      </c>
      <c r="G26" s="348">
        <v>76471</v>
      </c>
      <c r="H26" s="348">
        <v>71573</v>
      </c>
      <c r="I26" s="349">
        <f t="shared" si="0"/>
        <v>76471</v>
      </c>
      <c r="J26" s="349">
        <f t="shared" si="2"/>
        <v>76471</v>
      </c>
      <c r="K26" s="349">
        <f t="shared" si="1"/>
        <v>71573</v>
      </c>
    </row>
    <row r="27" spans="1:11" ht="12.75">
      <c r="A27" s="351"/>
      <c r="B27" s="350" t="s">
        <v>869</v>
      </c>
      <c r="C27" s="348"/>
      <c r="D27" s="348"/>
      <c r="E27" s="348"/>
      <c r="F27" s="348">
        <v>5838</v>
      </c>
      <c r="G27" s="348">
        <v>5838</v>
      </c>
      <c r="H27" s="348">
        <v>3272</v>
      </c>
      <c r="I27" s="349">
        <f t="shared" si="0"/>
        <v>5838</v>
      </c>
      <c r="J27" s="349">
        <f t="shared" si="2"/>
        <v>5838</v>
      </c>
      <c r="K27" s="349">
        <f t="shared" si="1"/>
        <v>3272</v>
      </c>
    </row>
    <row r="28" spans="1:11" ht="12.75">
      <c r="A28" s="1139" t="s">
        <v>876</v>
      </c>
      <c r="B28" s="1139"/>
      <c r="C28" s="348"/>
      <c r="D28" s="348"/>
      <c r="E28" s="348"/>
      <c r="F28" s="348">
        <f>F25-F26</f>
        <v>152939</v>
      </c>
      <c r="G28" s="348">
        <f>G25-G26</f>
        <v>152939</v>
      </c>
      <c r="H28" s="348">
        <f>H25-H26</f>
        <v>143143</v>
      </c>
      <c r="I28" s="349">
        <f t="shared" si="0"/>
        <v>152939</v>
      </c>
      <c r="J28" s="349">
        <f t="shared" si="2"/>
        <v>152939</v>
      </c>
      <c r="K28" s="349">
        <f t="shared" si="1"/>
        <v>143143</v>
      </c>
    </row>
    <row r="29" spans="1:11" ht="12.75">
      <c r="A29" s="351"/>
      <c r="B29" s="350" t="s">
        <v>868</v>
      </c>
      <c r="C29" s="348"/>
      <c r="D29" s="348"/>
      <c r="E29" s="348"/>
      <c r="F29" s="348">
        <v>76471</v>
      </c>
      <c r="G29" s="348">
        <v>76471</v>
      </c>
      <c r="H29" s="348">
        <v>71573</v>
      </c>
      <c r="I29" s="349">
        <f t="shared" si="0"/>
        <v>76471</v>
      </c>
      <c r="J29" s="349">
        <f t="shared" si="2"/>
        <v>76471</v>
      </c>
      <c r="K29" s="349">
        <f t="shared" si="1"/>
        <v>71573</v>
      </c>
    </row>
    <row r="30" spans="1:11" ht="12.75">
      <c r="A30" s="351"/>
      <c r="B30" s="350" t="s">
        <v>869</v>
      </c>
      <c r="C30" s="348"/>
      <c r="D30" s="348"/>
      <c r="E30" s="348"/>
      <c r="F30" s="348">
        <v>3713</v>
      </c>
      <c r="G30" s="348">
        <v>3713</v>
      </c>
      <c r="H30" s="348">
        <v>2082</v>
      </c>
      <c r="I30" s="349">
        <f t="shared" si="0"/>
        <v>3713</v>
      </c>
      <c r="J30" s="349">
        <f t="shared" si="2"/>
        <v>3713</v>
      </c>
      <c r="K30" s="349">
        <f t="shared" si="1"/>
        <v>2082</v>
      </c>
    </row>
    <row r="31" spans="1:11" ht="12.75">
      <c r="A31" s="1139" t="s">
        <v>877</v>
      </c>
      <c r="B31" s="1139"/>
      <c r="C31" s="348"/>
      <c r="D31" s="348"/>
      <c r="E31" s="348"/>
      <c r="F31" s="348">
        <f>F28-F29</f>
        <v>76468</v>
      </c>
      <c r="G31" s="348">
        <f>G28-G29</f>
        <v>76468</v>
      </c>
      <c r="H31" s="348">
        <f>H28-H29</f>
        <v>71570</v>
      </c>
      <c r="I31" s="349">
        <f t="shared" si="0"/>
        <v>76468</v>
      </c>
      <c r="J31" s="349">
        <f t="shared" si="2"/>
        <v>76468</v>
      </c>
      <c r="K31" s="349">
        <f t="shared" si="1"/>
        <v>71570</v>
      </c>
    </row>
    <row r="32" spans="1:11" ht="12.75">
      <c r="A32" s="351"/>
      <c r="B32" s="350" t="s">
        <v>868</v>
      </c>
      <c r="C32" s="348"/>
      <c r="D32" s="348"/>
      <c r="E32" s="348"/>
      <c r="F32" s="348">
        <v>76468</v>
      </c>
      <c r="G32" s="348">
        <v>76468</v>
      </c>
      <c r="H32" s="348">
        <v>71570</v>
      </c>
      <c r="I32" s="349">
        <f t="shared" si="0"/>
        <v>76468</v>
      </c>
      <c r="J32" s="349">
        <f t="shared" si="2"/>
        <v>76468</v>
      </c>
      <c r="K32" s="349">
        <f t="shared" si="1"/>
        <v>71570</v>
      </c>
    </row>
    <row r="33" spans="1:11" ht="12.75">
      <c r="A33" s="351"/>
      <c r="B33" s="350" t="s">
        <v>869</v>
      </c>
      <c r="C33" s="348"/>
      <c r="D33" s="348"/>
      <c r="E33" s="348"/>
      <c r="F33" s="348">
        <v>1589</v>
      </c>
      <c r="G33" s="348">
        <v>1589</v>
      </c>
      <c r="H33" s="348">
        <v>892</v>
      </c>
      <c r="I33" s="349">
        <f t="shared" si="0"/>
        <v>1589</v>
      </c>
      <c r="J33" s="349">
        <f t="shared" si="2"/>
        <v>1589</v>
      </c>
      <c r="K33" s="349">
        <f t="shared" si="1"/>
        <v>892</v>
      </c>
    </row>
    <row r="34" spans="1:10" ht="12.75">
      <c r="A34" s="352"/>
      <c r="B34" s="352"/>
      <c r="C34" s="352"/>
      <c r="D34" s="352"/>
      <c r="E34" s="352"/>
      <c r="F34" s="352"/>
      <c r="G34" s="352"/>
      <c r="H34" s="352"/>
      <c r="I34" s="352"/>
      <c r="J34" s="352"/>
    </row>
    <row r="35" spans="1:10" ht="12.75">
      <c r="A35" s="1035" t="s">
        <v>1175</v>
      </c>
      <c r="B35" s="1035"/>
      <c r="C35" s="1035"/>
      <c r="D35" s="1035"/>
      <c r="E35" s="1035"/>
      <c r="F35" s="1035"/>
      <c r="G35" s="1035"/>
      <c r="H35" s="1035"/>
      <c r="I35" s="1035"/>
      <c r="J35" s="1035"/>
    </row>
    <row r="36" spans="1:10" ht="12.75">
      <c r="A36" s="1035" t="s">
        <v>1176</v>
      </c>
      <c r="B36" s="1035"/>
      <c r="C36" s="1035"/>
      <c r="D36" s="1035"/>
      <c r="E36" s="1035"/>
      <c r="F36" s="1035"/>
      <c r="G36" s="1035"/>
      <c r="H36" s="1035"/>
      <c r="I36" s="1035"/>
      <c r="J36" s="1035"/>
    </row>
    <row r="37" spans="1:10" ht="12.75">
      <c r="A37" s="1035" t="s">
        <v>1177</v>
      </c>
      <c r="B37" s="1035"/>
      <c r="C37" s="1035"/>
      <c r="D37" s="1035"/>
      <c r="E37" s="1035"/>
      <c r="F37" s="1035"/>
      <c r="G37" s="1035"/>
      <c r="H37" s="1035"/>
      <c r="I37" s="1035"/>
      <c r="J37" s="1035"/>
    </row>
    <row r="38" spans="1:10" ht="12.75">
      <c r="A38" s="1035" t="s">
        <v>1178</v>
      </c>
      <c r="B38" s="1035"/>
      <c r="C38" s="1035"/>
      <c r="D38" s="1035"/>
      <c r="E38" s="1035"/>
      <c r="F38" s="1035"/>
      <c r="G38" s="1035"/>
      <c r="H38" s="1035"/>
      <c r="I38" s="1035"/>
      <c r="J38" s="1035"/>
    </row>
  </sheetData>
  <mergeCells count="17">
    <mergeCell ref="A1:K1"/>
    <mergeCell ref="A3:K3"/>
    <mergeCell ref="A28:B28"/>
    <mergeCell ref="A4:I4"/>
    <mergeCell ref="A6:B6"/>
    <mergeCell ref="A7:B7"/>
    <mergeCell ref="A10:B10"/>
    <mergeCell ref="A13:B13"/>
    <mergeCell ref="A16:B16"/>
    <mergeCell ref="A19:B19"/>
    <mergeCell ref="A22:B22"/>
    <mergeCell ref="A25:B25"/>
    <mergeCell ref="A35:J35"/>
    <mergeCell ref="A36:J36"/>
    <mergeCell ref="A37:J37"/>
    <mergeCell ref="A38:J38"/>
    <mergeCell ref="A31:B31"/>
  </mergeCells>
  <printOptions horizontalCentered="1"/>
  <pageMargins left="0.7086614173228347" right="0.7086614173228347" top="0.7480314960629921" bottom="0.7480314960629921" header="0.5118110236220472" footer="0.31496062992125984"/>
  <pageSetup fitToHeight="1" fitToWidth="1" horizontalDpi="600" verticalDpi="600" orientation="landscape" paperSize="9" scale="91" r:id="rId1"/>
  <headerFooter>
    <oddHeader>&amp;L13. melléklet a 1/2017.(II.24.) önkormányzati rendelethez
13. melléklet a 29/2015.(XII.18.)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27"/>
  <sheetViews>
    <sheetView view="pageBreakPreview" zoomScale="60" workbookViewId="0" topLeftCell="A19">
      <selection activeCell="A28" sqref="A28"/>
    </sheetView>
  </sheetViews>
  <sheetFormatPr defaultColWidth="9.00390625" defaultRowHeight="12.75"/>
  <cols>
    <col min="1" max="1" width="41.125" style="0" customWidth="1"/>
    <col min="2" max="2" width="10.75390625" style="0" customWidth="1"/>
    <col min="3" max="3" width="11.125" style="0" customWidth="1"/>
    <col min="4" max="4" width="10.625" style="0" customWidth="1"/>
    <col min="5" max="5" width="10.875" style="0" customWidth="1"/>
    <col min="6" max="6" width="11.25390625" style="0" customWidth="1"/>
    <col min="7" max="7" width="10.375" style="0" customWidth="1"/>
    <col min="8" max="8" width="10.875" style="0" customWidth="1"/>
    <col min="9" max="9" width="10.375" style="0" customWidth="1"/>
    <col min="10" max="10" width="11.125" style="0" customWidth="1"/>
    <col min="11" max="11" width="12.125" style="0" customWidth="1"/>
  </cols>
  <sheetData>
    <row r="1" spans="1:11" ht="14.25">
      <c r="A1" s="1143" t="s">
        <v>878</v>
      </c>
      <c r="B1" s="1143"/>
      <c r="C1" s="1143"/>
      <c r="D1" s="1143"/>
      <c r="E1" s="1143"/>
      <c r="F1" s="1143"/>
      <c r="G1" s="1143"/>
      <c r="H1" s="1143"/>
      <c r="I1" s="1143"/>
      <c r="J1" s="1143"/>
      <c r="K1" s="1143"/>
    </row>
    <row r="2" spans="1:11" ht="15">
      <c r="A2" s="636"/>
      <c r="B2" s="636"/>
      <c r="C2" s="636"/>
      <c r="D2" s="636"/>
      <c r="E2" s="636"/>
      <c r="F2" s="636"/>
      <c r="G2" s="636"/>
      <c r="H2" s="636"/>
      <c r="I2" s="636"/>
      <c r="J2" s="636"/>
      <c r="K2" s="636"/>
    </row>
    <row r="3" spans="1:11" ht="15.75">
      <c r="A3" s="1144" t="s">
        <v>3</v>
      </c>
      <c r="B3" s="1144" t="s">
        <v>879</v>
      </c>
      <c r="C3" s="1144"/>
      <c r="D3" s="1144"/>
      <c r="E3" s="1144"/>
      <c r="F3" s="1144"/>
      <c r="G3" s="1144"/>
      <c r="H3" s="1144"/>
      <c r="I3" s="1144"/>
      <c r="J3" s="1144"/>
      <c r="K3" s="1144" t="s">
        <v>84</v>
      </c>
    </row>
    <row r="4" spans="1:11" ht="63">
      <c r="A4" s="1144"/>
      <c r="B4" s="353" t="s">
        <v>880</v>
      </c>
      <c r="C4" s="353" t="s">
        <v>881</v>
      </c>
      <c r="D4" s="353" t="s">
        <v>882</v>
      </c>
      <c r="E4" s="353" t="s">
        <v>883</v>
      </c>
      <c r="F4" s="353" t="s">
        <v>884</v>
      </c>
      <c r="G4" s="353" t="s">
        <v>885</v>
      </c>
      <c r="H4" s="353" t="s">
        <v>886</v>
      </c>
      <c r="I4" s="353" t="s">
        <v>887</v>
      </c>
      <c r="J4" s="353" t="s">
        <v>888</v>
      </c>
      <c r="K4" s="1144"/>
    </row>
    <row r="5" spans="1:11" ht="14.25">
      <c r="A5" s="354" t="s">
        <v>889</v>
      </c>
      <c r="B5" s="355">
        <v>1866038</v>
      </c>
      <c r="C5" s="355">
        <v>2014000</v>
      </c>
      <c r="D5" s="355">
        <v>2017000</v>
      </c>
      <c r="E5" s="355">
        <v>2017000</v>
      </c>
      <c r="F5" s="355">
        <v>2017000</v>
      </c>
      <c r="G5" s="355">
        <v>2025000</v>
      </c>
      <c r="H5" s="355">
        <v>2025000</v>
      </c>
      <c r="I5" s="355">
        <v>2025000</v>
      </c>
      <c r="J5" s="355">
        <v>2025000</v>
      </c>
      <c r="K5" s="355">
        <f aca="true" t="shared" si="0" ref="K5:K21">SUM(B5:J5)</f>
        <v>18031038</v>
      </c>
    </row>
    <row r="6" spans="1:11" ht="28.5">
      <c r="A6" s="354" t="s">
        <v>890</v>
      </c>
      <c r="B6" s="355">
        <v>4782</v>
      </c>
      <c r="C6" s="355">
        <v>15735</v>
      </c>
      <c r="D6" s="355">
        <v>3500</v>
      </c>
      <c r="E6" s="355">
        <v>3500</v>
      </c>
      <c r="F6" s="355">
        <v>3800</v>
      </c>
      <c r="G6" s="355">
        <v>3800</v>
      </c>
      <c r="H6" s="355">
        <v>3800</v>
      </c>
      <c r="I6" s="355">
        <v>3800</v>
      </c>
      <c r="J6" s="355">
        <v>3800</v>
      </c>
      <c r="K6" s="355">
        <f t="shared" si="0"/>
        <v>46517</v>
      </c>
    </row>
    <row r="7" spans="1:11" ht="14.25">
      <c r="A7" s="354" t="s">
        <v>891</v>
      </c>
      <c r="B7" s="355">
        <f>SUM(B12+B10+B9+B8+B13)</f>
        <v>143535</v>
      </c>
      <c r="C7" s="355">
        <f aca="true" t="shared" si="1" ref="C7:J7">SUM(C12+C10+C9+C8+C13)</f>
        <v>144506</v>
      </c>
      <c r="D7" s="355">
        <f t="shared" si="1"/>
        <v>94800</v>
      </c>
      <c r="E7" s="355">
        <f t="shared" si="1"/>
        <v>91100</v>
      </c>
      <c r="F7" s="355">
        <f t="shared" si="1"/>
        <v>90100</v>
      </c>
      <c r="G7" s="355">
        <f t="shared" si="1"/>
        <v>89100</v>
      </c>
      <c r="H7" s="355">
        <f t="shared" si="1"/>
        <v>87800</v>
      </c>
      <c r="I7" s="355">
        <f t="shared" si="1"/>
        <v>87800</v>
      </c>
      <c r="J7" s="355">
        <f t="shared" si="1"/>
        <v>87800</v>
      </c>
      <c r="K7" s="355">
        <f t="shared" si="0"/>
        <v>916541</v>
      </c>
    </row>
    <row r="8" spans="1:11" ht="15">
      <c r="A8" s="356" t="s">
        <v>892</v>
      </c>
      <c r="B8" s="357">
        <v>2380</v>
      </c>
      <c r="C8" s="357">
        <v>1500</v>
      </c>
      <c r="D8" s="357">
        <v>1800</v>
      </c>
      <c r="E8" s="357">
        <v>1100</v>
      </c>
      <c r="F8" s="357">
        <v>1100</v>
      </c>
      <c r="G8" s="357">
        <v>1100</v>
      </c>
      <c r="H8" s="357">
        <v>800</v>
      </c>
      <c r="I8" s="357">
        <v>800</v>
      </c>
      <c r="J8" s="357">
        <v>800</v>
      </c>
      <c r="K8" s="355">
        <f t="shared" si="0"/>
        <v>11380</v>
      </c>
    </row>
    <row r="9" spans="1:11" ht="30">
      <c r="A9" s="356" t="s">
        <v>893</v>
      </c>
      <c r="B9" s="357">
        <v>9414</v>
      </c>
      <c r="C9" s="357">
        <v>48244</v>
      </c>
      <c r="D9" s="357">
        <v>10000</v>
      </c>
      <c r="E9" s="357">
        <v>10000</v>
      </c>
      <c r="F9" s="357">
        <v>10000</v>
      </c>
      <c r="G9" s="357">
        <v>10000</v>
      </c>
      <c r="H9" s="357">
        <v>10000</v>
      </c>
      <c r="I9" s="357">
        <v>10000</v>
      </c>
      <c r="J9" s="357">
        <v>10000</v>
      </c>
      <c r="K9" s="355">
        <f t="shared" si="0"/>
        <v>127658</v>
      </c>
    </row>
    <row r="10" spans="1:11" ht="30">
      <c r="A10" s="356" t="s">
        <v>894</v>
      </c>
      <c r="B10" s="357">
        <v>120642</v>
      </c>
      <c r="C10" s="357">
        <v>87862</v>
      </c>
      <c r="D10" s="357">
        <v>71000</v>
      </c>
      <c r="E10" s="357">
        <v>70000</v>
      </c>
      <c r="F10" s="357">
        <v>69000</v>
      </c>
      <c r="G10" s="357">
        <v>68000</v>
      </c>
      <c r="H10" s="357">
        <v>67000</v>
      </c>
      <c r="I10" s="357">
        <v>67000</v>
      </c>
      <c r="J10" s="357">
        <v>67000</v>
      </c>
      <c r="K10" s="355">
        <f t="shared" si="0"/>
        <v>687504</v>
      </c>
    </row>
    <row r="11" spans="1:11" ht="15">
      <c r="A11" s="356" t="s">
        <v>895</v>
      </c>
      <c r="B11" s="357">
        <v>57000</v>
      </c>
      <c r="C11" s="357">
        <v>49800</v>
      </c>
      <c r="D11" s="357">
        <v>38000</v>
      </c>
      <c r="E11" s="357">
        <v>37000</v>
      </c>
      <c r="F11" s="357">
        <v>36000</v>
      </c>
      <c r="G11" s="357">
        <v>35000</v>
      </c>
      <c r="H11" s="357">
        <v>35000</v>
      </c>
      <c r="I11" s="357">
        <v>35000</v>
      </c>
      <c r="J11" s="357">
        <v>35000</v>
      </c>
      <c r="K11" s="355">
        <f t="shared" si="0"/>
        <v>357800</v>
      </c>
    </row>
    <row r="12" spans="1:11" ht="15">
      <c r="A12" s="356" t="s">
        <v>896</v>
      </c>
      <c r="B12" s="357">
        <v>11068</v>
      </c>
      <c r="C12" s="357">
        <v>6900</v>
      </c>
      <c r="D12" s="357">
        <v>12000</v>
      </c>
      <c r="E12" s="357">
        <v>10000</v>
      </c>
      <c r="F12" s="357">
        <v>10000</v>
      </c>
      <c r="G12" s="357">
        <v>10000</v>
      </c>
      <c r="H12" s="357">
        <v>10000</v>
      </c>
      <c r="I12" s="357">
        <v>10000</v>
      </c>
      <c r="J12" s="357">
        <v>10000</v>
      </c>
      <c r="K12" s="355">
        <f t="shared" si="0"/>
        <v>89968</v>
      </c>
    </row>
    <row r="13" spans="1:11" ht="15">
      <c r="A13" s="356" t="s">
        <v>1037</v>
      </c>
      <c r="B13" s="357">
        <v>31</v>
      </c>
      <c r="C13" s="357">
        <v>0</v>
      </c>
      <c r="D13" s="357">
        <v>0</v>
      </c>
      <c r="E13" s="357">
        <v>0</v>
      </c>
      <c r="F13" s="357">
        <v>0</v>
      </c>
      <c r="G13" s="357">
        <v>0</v>
      </c>
      <c r="H13" s="357">
        <v>0</v>
      </c>
      <c r="I13" s="357">
        <v>0</v>
      </c>
      <c r="J13" s="357">
        <v>0</v>
      </c>
      <c r="K13" s="355">
        <f t="shared" si="0"/>
        <v>31</v>
      </c>
    </row>
    <row r="14" spans="1:11" ht="57">
      <c r="A14" s="354" t="s">
        <v>897</v>
      </c>
      <c r="B14" s="355">
        <v>469774</v>
      </c>
      <c r="C14" s="355">
        <v>383913</v>
      </c>
      <c r="D14" s="355">
        <v>69000</v>
      </c>
      <c r="E14" s="355">
        <v>68000</v>
      </c>
      <c r="F14" s="355">
        <v>67000</v>
      </c>
      <c r="G14" s="355">
        <v>66000</v>
      </c>
      <c r="H14" s="355">
        <v>66000</v>
      </c>
      <c r="I14" s="355">
        <v>66000</v>
      </c>
      <c r="J14" s="355">
        <v>66000</v>
      </c>
      <c r="K14" s="355">
        <f t="shared" si="0"/>
        <v>1321687</v>
      </c>
    </row>
    <row r="15" spans="1:11" ht="14.25">
      <c r="A15" s="354" t="s">
        <v>898</v>
      </c>
      <c r="B15" s="355">
        <f>SUM(B5+B6+B7+B14)</f>
        <v>2484129</v>
      </c>
      <c r="C15" s="355">
        <f aca="true" t="shared" si="2" ref="C15:J15">SUM(C5+C6+C7+C14)</f>
        <v>2558154</v>
      </c>
      <c r="D15" s="355">
        <f t="shared" si="2"/>
        <v>2184300</v>
      </c>
      <c r="E15" s="355">
        <f t="shared" si="2"/>
        <v>2179600</v>
      </c>
      <c r="F15" s="355">
        <f t="shared" si="2"/>
        <v>2177900</v>
      </c>
      <c r="G15" s="355">
        <f t="shared" si="2"/>
        <v>2183900</v>
      </c>
      <c r="H15" s="355">
        <f t="shared" si="2"/>
        <v>2182600</v>
      </c>
      <c r="I15" s="355">
        <f t="shared" si="2"/>
        <v>2182600</v>
      </c>
      <c r="J15" s="355">
        <f t="shared" si="2"/>
        <v>2182600</v>
      </c>
      <c r="K15" s="355">
        <f t="shared" si="0"/>
        <v>20315783</v>
      </c>
    </row>
    <row r="16" spans="1:11" ht="14.25">
      <c r="A16" s="354" t="s">
        <v>899</v>
      </c>
      <c r="B16" s="355">
        <f>B15/2-1</f>
        <v>1242063.5</v>
      </c>
      <c r="C16" s="355">
        <f aca="true" t="shared" si="3" ref="C16:J16">C15/2</f>
        <v>1279077</v>
      </c>
      <c r="D16" s="355">
        <f t="shared" si="3"/>
        <v>1092150</v>
      </c>
      <c r="E16" s="355">
        <f t="shared" si="3"/>
        <v>1089800</v>
      </c>
      <c r="F16" s="355">
        <f t="shared" si="3"/>
        <v>1088950</v>
      </c>
      <c r="G16" s="355">
        <f t="shared" si="3"/>
        <v>1091950</v>
      </c>
      <c r="H16" s="355">
        <f t="shared" si="3"/>
        <v>1091300</v>
      </c>
      <c r="I16" s="355">
        <f t="shared" si="3"/>
        <v>1091300</v>
      </c>
      <c r="J16" s="355">
        <f t="shared" si="3"/>
        <v>1091300</v>
      </c>
      <c r="K16" s="355">
        <f t="shared" si="0"/>
        <v>10157890.5</v>
      </c>
    </row>
    <row r="17" spans="1:11" ht="28.5">
      <c r="A17" s="354" t="s">
        <v>900</v>
      </c>
      <c r="B17" s="355">
        <v>88959</v>
      </c>
      <c r="C17" s="355">
        <v>126685</v>
      </c>
      <c r="D17" s="355">
        <v>115646</v>
      </c>
      <c r="E17" s="355">
        <v>114030</v>
      </c>
      <c r="F17" s="355">
        <v>103653</v>
      </c>
      <c r="G17" s="355">
        <v>76035</v>
      </c>
      <c r="H17" s="355">
        <v>74845</v>
      </c>
      <c r="I17" s="355">
        <v>73655</v>
      </c>
      <c r="J17" s="355">
        <v>72462</v>
      </c>
      <c r="K17" s="355">
        <f t="shared" si="0"/>
        <v>845970</v>
      </c>
    </row>
    <row r="18" spans="1:11" ht="30">
      <c r="A18" s="356" t="s">
        <v>901</v>
      </c>
      <c r="B18" s="357">
        <v>88959</v>
      </c>
      <c r="C18" s="357">
        <v>126685</v>
      </c>
      <c r="D18" s="357">
        <v>115646</v>
      </c>
      <c r="E18" s="357">
        <v>114030</v>
      </c>
      <c r="F18" s="357">
        <v>103653</v>
      </c>
      <c r="G18" s="357">
        <v>76035</v>
      </c>
      <c r="H18" s="357">
        <v>74845</v>
      </c>
      <c r="I18" s="357">
        <v>73655</v>
      </c>
      <c r="J18" s="357">
        <v>72462</v>
      </c>
      <c r="K18" s="355">
        <f t="shared" si="0"/>
        <v>845970</v>
      </c>
    </row>
    <row r="19" spans="1:11" ht="42.75">
      <c r="A19" s="354" t="s">
        <v>902</v>
      </c>
      <c r="B19" s="355">
        <v>0</v>
      </c>
      <c r="C19" s="355">
        <v>0</v>
      </c>
      <c r="D19" s="355">
        <v>0</v>
      </c>
      <c r="E19" s="355">
        <v>0</v>
      </c>
      <c r="F19" s="355">
        <v>0</v>
      </c>
      <c r="G19" s="355">
        <v>0</v>
      </c>
      <c r="H19" s="355">
        <v>0</v>
      </c>
      <c r="I19" s="355">
        <v>0</v>
      </c>
      <c r="J19" s="355">
        <v>0</v>
      </c>
      <c r="K19" s="355">
        <f t="shared" si="0"/>
        <v>0</v>
      </c>
    </row>
    <row r="20" spans="1:11" ht="28.5">
      <c r="A20" s="354" t="s">
        <v>903</v>
      </c>
      <c r="B20" s="355">
        <f>B17+B19</f>
        <v>88959</v>
      </c>
      <c r="C20" s="355">
        <f aca="true" t="shared" si="4" ref="C20:J20">C17+C19</f>
        <v>126685</v>
      </c>
      <c r="D20" s="355">
        <f t="shared" si="4"/>
        <v>115646</v>
      </c>
      <c r="E20" s="355">
        <f t="shared" si="4"/>
        <v>114030</v>
      </c>
      <c r="F20" s="355">
        <f t="shared" si="4"/>
        <v>103653</v>
      </c>
      <c r="G20" s="355">
        <f t="shared" si="4"/>
        <v>76035</v>
      </c>
      <c r="H20" s="355">
        <f t="shared" si="4"/>
        <v>74845</v>
      </c>
      <c r="I20" s="355">
        <f t="shared" si="4"/>
        <v>73655</v>
      </c>
      <c r="J20" s="355">
        <f t="shared" si="4"/>
        <v>72462</v>
      </c>
      <c r="K20" s="355">
        <f t="shared" si="0"/>
        <v>845970</v>
      </c>
    </row>
    <row r="21" spans="1:11" ht="28.5">
      <c r="A21" s="358" t="s">
        <v>904</v>
      </c>
      <c r="B21" s="359">
        <f>B16-B20</f>
        <v>1153104.5</v>
      </c>
      <c r="C21" s="359">
        <f aca="true" t="shared" si="5" ref="C21:J21">C16-C20</f>
        <v>1152392</v>
      </c>
      <c r="D21" s="359">
        <f t="shared" si="5"/>
        <v>976504</v>
      </c>
      <c r="E21" s="359">
        <f t="shared" si="5"/>
        <v>975770</v>
      </c>
      <c r="F21" s="359">
        <f t="shared" si="5"/>
        <v>985297</v>
      </c>
      <c r="G21" s="359">
        <f t="shared" si="5"/>
        <v>1015915</v>
      </c>
      <c r="H21" s="359">
        <f t="shared" si="5"/>
        <v>1016455</v>
      </c>
      <c r="I21" s="359">
        <f t="shared" si="5"/>
        <v>1017645</v>
      </c>
      <c r="J21" s="359">
        <f t="shared" si="5"/>
        <v>1018838</v>
      </c>
      <c r="K21" s="359">
        <f t="shared" si="0"/>
        <v>9311920.5</v>
      </c>
    </row>
    <row r="24" spans="1:10" ht="12.75">
      <c r="A24" s="1035" t="s">
        <v>1175</v>
      </c>
      <c r="B24" s="1035"/>
      <c r="C24" s="1035"/>
      <c r="D24" s="1035"/>
      <c r="E24" s="1035"/>
      <c r="F24" s="1035"/>
      <c r="G24" s="1035"/>
      <c r="H24" s="1035"/>
      <c r="I24" s="1035"/>
      <c r="J24" s="1035"/>
    </row>
    <row r="25" spans="1:10" ht="12.75">
      <c r="A25" s="1035" t="s">
        <v>1176</v>
      </c>
      <c r="B25" s="1035"/>
      <c r="C25" s="1035"/>
      <c r="D25" s="1035"/>
      <c r="E25" s="1035"/>
      <c r="F25" s="1035"/>
      <c r="G25" s="1035"/>
      <c r="H25" s="1035"/>
      <c r="I25" s="1035"/>
      <c r="J25" s="1035"/>
    </row>
    <row r="26" spans="1:10" ht="12.75">
      <c r="A26" s="1035" t="s">
        <v>1177</v>
      </c>
      <c r="B26" s="1035"/>
      <c r="C26" s="1035"/>
      <c r="D26" s="1035"/>
      <c r="E26" s="1035"/>
      <c r="F26" s="1035"/>
      <c r="G26" s="1035"/>
      <c r="H26" s="1035"/>
      <c r="I26" s="1035"/>
      <c r="J26" s="1035"/>
    </row>
    <row r="27" spans="1:10" ht="12.75">
      <c r="A27" s="1035" t="s">
        <v>1178</v>
      </c>
      <c r="B27" s="1035"/>
      <c r="C27" s="1035"/>
      <c r="D27" s="1035"/>
      <c r="E27" s="1035"/>
      <c r="F27" s="1035"/>
      <c r="G27" s="1035"/>
      <c r="H27" s="1035"/>
      <c r="I27" s="1035"/>
      <c r="J27" s="1035"/>
    </row>
  </sheetData>
  <mergeCells count="8">
    <mergeCell ref="A25:J25"/>
    <mergeCell ref="A26:J26"/>
    <mergeCell ref="A27:J27"/>
    <mergeCell ref="A1:K1"/>
    <mergeCell ref="A3:A4"/>
    <mergeCell ref="B3:J3"/>
    <mergeCell ref="K3:K4"/>
    <mergeCell ref="A24:J24"/>
  </mergeCells>
  <printOptions horizontalCentered="1"/>
  <pageMargins left="0.7086614173228347" right="0.7086614173228347" top="0.9448818897637796" bottom="0.7480314960629921" header="0.5118110236220472" footer="0.31496062992125984"/>
  <pageSetup fitToHeight="1" fitToWidth="1" horizontalDpi="600" verticalDpi="600" orientation="landscape" paperSize="9" scale="80" r:id="rId1"/>
  <headerFooter>
    <oddHeader>&amp;L13. melléklet a 1/2017.(II.24.)  önkormányzati rendelethez
13. melléklet a 29/2015.(XII.18.) 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J37"/>
  <sheetViews>
    <sheetView view="pageBreakPreview" zoomScale="83" zoomScaleSheetLayoutView="83" workbookViewId="0" topLeftCell="A16">
      <selection activeCell="E42" sqref="E42"/>
    </sheetView>
  </sheetViews>
  <sheetFormatPr defaultColWidth="9.00390625" defaultRowHeight="12.75"/>
  <cols>
    <col min="1" max="1" width="32.25390625" style="103" customWidth="1"/>
    <col min="2" max="4" width="19.125" style="103" customWidth="1"/>
    <col min="5" max="5" width="69.625" style="103" customWidth="1"/>
    <col min="6" max="6" width="16.625" style="103" customWidth="1"/>
    <col min="7" max="7" width="15.625" style="103" customWidth="1"/>
    <col min="8" max="8" width="15.00390625" style="103" customWidth="1"/>
    <col min="9" max="16384" width="9.125" style="103" customWidth="1"/>
  </cols>
  <sheetData>
    <row r="1" s="104" customFormat="1" ht="15.75"/>
    <row r="2" spans="1:8" s="104" customFormat="1" ht="15.75">
      <c r="A2" s="1145" t="s">
        <v>841</v>
      </c>
      <c r="B2" s="1145"/>
      <c r="C2" s="1145"/>
      <c r="D2" s="1145"/>
      <c r="E2" s="1145"/>
      <c r="F2" s="1145"/>
      <c r="G2" s="1145"/>
      <c r="H2" s="1145"/>
    </row>
    <row r="3" s="104" customFormat="1" ht="15.75"/>
    <row r="4" s="104" customFormat="1" ht="15.75">
      <c r="A4" s="105" t="s">
        <v>370</v>
      </c>
    </row>
    <row r="5" s="104" customFormat="1" ht="16.5" thickBot="1"/>
    <row r="6" spans="1:8" s="104" customFormat="1" ht="15.75">
      <c r="A6" s="1146" t="s">
        <v>112</v>
      </c>
      <c r="B6" s="1147"/>
      <c r="C6" s="1147"/>
      <c r="D6" s="1148"/>
      <c r="E6" s="1147" t="s">
        <v>371</v>
      </c>
      <c r="F6" s="1149"/>
      <c r="G6" s="1149"/>
      <c r="H6" s="1150"/>
    </row>
    <row r="7" spans="1:8" s="104" customFormat="1" ht="31.5">
      <c r="A7" s="646" t="s">
        <v>372</v>
      </c>
      <c r="B7" s="647" t="s">
        <v>373</v>
      </c>
      <c r="C7" s="648" t="s">
        <v>862</v>
      </c>
      <c r="D7" s="649" t="s">
        <v>1042</v>
      </c>
      <c r="E7" s="642" t="s">
        <v>372</v>
      </c>
      <c r="F7" s="160" t="s">
        <v>373</v>
      </c>
      <c r="G7" s="332" t="s">
        <v>862</v>
      </c>
      <c r="H7" s="395" t="s">
        <v>1042</v>
      </c>
    </row>
    <row r="8" spans="1:8" s="104" customFormat="1" ht="15.75">
      <c r="A8" s="650" t="s">
        <v>370</v>
      </c>
      <c r="B8" s="485">
        <v>50000</v>
      </c>
      <c r="C8" s="485">
        <v>0</v>
      </c>
      <c r="D8" s="396">
        <v>0</v>
      </c>
      <c r="E8" s="643" t="s">
        <v>12</v>
      </c>
      <c r="F8" s="161">
        <f>SUM(F9:F10)</f>
        <v>50000</v>
      </c>
      <c r="G8" s="333">
        <f>SUM(G9:G10)</f>
        <v>0</v>
      </c>
      <c r="H8" s="396">
        <v>0</v>
      </c>
    </row>
    <row r="9" spans="1:8" s="104" customFormat="1" ht="15.75">
      <c r="A9" s="650"/>
      <c r="B9" s="485"/>
      <c r="C9" s="485"/>
      <c r="D9" s="396"/>
      <c r="E9" s="644" t="s">
        <v>925</v>
      </c>
      <c r="F9" s="162">
        <v>20000</v>
      </c>
      <c r="G9" s="334">
        <v>0</v>
      </c>
      <c r="H9" s="335">
        <v>0</v>
      </c>
    </row>
    <row r="10" spans="1:8" s="104" customFormat="1" ht="15.75">
      <c r="A10" s="650"/>
      <c r="B10" s="485"/>
      <c r="C10" s="485"/>
      <c r="D10" s="396"/>
      <c r="E10" s="644" t="s">
        <v>374</v>
      </c>
      <c r="F10" s="162">
        <v>30000</v>
      </c>
      <c r="G10" s="334">
        <v>0</v>
      </c>
      <c r="H10" s="335">
        <v>0</v>
      </c>
    </row>
    <row r="11" spans="1:8" s="104" customFormat="1" ht="15.75">
      <c r="A11" s="651"/>
      <c r="B11" s="486"/>
      <c r="C11" s="486"/>
      <c r="D11" s="652"/>
      <c r="E11" s="644"/>
      <c r="F11" s="162"/>
      <c r="G11" s="334"/>
      <c r="H11" s="335"/>
    </row>
    <row r="12" spans="1:8" s="104" customFormat="1" ht="16.5" thickBot="1">
      <c r="A12" s="653" t="s">
        <v>84</v>
      </c>
      <c r="B12" s="106">
        <f>SUM(B8:B11)</f>
        <v>50000</v>
      </c>
      <c r="C12" s="106">
        <f>SUM(C8:C11)</f>
        <v>0</v>
      </c>
      <c r="D12" s="397">
        <f>SUM(D8:D11)</f>
        <v>0</v>
      </c>
      <c r="E12" s="645" t="s">
        <v>84</v>
      </c>
      <c r="F12" s="163">
        <f>SUM(F8)</f>
        <v>50000</v>
      </c>
      <c r="G12" s="198">
        <f>SUM(G8)</f>
        <v>0</v>
      </c>
      <c r="H12" s="397">
        <f>SUM(H8)</f>
        <v>0</v>
      </c>
    </row>
    <row r="13" spans="1:8" s="104" customFormat="1" ht="15.75">
      <c r="A13" s="640"/>
      <c r="B13" s="640"/>
      <c r="C13" s="640"/>
      <c r="D13" s="640"/>
      <c r="E13" s="640"/>
      <c r="F13" s="640"/>
      <c r="G13" s="640"/>
      <c r="H13" s="640"/>
    </row>
    <row r="14" spans="1:8" s="104" customFormat="1" ht="15.75">
      <c r="A14" s="490"/>
      <c r="B14" s="490"/>
      <c r="C14" s="490"/>
      <c r="D14" s="490"/>
      <c r="E14" s="490"/>
      <c r="F14" s="490"/>
      <c r="G14" s="490"/>
      <c r="H14" s="490"/>
    </row>
    <row r="15" spans="1:8" s="104" customFormat="1" ht="15.75">
      <c r="A15" s="641" t="s">
        <v>375</v>
      </c>
      <c r="B15" s="490"/>
      <c r="C15" s="490"/>
      <c r="D15" s="490"/>
      <c r="E15" s="490"/>
      <c r="F15" s="490"/>
      <c r="G15" s="490"/>
      <c r="H15" s="490"/>
    </row>
    <row r="16" spans="1:8" s="104" customFormat="1" ht="16.5" thickBot="1">
      <c r="A16" s="490"/>
      <c r="B16" s="490"/>
      <c r="C16" s="490"/>
      <c r="D16" s="490"/>
      <c r="E16" s="490"/>
      <c r="F16" s="490"/>
      <c r="G16" s="490"/>
      <c r="H16" s="490"/>
    </row>
    <row r="17" spans="1:8" s="104" customFormat="1" ht="15.75">
      <c r="A17" s="1151" t="s">
        <v>112</v>
      </c>
      <c r="B17" s="1152"/>
      <c r="C17" s="1152"/>
      <c r="D17" s="1153"/>
      <c r="E17" s="1154" t="s">
        <v>371</v>
      </c>
      <c r="F17" s="1155"/>
      <c r="G17" s="1155"/>
      <c r="H17" s="1156"/>
    </row>
    <row r="18" spans="1:8" s="104" customFormat="1" ht="31.5">
      <c r="A18" s="661" t="s">
        <v>372</v>
      </c>
      <c r="B18" s="647" t="s">
        <v>373</v>
      </c>
      <c r="C18" s="648" t="s">
        <v>862</v>
      </c>
      <c r="D18" s="649" t="s">
        <v>1042</v>
      </c>
      <c r="E18" s="646" t="s">
        <v>372</v>
      </c>
      <c r="F18" s="654" t="s">
        <v>373</v>
      </c>
      <c r="G18" s="332" t="s">
        <v>862</v>
      </c>
      <c r="H18" s="395" t="s">
        <v>1042</v>
      </c>
    </row>
    <row r="19" spans="1:8" s="104" customFormat="1" ht="15.75">
      <c r="A19" s="662" t="s">
        <v>375</v>
      </c>
      <c r="B19" s="487">
        <v>200000</v>
      </c>
      <c r="C19" s="487">
        <v>183862</v>
      </c>
      <c r="D19" s="398">
        <v>183862</v>
      </c>
      <c r="E19" s="656" t="s">
        <v>376</v>
      </c>
      <c r="F19" s="491">
        <f>SUM(F20)</f>
        <v>147300</v>
      </c>
      <c r="G19" s="491">
        <f>SUM(G20+G21)</f>
        <v>135369</v>
      </c>
      <c r="H19" s="398">
        <f>SUM(H20+H21)</f>
        <v>169700</v>
      </c>
    </row>
    <row r="20" spans="1:8" s="104" customFormat="1" ht="15.75">
      <c r="A20" s="173"/>
      <c r="B20" s="488"/>
      <c r="C20" s="488"/>
      <c r="D20" s="399"/>
      <c r="E20" s="657" t="s">
        <v>377</v>
      </c>
      <c r="F20" s="489">
        <v>147300</v>
      </c>
      <c r="G20" s="489">
        <v>131162</v>
      </c>
      <c r="H20" s="399">
        <v>146700</v>
      </c>
    </row>
    <row r="21" spans="1:8" s="104" customFormat="1" ht="31.5">
      <c r="A21" s="173"/>
      <c r="B21" s="488"/>
      <c r="C21" s="488"/>
      <c r="D21" s="399"/>
      <c r="E21" s="657" t="s">
        <v>570</v>
      </c>
      <c r="F21" s="489"/>
      <c r="G21" s="489">
        <v>4207</v>
      </c>
      <c r="H21" s="399">
        <f>23000-12675+12675</f>
        <v>23000</v>
      </c>
    </row>
    <row r="22" spans="1:8" s="104" customFormat="1" ht="15.75">
      <c r="A22" s="173"/>
      <c r="B22" s="488"/>
      <c r="C22" s="488"/>
      <c r="D22" s="399"/>
      <c r="E22" s="658" t="s">
        <v>70</v>
      </c>
      <c r="F22" s="491">
        <f>SUM(F23:F25)</f>
        <v>32700</v>
      </c>
      <c r="G22" s="491">
        <f>SUM(G23:G27)</f>
        <v>33187</v>
      </c>
      <c r="H22" s="398">
        <f>SUM(H23:H27)</f>
        <v>10762</v>
      </c>
    </row>
    <row r="23" spans="1:8" s="104" customFormat="1" ht="31.5">
      <c r="A23" s="173"/>
      <c r="B23" s="489"/>
      <c r="C23" s="489"/>
      <c r="D23" s="399"/>
      <c r="E23" s="405" t="s">
        <v>204</v>
      </c>
      <c r="F23" s="407">
        <v>20000</v>
      </c>
      <c r="G23" s="407">
        <v>15793</v>
      </c>
      <c r="H23" s="400">
        <v>5218</v>
      </c>
    </row>
    <row r="24" spans="1:8" s="104" customFormat="1" ht="15.75">
      <c r="A24" s="173"/>
      <c r="B24" s="489"/>
      <c r="C24" s="489"/>
      <c r="D24" s="399"/>
      <c r="E24" s="405" t="s">
        <v>209</v>
      </c>
      <c r="F24" s="407">
        <v>11850</v>
      </c>
      <c r="G24" s="407">
        <v>11850</v>
      </c>
      <c r="H24" s="400">
        <v>0</v>
      </c>
    </row>
    <row r="25" spans="1:8" s="104" customFormat="1" ht="15.75">
      <c r="A25" s="173"/>
      <c r="B25" s="489"/>
      <c r="C25" s="489"/>
      <c r="D25" s="399"/>
      <c r="E25" s="405" t="s">
        <v>214</v>
      </c>
      <c r="F25" s="407">
        <v>850</v>
      </c>
      <c r="G25" s="407">
        <v>850</v>
      </c>
      <c r="H25" s="400">
        <v>850</v>
      </c>
    </row>
    <row r="26" spans="1:8" s="104" customFormat="1" ht="15.75">
      <c r="A26" s="173"/>
      <c r="B26" s="489"/>
      <c r="C26" s="489"/>
      <c r="D26" s="399"/>
      <c r="E26" s="405" t="s">
        <v>571</v>
      </c>
      <c r="F26" s="407"/>
      <c r="G26" s="407">
        <v>1500</v>
      </c>
      <c r="H26" s="400">
        <v>1500</v>
      </c>
    </row>
    <row r="27" spans="1:8" s="104" customFormat="1" ht="31.5">
      <c r="A27" s="173"/>
      <c r="B27" s="489"/>
      <c r="C27" s="489"/>
      <c r="D27" s="399"/>
      <c r="E27" s="405" t="s">
        <v>572</v>
      </c>
      <c r="F27" s="326"/>
      <c r="G27" s="407">
        <v>3194</v>
      </c>
      <c r="H27" s="400">
        <v>3194</v>
      </c>
    </row>
    <row r="28" spans="1:8" s="104" customFormat="1" ht="15.75">
      <c r="A28" s="173"/>
      <c r="B28" s="489"/>
      <c r="C28" s="489"/>
      <c r="D28" s="399"/>
      <c r="E28" s="658" t="s">
        <v>72</v>
      </c>
      <c r="F28" s="410">
        <f>SUM(F29,F30)</f>
        <v>20000</v>
      </c>
      <c r="G28" s="410">
        <f>SUM(G29,G30)</f>
        <v>15306</v>
      </c>
      <c r="H28" s="401">
        <f>SUM(H29,H30)</f>
        <v>3400</v>
      </c>
    </row>
    <row r="29" spans="1:8" s="104" customFormat="1" ht="15.75">
      <c r="A29" s="173"/>
      <c r="B29" s="489"/>
      <c r="C29" s="489"/>
      <c r="D29" s="399"/>
      <c r="E29" s="405" t="s">
        <v>235</v>
      </c>
      <c r="F29" s="407">
        <v>10000</v>
      </c>
      <c r="G29" s="407">
        <v>8500</v>
      </c>
      <c r="H29" s="400">
        <v>3400</v>
      </c>
    </row>
    <row r="30" spans="1:8" s="104" customFormat="1" ht="15.75">
      <c r="A30" s="173"/>
      <c r="B30" s="488"/>
      <c r="C30" s="488"/>
      <c r="D30" s="399"/>
      <c r="E30" s="405" t="s">
        <v>234</v>
      </c>
      <c r="F30" s="489">
        <v>10000</v>
      </c>
      <c r="G30" s="489">
        <v>6806</v>
      </c>
      <c r="H30" s="399">
        <v>0</v>
      </c>
    </row>
    <row r="31" spans="1:8" s="104" customFormat="1" ht="16.5" thickBot="1">
      <c r="A31" s="138" t="s">
        <v>84</v>
      </c>
      <c r="B31" s="663">
        <f>SUM(B19:B30)</f>
        <v>200000</v>
      </c>
      <c r="C31" s="663">
        <f>SUM(C19:C30)</f>
        <v>183862</v>
      </c>
      <c r="D31" s="664">
        <f>SUM(D19:D30)</f>
        <v>183862</v>
      </c>
      <c r="E31" s="659" t="s">
        <v>84</v>
      </c>
      <c r="F31" s="655">
        <f aca="true" t="shared" si="0" ref="F31:H31">F22+F19+F28</f>
        <v>200000</v>
      </c>
      <c r="G31" s="655">
        <f t="shared" si="0"/>
        <v>183862</v>
      </c>
      <c r="H31" s="660">
        <f t="shared" si="0"/>
        <v>183862</v>
      </c>
    </row>
    <row r="34" spans="1:10" ht="12.75">
      <c r="A34" s="1035" t="s">
        <v>1179</v>
      </c>
      <c r="B34" s="1035"/>
      <c r="C34" s="1035"/>
      <c r="D34" s="1035"/>
      <c r="E34" s="1035"/>
      <c r="F34" s="1035"/>
      <c r="G34" s="1035"/>
      <c r="H34" s="1035"/>
      <c r="I34" s="1035"/>
      <c r="J34" s="1035"/>
    </row>
    <row r="35" spans="1:10" ht="12.75">
      <c r="A35" s="1035" t="s">
        <v>1180</v>
      </c>
      <c r="B35" s="1035"/>
      <c r="C35" s="1035"/>
      <c r="D35" s="1035"/>
      <c r="E35" s="1035"/>
      <c r="F35" s="1035"/>
      <c r="G35" s="1035"/>
      <c r="H35" s="1035"/>
      <c r="I35" s="1035"/>
      <c r="J35" s="1035"/>
    </row>
    <row r="36" spans="1:10" ht="12.75">
      <c r="A36" s="1035" t="s">
        <v>1181</v>
      </c>
      <c r="B36" s="1035"/>
      <c r="C36" s="1035"/>
      <c r="D36" s="1035"/>
      <c r="E36" s="1035"/>
      <c r="F36" s="1035"/>
      <c r="G36" s="1035"/>
      <c r="H36" s="1035"/>
      <c r="I36" s="1035"/>
      <c r="J36" s="1035"/>
    </row>
    <row r="37" spans="1:10" ht="12.75">
      <c r="A37" s="1035" t="s">
        <v>1182</v>
      </c>
      <c r="B37" s="1035"/>
      <c r="C37" s="1035"/>
      <c r="D37" s="1035"/>
      <c r="E37" s="1035"/>
      <c r="F37" s="1035"/>
      <c r="G37" s="1035"/>
      <c r="H37" s="1035"/>
      <c r="I37" s="1035"/>
      <c r="J37" s="1035"/>
    </row>
  </sheetData>
  <sheetProtection selectLockedCells="1" selectUnlockedCells="1"/>
  <mergeCells count="9">
    <mergeCell ref="A34:J34"/>
    <mergeCell ref="A35:J35"/>
    <mergeCell ref="A36:J36"/>
    <mergeCell ref="A37:J37"/>
    <mergeCell ref="A2:H2"/>
    <mergeCell ref="A6:D6"/>
    <mergeCell ref="E6:H6"/>
    <mergeCell ref="A17:D17"/>
    <mergeCell ref="E17:H17"/>
  </mergeCells>
  <printOptions horizontalCentered="1"/>
  <pageMargins left="0.3937007874015748" right="0.3937007874015748" top="0.984251968503937" bottom="0" header="0.5118110236220472" footer="0.5118110236220472"/>
  <pageSetup fitToHeight="0" fitToWidth="1" horizontalDpi="300" verticalDpi="300" orientation="landscape" paperSize="9" scale="67" r:id="rId1"/>
  <headerFooter alignWithMargins="0">
    <oddHeader>&amp;L&amp;"Arial,Normál"14. melléklet a 1/2017.(II.24.)  önkormányzati rendelethez
14. melléklet a 29/2015.(XII.18.) 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29"/>
  <sheetViews>
    <sheetView view="pageBreakPreview" zoomScale="60" workbookViewId="0" topLeftCell="A7">
      <selection activeCell="I36" sqref="I36"/>
    </sheetView>
  </sheetViews>
  <sheetFormatPr defaultColWidth="9.00390625" defaultRowHeight="12.75"/>
  <cols>
    <col min="1" max="1" width="62.25390625" style="0" customWidth="1"/>
    <col min="2" max="2" width="10.875" style="0" customWidth="1"/>
    <col min="3" max="3" width="13.125" style="0" customWidth="1"/>
    <col min="4" max="4" width="11.00390625" style="0" customWidth="1"/>
    <col min="6" max="6" width="13.25390625" style="0" customWidth="1"/>
    <col min="7" max="7" width="12.125" style="0" customWidth="1"/>
    <col min="9" max="9" width="13.375" style="0" customWidth="1"/>
    <col min="10" max="10" width="11.375" style="0" customWidth="1"/>
  </cols>
  <sheetData>
    <row r="1" spans="1:10" ht="14.25">
      <c r="A1" s="1164" t="s">
        <v>907</v>
      </c>
      <c r="B1" s="1164"/>
      <c r="C1" s="1164"/>
      <c r="D1" s="1164"/>
      <c r="E1" s="1164"/>
      <c r="F1" s="1164"/>
      <c r="G1" s="1164"/>
      <c r="H1" s="1164"/>
      <c r="I1" s="1164"/>
      <c r="J1" s="1164"/>
    </row>
    <row r="2" spans="1:4" ht="14.25">
      <c r="A2" s="360"/>
      <c r="B2" s="360"/>
      <c r="C2" s="360"/>
      <c r="D2" s="360"/>
    </row>
    <row r="3" spans="1:10" ht="15">
      <c r="A3" s="1165" t="s">
        <v>908</v>
      </c>
      <c r="B3" s="1165"/>
      <c r="C3" s="1165"/>
      <c r="D3" s="1165"/>
      <c r="E3" s="1165"/>
      <c r="F3" s="1165"/>
      <c r="G3" s="1165"/>
      <c r="H3" s="1165"/>
      <c r="I3" s="1165"/>
      <c r="J3" s="1165"/>
    </row>
    <row r="4" spans="1:4" ht="15.75" thickBot="1">
      <c r="A4" s="361"/>
      <c r="B4" s="361"/>
      <c r="C4" s="361"/>
      <c r="D4" s="361"/>
    </row>
    <row r="5" spans="1:10" ht="15" customHeight="1" thickBot="1">
      <c r="A5" s="1166" t="s">
        <v>909</v>
      </c>
      <c r="B5" s="1158" t="s">
        <v>4</v>
      </c>
      <c r="C5" s="1158"/>
      <c r="D5" s="1168"/>
      <c r="E5" s="1157" t="s">
        <v>861</v>
      </c>
      <c r="F5" s="1158"/>
      <c r="G5" s="1159"/>
      <c r="H5" s="1157" t="s">
        <v>1041</v>
      </c>
      <c r="I5" s="1158"/>
      <c r="J5" s="1159"/>
    </row>
    <row r="6" spans="1:10" ht="15" customHeight="1" thickBot="1">
      <c r="A6" s="1167"/>
      <c r="B6" s="1160" t="s">
        <v>113</v>
      </c>
      <c r="C6" s="1162" t="s">
        <v>910</v>
      </c>
      <c r="D6" s="1170"/>
      <c r="E6" s="1160" t="s">
        <v>113</v>
      </c>
      <c r="F6" s="1162" t="s">
        <v>910</v>
      </c>
      <c r="G6" s="1163"/>
      <c r="H6" s="1160" t="s">
        <v>113</v>
      </c>
      <c r="I6" s="1162" t="s">
        <v>910</v>
      </c>
      <c r="J6" s="1163"/>
    </row>
    <row r="7" spans="1:10" ht="60.75" customHeight="1" thickBot="1">
      <c r="A7" s="1167"/>
      <c r="B7" s="1169"/>
      <c r="C7" s="362" t="s">
        <v>911</v>
      </c>
      <c r="D7" s="363" t="s">
        <v>912</v>
      </c>
      <c r="E7" s="1161"/>
      <c r="F7" s="362" t="s">
        <v>911</v>
      </c>
      <c r="G7" s="364" t="s">
        <v>912</v>
      </c>
      <c r="H7" s="1161"/>
      <c r="I7" s="362" t="s">
        <v>911</v>
      </c>
      <c r="J7" s="364" t="s">
        <v>912</v>
      </c>
    </row>
    <row r="8" spans="1:10" ht="15">
      <c r="A8" s="365" t="s">
        <v>913</v>
      </c>
      <c r="B8" s="366">
        <f aca="true" t="shared" si="0" ref="B8:J8">SUM(B9:B9)</f>
        <v>5000</v>
      </c>
      <c r="C8" s="367">
        <f t="shared" si="0"/>
        <v>2000</v>
      </c>
      <c r="D8" s="368">
        <f t="shared" si="0"/>
        <v>3000</v>
      </c>
      <c r="E8" s="369">
        <f t="shared" si="0"/>
        <v>5000</v>
      </c>
      <c r="F8" s="367">
        <f t="shared" si="0"/>
        <v>2000</v>
      </c>
      <c r="G8" s="370">
        <f t="shared" si="0"/>
        <v>3000</v>
      </c>
      <c r="H8" s="523">
        <f t="shared" si="0"/>
        <v>5168</v>
      </c>
      <c r="I8" s="524">
        <f t="shared" si="0"/>
        <v>2168</v>
      </c>
      <c r="J8" s="525">
        <f t="shared" si="0"/>
        <v>3000</v>
      </c>
    </row>
    <row r="9" spans="1:10" ht="30">
      <c r="A9" s="371" t="s">
        <v>914</v>
      </c>
      <c r="B9" s="372">
        <v>5000</v>
      </c>
      <c r="C9" s="373">
        <v>2000</v>
      </c>
      <c r="D9" s="374">
        <v>3000</v>
      </c>
      <c r="E9" s="375">
        <v>5000</v>
      </c>
      <c r="F9" s="373">
        <v>2000</v>
      </c>
      <c r="G9" s="376">
        <v>3000</v>
      </c>
      <c r="H9" s="526">
        <v>5168</v>
      </c>
      <c r="I9" s="527">
        <f>H9-J9</f>
        <v>2168</v>
      </c>
      <c r="J9" s="528">
        <v>3000</v>
      </c>
    </row>
    <row r="10" spans="1:10" ht="15">
      <c r="A10" s="371"/>
      <c r="B10" s="372"/>
      <c r="C10" s="373"/>
      <c r="D10" s="374"/>
      <c r="E10" s="375"/>
      <c r="F10" s="373"/>
      <c r="G10" s="376"/>
      <c r="H10" s="526"/>
      <c r="I10" s="527"/>
      <c r="J10" s="528"/>
    </row>
    <row r="11" spans="1:10" ht="15">
      <c r="A11" s="377" t="s">
        <v>915</v>
      </c>
      <c r="B11" s="378">
        <f aca="true" t="shared" si="1" ref="B11:J11">SUM(B12:B12)</f>
        <v>12500</v>
      </c>
      <c r="C11" s="379">
        <f t="shared" si="1"/>
        <v>0</v>
      </c>
      <c r="D11" s="380">
        <f t="shared" si="1"/>
        <v>12500</v>
      </c>
      <c r="E11" s="381">
        <f t="shared" si="1"/>
        <v>12500</v>
      </c>
      <c r="F11" s="379">
        <f t="shared" si="1"/>
        <v>0</v>
      </c>
      <c r="G11" s="382">
        <f t="shared" si="1"/>
        <v>12500</v>
      </c>
      <c r="H11" s="529">
        <f t="shared" si="1"/>
        <v>12473</v>
      </c>
      <c r="I11" s="530">
        <f t="shared" si="1"/>
        <v>1</v>
      </c>
      <c r="J11" s="531">
        <f t="shared" si="1"/>
        <v>12472</v>
      </c>
    </row>
    <row r="12" spans="1:10" ht="30">
      <c r="A12" s="371" t="s">
        <v>916</v>
      </c>
      <c r="B12" s="372">
        <v>12500</v>
      </c>
      <c r="C12" s="373"/>
      <c r="D12" s="374">
        <v>12500</v>
      </c>
      <c r="E12" s="375">
        <v>12500</v>
      </c>
      <c r="F12" s="373"/>
      <c r="G12" s="376">
        <v>12500</v>
      </c>
      <c r="H12" s="526">
        <f>12500-27</f>
        <v>12473</v>
      </c>
      <c r="I12" s="527">
        <f>H12-J12</f>
        <v>1</v>
      </c>
      <c r="J12" s="528">
        <f>12500-28</f>
        <v>12472</v>
      </c>
    </row>
    <row r="13" spans="1:10" ht="15">
      <c r="A13" s="371"/>
      <c r="B13" s="372"/>
      <c r="C13" s="373"/>
      <c r="D13" s="374"/>
      <c r="E13" s="375"/>
      <c r="F13" s="373"/>
      <c r="G13" s="376"/>
      <c r="H13" s="526"/>
      <c r="I13" s="527"/>
      <c r="J13" s="528"/>
    </row>
    <row r="14" spans="1:10" ht="15">
      <c r="A14" s="377" t="s">
        <v>917</v>
      </c>
      <c r="B14" s="378">
        <f aca="true" t="shared" si="2" ref="B14:F14">SUM(B15:B15)</f>
        <v>20000</v>
      </c>
      <c r="C14" s="379">
        <f t="shared" si="2"/>
        <v>0</v>
      </c>
      <c r="D14" s="380">
        <f t="shared" si="2"/>
        <v>20000</v>
      </c>
      <c r="E14" s="381">
        <f t="shared" si="2"/>
        <v>15458</v>
      </c>
      <c r="F14" s="379">
        <f t="shared" si="2"/>
        <v>0</v>
      </c>
      <c r="G14" s="382">
        <v>15458</v>
      </c>
      <c r="H14" s="529">
        <f>SUM(H15)</f>
        <v>15458</v>
      </c>
      <c r="I14" s="530">
        <f aca="true" t="shared" si="3" ref="I14:J14">SUM(I15)</f>
        <v>0</v>
      </c>
      <c r="J14" s="531">
        <f t="shared" si="3"/>
        <v>15458</v>
      </c>
    </row>
    <row r="15" spans="1:10" ht="30">
      <c r="A15" s="371" t="s">
        <v>918</v>
      </c>
      <c r="B15" s="372">
        <v>20000</v>
      </c>
      <c r="C15" s="373"/>
      <c r="D15" s="374">
        <v>20000</v>
      </c>
      <c r="E15" s="375">
        <v>15458</v>
      </c>
      <c r="F15" s="373"/>
      <c r="G15" s="376">
        <v>15458</v>
      </c>
      <c r="H15" s="526">
        <f>15458</f>
        <v>15458</v>
      </c>
      <c r="I15" s="527"/>
      <c r="J15" s="528">
        <v>15458</v>
      </c>
    </row>
    <row r="16" spans="1:10" ht="15">
      <c r="A16" s="371"/>
      <c r="B16" s="372"/>
      <c r="C16" s="373"/>
      <c r="D16" s="374"/>
      <c r="E16" s="375"/>
      <c r="F16" s="373"/>
      <c r="G16" s="376"/>
      <c r="H16" s="526"/>
      <c r="I16" s="527"/>
      <c r="J16" s="528"/>
    </row>
    <row r="17" spans="1:10" ht="15">
      <c r="A17" s="377" t="s">
        <v>919</v>
      </c>
      <c r="B17" s="383">
        <f aca="true" t="shared" si="4" ref="B17:J17">SUM(B18:B18)</f>
        <v>23467</v>
      </c>
      <c r="C17" s="379">
        <f t="shared" si="4"/>
        <v>1467</v>
      </c>
      <c r="D17" s="380">
        <f t="shared" si="4"/>
        <v>22000</v>
      </c>
      <c r="E17" s="384">
        <f t="shared" si="4"/>
        <v>23467</v>
      </c>
      <c r="F17" s="379">
        <f t="shared" si="4"/>
        <v>1467</v>
      </c>
      <c r="G17" s="382">
        <f t="shared" si="4"/>
        <v>22000</v>
      </c>
      <c r="H17" s="529">
        <f t="shared" si="4"/>
        <v>22708</v>
      </c>
      <c r="I17" s="530">
        <f t="shared" si="4"/>
        <v>784</v>
      </c>
      <c r="J17" s="531">
        <f t="shared" si="4"/>
        <v>21924</v>
      </c>
    </row>
    <row r="18" spans="1:10" ht="15">
      <c r="A18" s="371" t="s">
        <v>920</v>
      </c>
      <c r="B18" s="372">
        <v>23467</v>
      </c>
      <c r="C18" s="373">
        <v>1467</v>
      </c>
      <c r="D18" s="374">
        <v>22000</v>
      </c>
      <c r="E18" s="375">
        <v>23467</v>
      </c>
      <c r="F18" s="373">
        <v>1467</v>
      </c>
      <c r="G18" s="376">
        <v>22000</v>
      </c>
      <c r="H18" s="526">
        <v>22708</v>
      </c>
      <c r="I18" s="527">
        <f>H18-J18</f>
        <v>784</v>
      </c>
      <c r="J18" s="528">
        <f>22000-76</f>
        <v>21924</v>
      </c>
    </row>
    <row r="19" spans="1:10" ht="15">
      <c r="A19" s="371"/>
      <c r="B19" s="372"/>
      <c r="C19" s="373"/>
      <c r="D19" s="374"/>
      <c r="E19" s="375"/>
      <c r="F19" s="373"/>
      <c r="G19" s="376"/>
      <c r="H19" s="526"/>
      <c r="I19" s="527"/>
      <c r="J19" s="528"/>
    </row>
    <row r="20" spans="1:10" ht="30">
      <c r="A20" s="377" t="s">
        <v>921</v>
      </c>
      <c r="B20" s="383">
        <f aca="true" t="shared" si="5" ref="B20:J20">SUM(B21:B22)</f>
        <v>5814</v>
      </c>
      <c r="C20" s="379">
        <f t="shared" si="5"/>
        <v>0</v>
      </c>
      <c r="D20" s="380">
        <f t="shared" si="5"/>
        <v>5814</v>
      </c>
      <c r="E20" s="384">
        <f t="shared" si="5"/>
        <v>5814</v>
      </c>
      <c r="F20" s="379">
        <f t="shared" si="5"/>
        <v>0</v>
      </c>
      <c r="G20" s="382">
        <f t="shared" si="5"/>
        <v>5814</v>
      </c>
      <c r="H20" s="529">
        <f t="shared" si="5"/>
        <v>0</v>
      </c>
      <c r="I20" s="530">
        <f t="shared" si="5"/>
        <v>0</v>
      </c>
      <c r="J20" s="531">
        <f t="shared" si="5"/>
        <v>0</v>
      </c>
    </row>
    <row r="21" spans="1:10" ht="15">
      <c r="A21" s="371" t="s">
        <v>298</v>
      </c>
      <c r="B21" s="372">
        <v>2314</v>
      </c>
      <c r="C21" s="373"/>
      <c r="D21" s="374">
        <v>2314</v>
      </c>
      <c r="E21" s="375">
        <v>2314</v>
      </c>
      <c r="F21" s="373"/>
      <c r="G21" s="376">
        <v>2314</v>
      </c>
      <c r="H21" s="526">
        <v>0</v>
      </c>
      <c r="I21" s="527">
        <v>0</v>
      </c>
      <c r="J21" s="528">
        <v>0</v>
      </c>
    </row>
    <row r="22" spans="1:10" ht="15">
      <c r="A22" s="371" t="s">
        <v>922</v>
      </c>
      <c r="B22" s="372">
        <v>3500</v>
      </c>
      <c r="C22" s="373"/>
      <c r="D22" s="374">
        <v>3500</v>
      </c>
      <c r="E22" s="375">
        <v>3500</v>
      </c>
      <c r="F22" s="373"/>
      <c r="G22" s="376">
        <v>3500</v>
      </c>
      <c r="H22" s="526">
        <v>0</v>
      </c>
      <c r="I22" s="527">
        <v>0</v>
      </c>
      <c r="J22" s="528">
        <v>0</v>
      </c>
    </row>
    <row r="23" spans="1:10" ht="15">
      <c r="A23" s="371"/>
      <c r="B23" s="372"/>
      <c r="C23" s="373"/>
      <c r="D23" s="374"/>
      <c r="E23" s="375"/>
      <c r="F23" s="373"/>
      <c r="G23" s="376"/>
      <c r="H23" s="526"/>
      <c r="I23" s="527"/>
      <c r="J23" s="528"/>
    </row>
    <row r="24" spans="1:10" ht="15" thickBot="1">
      <c r="A24" s="385" t="s">
        <v>68</v>
      </c>
      <c r="B24" s="385">
        <f aca="true" t="shared" si="6" ref="B24:J24">SUM(B8,B11,B14,B17,B20)</f>
        <v>66781</v>
      </c>
      <c r="C24" s="386">
        <f t="shared" si="6"/>
        <v>3467</v>
      </c>
      <c r="D24" s="387">
        <f t="shared" si="6"/>
        <v>63314</v>
      </c>
      <c r="E24" s="388">
        <f t="shared" si="6"/>
        <v>62239</v>
      </c>
      <c r="F24" s="386">
        <f t="shared" si="6"/>
        <v>3467</v>
      </c>
      <c r="G24" s="389">
        <f t="shared" si="6"/>
        <v>58772</v>
      </c>
      <c r="H24" s="532">
        <f t="shared" si="6"/>
        <v>55807</v>
      </c>
      <c r="I24" s="386">
        <f t="shared" si="6"/>
        <v>2953</v>
      </c>
      <c r="J24" s="389">
        <f t="shared" si="6"/>
        <v>52854</v>
      </c>
    </row>
    <row r="26" spans="1:10" ht="12.75">
      <c r="A26" s="1035" t="s">
        <v>1183</v>
      </c>
      <c r="B26" s="1035"/>
      <c r="C26" s="1035"/>
      <c r="D26" s="1035"/>
      <c r="E26" s="1035"/>
      <c r="F26" s="1035"/>
      <c r="G26" s="1035"/>
      <c r="H26" s="1035"/>
      <c r="I26" s="1035"/>
      <c r="J26" s="1035"/>
    </row>
    <row r="27" spans="1:10" ht="12.75">
      <c r="A27" s="1035" t="s">
        <v>1184</v>
      </c>
      <c r="B27" s="1035"/>
      <c r="C27" s="1035"/>
      <c r="D27" s="1035"/>
      <c r="E27" s="1035"/>
      <c r="F27" s="1035"/>
      <c r="G27" s="1035"/>
      <c r="H27" s="1035"/>
      <c r="I27" s="1035"/>
      <c r="J27" s="1035"/>
    </row>
    <row r="28" spans="1:10" ht="12.75">
      <c r="A28" s="1035" t="s">
        <v>1185</v>
      </c>
      <c r="B28" s="1035"/>
      <c r="C28" s="1035"/>
      <c r="D28" s="1035"/>
      <c r="E28" s="1035"/>
      <c r="F28" s="1035"/>
      <c r="G28" s="1035"/>
      <c r="H28" s="1035"/>
      <c r="I28" s="1035"/>
      <c r="J28" s="1035"/>
    </row>
    <row r="29" spans="1:10" ht="12.75">
      <c r="A29" s="1035" t="s">
        <v>1186</v>
      </c>
      <c r="B29" s="1035"/>
      <c r="C29" s="1035"/>
      <c r="D29" s="1035"/>
      <c r="E29" s="1035"/>
      <c r="F29" s="1035"/>
      <c r="G29" s="1035"/>
      <c r="H29" s="1035"/>
      <c r="I29" s="1035"/>
      <c r="J29" s="1035"/>
    </row>
  </sheetData>
  <mergeCells count="16">
    <mergeCell ref="A1:J1"/>
    <mergeCell ref="A3:J3"/>
    <mergeCell ref="E5:G5"/>
    <mergeCell ref="E6:E7"/>
    <mergeCell ref="F6:G6"/>
    <mergeCell ref="A5:A7"/>
    <mergeCell ref="B5:D5"/>
    <mergeCell ref="B6:B7"/>
    <mergeCell ref="C6:D6"/>
    <mergeCell ref="A26:J26"/>
    <mergeCell ref="A27:J27"/>
    <mergeCell ref="A28:J28"/>
    <mergeCell ref="A29:J29"/>
    <mergeCell ref="H5:J5"/>
    <mergeCell ref="H6:H7"/>
    <mergeCell ref="I6:J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  <headerFooter>
    <oddHeader>&amp;L15. melléklet a 1/2017.(II.24.) önkormányzati rendelethez
15. melléklet a 29/2015.(XII.18.)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120"/>
  <sheetViews>
    <sheetView view="pageBreakPreview" zoomScale="75" zoomScaleSheetLayoutView="75" workbookViewId="0" topLeftCell="A91">
      <selection activeCell="A117" sqref="A117:J120"/>
    </sheetView>
  </sheetViews>
  <sheetFormatPr defaultColWidth="9.00390625" defaultRowHeight="12.75"/>
  <cols>
    <col min="1" max="1" width="10.875" style="667" customWidth="1"/>
    <col min="2" max="2" width="65.625" style="667" customWidth="1"/>
    <col min="3" max="3" width="14.125" style="667" customWidth="1"/>
    <col min="4" max="4" width="8.125" style="667" customWidth="1"/>
    <col min="5" max="5" width="14.375" style="667" customWidth="1"/>
    <col min="6" max="6" width="15.75390625" style="667" hidden="1" customWidth="1"/>
    <col min="7" max="7" width="13.875" style="667" customWidth="1"/>
    <col min="8" max="8" width="13.75390625" style="667" hidden="1" customWidth="1"/>
    <col min="9" max="11" width="14.125" style="667" hidden="1" customWidth="1"/>
    <col min="12" max="12" width="14.125" style="667" customWidth="1"/>
    <col min="13" max="13" width="12.625" style="667" hidden="1" customWidth="1"/>
    <col min="14" max="14" width="14.125" style="667" customWidth="1"/>
    <col min="15" max="16384" width="9.125" style="667" customWidth="1"/>
  </cols>
  <sheetData>
    <row r="1" spans="1:14" ht="12.75">
      <c r="A1" s="1181" t="s">
        <v>378</v>
      </c>
      <c r="B1" s="1181"/>
      <c r="C1" s="1181"/>
      <c r="D1" s="1181"/>
      <c r="E1" s="1181"/>
      <c r="F1" s="1181"/>
      <c r="G1" s="1181"/>
      <c r="H1" s="1181"/>
      <c r="I1" s="1181"/>
      <c r="J1" s="1181"/>
      <c r="K1" s="1181"/>
      <c r="L1" s="1181"/>
      <c r="M1" s="1181"/>
      <c r="N1" s="1181"/>
    </row>
    <row r="2" spans="1:14" ht="12.75">
      <c r="A2" s="1182" t="s">
        <v>379</v>
      </c>
      <c r="B2" s="1182"/>
      <c r="C2" s="1182"/>
      <c r="D2" s="1182"/>
      <c r="E2" s="1182"/>
      <c r="F2" s="1182"/>
      <c r="G2" s="1182"/>
      <c r="H2" s="1182"/>
      <c r="I2" s="1182"/>
      <c r="J2" s="1182"/>
      <c r="K2" s="1182"/>
      <c r="L2" s="1182"/>
      <c r="M2" s="1182"/>
      <c r="N2" s="1182"/>
    </row>
    <row r="3" spans="1:14" ht="13.5" thickBot="1">
      <c r="A3" s="668"/>
      <c r="B3" s="668"/>
      <c r="C3" s="668"/>
      <c r="D3" s="668"/>
      <c r="E3" s="668"/>
      <c r="F3" s="668"/>
      <c r="G3" s="668"/>
      <c r="H3" s="668"/>
      <c r="I3" s="668"/>
      <c r="J3" s="669"/>
      <c r="K3" s="669"/>
      <c r="L3" s="669"/>
      <c r="N3" s="669"/>
    </row>
    <row r="4" spans="1:14" ht="18" customHeight="1" thickTop="1">
      <c r="A4" s="1196" t="s">
        <v>801</v>
      </c>
      <c r="B4" s="1198" t="s">
        <v>802</v>
      </c>
      <c r="C4" s="1200" t="s">
        <v>380</v>
      </c>
      <c r="D4" s="1200"/>
      <c r="E4" s="1200"/>
      <c r="F4" s="670"/>
      <c r="G4" s="1183" t="s">
        <v>1089</v>
      </c>
      <c r="H4" s="1191" t="s">
        <v>690</v>
      </c>
      <c r="I4" s="1183" t="s">
        <v>1007</v>
      </c>
      <c r="J4" s="1183" t="s">
        <v>803</v>
      </c>
      <c r="K4" s="1183" t="s">
        <v>1080</v>
      </c>
      <c r="L4" s="1185" t="s">
        <v>1008</v>
      </c>
      <c r="M4" s="1187" t="s">
        <v>1009</v>
      </c>
      <c r="N4" s="1185" t="s">
        <v>1081</v>
      </c>
    </row>
    <row r="5" spans="1:14" ht="72" customHeight="1" thickBot="1">
      <c r="A5" s="1197"/>
      <c r="B5" s="1199"/>
      <c r="C5" s="1189" t="s">
        <v>381</v>
      </c>
      <c r="D5" s="1190"/>
      <c r="E5" s="665" t="s">
        <v>382</v>
      </c>
      <c r="F5" s="671" t="s">
        <v>1083</v>
      </c>
      <c r="G5" s="1184"/>
      <c r="H5" s="1192"/>
      <c r="I5" s="1184"/>
      <c r="J5" s="1184"/>
      <c r="K5" s="1184"/>
      <c r="L5" s="1186"/>
      <c r="M5" s="1188"/>
      <c r="N5" s="1186"/>
    </row>
    <row r="6" spans="1:14" ht="20.25" customHeight="1" thickTop="1">
      <c r="A6" s="672" t="s">
        <v>383</v>
      </c>
      <c r="B6" s="202" t="s">
        <v>384</v>
      </c>
      <c r="C6" s="203"/>
      <c r="D6" s="204"/>
      <c r="E6" s="205"/>
      <c r="F6" s="206"/>
      <c r="G6" s="673"/>
      <c r="H6" s="674"/>
      <c r="I6" s="673"/>
      <c r="J6" s="673"/>
      <c r="K6" s="675"/>
      <c r="L6" s="676"/>
      <c r="M6" s="677"/>
      <c r="N6" s="676"/>
    </row>
    <row r="7" spans="1:14" ht="13.5">
      <c r="A7" s="678" t="s">
        <v>385</v>
      </c>
      <c r="B7" s="679" t="s">
        <v>386</v>
      </c>
      <c r="C7" s="680">
        <v>58.62</v>
      </c>
      <c r="D7" s="681" t="s">
        <v>387</v>
      </c>
      <c r="E7" s="682">
        <v>4580000</v>
      </c>
      <c r="F7" s="683">
        <f>C7*E7</f>
        <v>268479600</v>
      </c>
      <c r="G7" s="684">
        <v>268480</v>
      </c>
      <c r="H7" s="685">
        <v>0</v>
      </c>
      <c r="I7" s="685">
        <f>G7+H7</f>
        <v>268480</v>
      </c>
      <c r="J7" s="685">
        <v>0</v>
      </c>
      <c r="K7" s="685">
        <f>I7+J7</f>
        <v>268480</v>
      </c>
      <c r="L7" s="686">
        <f>J7+K7</f>
        <v>268480</v>
      </c>
      <c r="M7" s="687">
        <f>L7-K7</f>
        <v>0</v>
      </c>
      <c r="N7" s="686">
        <f>L7+M7</f>
        <v>268480</v>
      </c>
    </row>
    <row r="8" spans="1:14" ht="12.75">
      <c r="A8" s="688" t="s">
        <v>388</v>
      </c>
      <c r="B8" s="689" t="s">
        <v>389</v>
      </c>
      <c r="C8" s="690"/>
      <c r="D8" s="691"/>
      <c r="E8" s="692"/>
      <c r="F8" s="693"/>
      <c r="G8" s="692"/>
      <c r="H8" s="685"/>
      <c r="I8" s="685"/>
      <c r="J8" s="685"/>
      <c r="K8" s="685"/>
      <c r="L8" s="686"/>
      <c r="M8" s="694"/>
      <c r="N8" s="686"/>
    </row>
    <row r="9" spans="1:14" ht="12.75">
      <c r="A9" s="695" t="s">
        <v>390</v>
      </c>
      <c r="B9" s="696" t="s">
        <v>391</v>
      </c>
      <c r="C9" s="697">
        <v>1697.7</v>
      </c>
      <c r="D9" s="691" t="s">
        <v>392</v>
      </c>
      <c r="E9" s="692">
        <v>22300</v>
      </c>
      <c r="F9" s="698">
        <v>37859535</v>
      </c>
      <c r="G9" s="699">
        <v>37860</v>
      </c>
      <c r="H9" s="685">
        <v>175</v>
      </c>
      <c r="I9" s="685">
        <f>G9+H9</f>
        <v>38035</v>
      </c>
      <c r="J9" s="685">
        <v>0</v>
      </c>
      <c r="K9" s="685">
        <f aca="true" t="shared" si="0" ref="K9:N12">I9+J9</f>
        <v>38035</v>
      </c>
      <c r="L9" s="686">
        <f t="shared" si="0"/>
        <v>38035</v>
      </c>
      <c r="M9" s="687">
        <f aca="true" t="shared" si="1" ref="M9:M20">L9-K9</f>
        <v>0</v>
      </c>
      <c r="N9" s="686">
        <f t="shared" si="0"/>
        <v>38035</v>
      </c>
    </row>
    <row r="10" spans="1:14" s="706" customFormat="1" ht="12.75">
      <c r="A10" s="695" t="s">
        <v>393</v>
      </c>
      <c r="B10" s="700" t="s">
        <v>394</v>
      </c>
      <c r="C10" s="701">
        <v>206.4</v>
      </c>
      <c r="D10" s="702" t="s">
        <v>395</v>
      </c>
      <c r="E10" s="703">
        <v>400000</v>
      </c>
      <c r="F10" s="704">
        <f>C10*E10</f>
        <v>82560000</v>
      </c>
      <c r="G10" s="699">
        <v>82560</v>
      </c>
      <c r="H10" s="705">
        <v>600</v>
      </c>
      <c r="I10" s="685">
        <f>G10+H10</f>
        <v>83160</v>
      </c>
      <c r="J10" s="685">
        <v>0</v>
      </c>
      <c r="K10" s="685">
        <f t="shared" si="0"/>
        <v>83160</v>
      </c>
      <c r="L10" s="686">
        <f t="shared" si="0"/>
        <v>83160</v>
      </c>
      <c r="M10" s="687">
        <f t="shared" si="1"/>
        <v>0</v>
      </c>
      <c r="N10" s="686">
        <f t="shared" si="0"/>
        <v>83160</v>
      </c>
    </row>
    <row r="11" spans="1:14" s="177" customFormat="1" ht="12.75">
      <c r="A11" s="695" t="s">
        <v>396</v>
      </c>
      <c r="B11" s="707" t="s">
        <v>397</v>
      </c>
      <c r="C11" s="708">
        <v>129404</v>
      </c>
      <c r="D11" s="702" t="s">
        <v>398</v>
      </c>
      <c r="E11" s="692" t="s">
        <v>399</v>
      </c>
      <c r="F11" s="704">
        <v>13458016</v>
      </c>
      <c r="G11" s="699">
        <v>13458</v>
      </c>
      <c r="H11" s="708"/>
      <c r="I11" s="685">
        <f>G11+H11</f>
        <v>13458</v>
      </c>
      <c r="J11" s="685">
        <v>0</v>
      </c>
      <c r="K11" s="685">
        <f t="shared" si="0"/>
        <v>13458</v>
      </c>
      <c r="L11" s="686">
        <f t="shared" si="0"/>
        <v>13458</v>
      </c>
      <c r="M11" s="687">
        <f t="shared" si="1"/>
        <v>0</v>
      </c>
      <c r="N11" s="686">
        <f t="shared" si="0"/>
        <v>13458</v>
      </c>
    </row>
    <row r="12" spans="1:14" ht="12.75">
      <c r="A12" s="695" t="s">
        <v>400</v>
      </c>
      <c r="B12" s="707" t="s">
        <v>401</v>
      </c>
      <c r="C12" s="709">
        <v>102.31</v>
      </c>
      <c r="D12" s="702" t="s">
        <v>395</v>
      </c>
      <c r="E12" s="710" t="s">
        <v>402</v>
      </c>
      <c r="F12" s="704">
        <v>30181450</v>
      </c>
      <c r="G12" s="699">
        <v>30181</v>
      </c>
      <c r="H12" s="685">
        <v>18</v>
      </c>
      <c r="I12" s="685">
        <f>G12+H12</f>
        <v>30199</v>
      </c>
      <c r="J12" s="685">
        <v>0</v>
      </c>
      <c r="K12" s="685">
        <f t="shared" si="0"/>
        <v>30199</v>
      </c>
      <c r="L12" s="686">
        <f t="shared" si="0"/>
        <v>30199</v>
      </c>
      <c r="M12" s="687">
        <f t="shared" si="1"/>
        <v>0</v>
      </c>
      <c r="N12" s="686">
        <f t="shared" si="0"/>
        <v>30199</v>
      </c>
    </row>
    <row r="13" spans="1:14" ht="13.5">
      <c r="A13" s="711" t="s">
        <v>388</v>
      </c>
      <c r="B13" s="712" t="s">
        <v>403</v>
      </c>
      <c r="C13" s="708"/>
      <c r="D13" s="702"/>
      <c r="E13" s="713"/>
      <c r="F13" s="714">
        <f aca="true" t="shared" si="2" ref="F13:K13">SUM(F9:F12)</f>
        <v>164059001</v>
      </c>
      <c r="G13" s="684">
        <f t="shared" si="2"/>
        <v>164059</v>
      </c>
      <c r="H13" s="684">
        <f t="shared" si="2"/>
        <v>793</v>
      </c>
      <c r="I13" s="684">
        <f t="shared" si="2"/>
        <v>164852</v>
      </c>
      <c r="J13" s="684">
        <f t="shared" si="2"/>
        <v>0</v>
      </c>
      <c r="K13" s="684">
        <f t="shared" si="2"/>
        <v>164852</v>
      </c>
      <c r="L13" s="715">
        <f aca="true" t="shared" si="3" ref="L13">SUM(L9:L12)</f>
        <v>164852</v>
      </c>
      <c r="M13" s="687">
        <f t="shared" si="1"/>
        <v>0</v>
      </c>
      <c r="N13" s="715">
        <f>SUM(N9:N12)</f>
        <v>164852</v>
      </c>
    </row>
    <row r="14" spans="1:14" ht="13.5">
      <c r="A14" s="711" t="s">
        <v>404</v>
      </c>
      <c r="B14" s="716" t="s">
        <v>560</v>
      </c>
      <c r="C14" s="692">
        <v>23645</v>
      </c>
      <c r="D14" s="717" t="s">
        <v>387</v>
      </c>
      <c r="E14" s="710">
        <v>2700</v>
      </c>
      <c r="F14" s="714">
        <f>C14*E14</f>
        <v>63841500</v>
      </c>
      <c r="G14" s="684">
        <v>63842</v>
      </c>
      <c r="H14" s="685">
        <v>0</v>
      </c>
      <c r="I14" s="685">
        <f>G14+H14-1</f>
        <v>63841</v>
      </c>
      <c r="J14" s="685">
        <v>0</v>
      </c>
      <c r="K14" s="685">
        <f aca="true" t="shared" si="4" ref="K14:N16">I14+J14</f>
        <v>63841</v>
      </c>
      <c r="L14" s="686">
        <f t="shared" si="4"/>
        <v>63841</v>
      </c>
      <c r="M14" s="687">
        <f t="shared" si="1"/>
        <v>0</v>
      </c>
      <c r="N14" s="686">
        <f t="shared" si="4"/>
        <v>63841</v>
      </c>
    </row>
    <row r="15" spans="1:14" ht="24" customHeight="1">
      <c r="A15" s="711" t="s">
        <v>405</v>
      </c>
      <c r="B15" s="716" t="s">
        <v>406</v>
      </c>
      <c r="C15" s="692">
        <v>703</v>
      </c>
      <c r="D15" s="717" t="s">
        <v>387</v>
      </c>
      <c r="E15" s="454" t="s">
        <v>407</v>
      </c>
      <c r="F15" s="714">
        <v>1792650</v>
      </c>
      <c r="G15" s="684">
        <v>1793</v>
      </c>
      <c r="H15" s="685">
        <v>51</v>
      </c>
      <c r="I15" s="685">
        <f>G15+H15</f>
        <v>1844</v>
      </c>
      <c r="J15" s="685">
        <v>0</v>
      </c>
      <c r="K15" s="685">
        <f t="shared" si="4"/>
        <v>1844</v>
      </c>
      <c r="L15" s="686">
        <f t="shared" si="4"/>
        <v>1844</v>
      </c>
      <c r="M15" s="687">
        <f t="shared" si="1"/>
        <v>0</v>
      </c>
      <c r="N15" s="686">
        <f t="shared" si="4"/>
        <v>1844</v>
      </c>
    </row>
    <row r="16" spans="1:14" ht="25.5">
      <c r="A16" s="711" t="s">
        <v>408</v>
      </c>
      <c r="B16" s="712" t="s">
        <v>409</v>
      </c>
      <c r="C16" s="682">
        <v>33386700</v>
      </c>
      <c r="D16" s="718" t="s">
        <v>410</v>
      </c>
      <c r="E16" s="454" t="s">
        <v>411</v>
      </c>
      <c r="F16" s="714">
        <f>C16*1.55</f>
        <v>51749385</v>
      </c>
      <c r="G16" s="684">
        <v>51749</v>
      </c>
      <c r="H16" s="685">
        <v>289</v>
      </c>
      <c r="I16" s="685">
        <f>G16+H16</f>
        <v>52038</v>
      </c>
      <c r="J16" s="685">
        <v>0</v>
      </c>
      <c r="K16" s="685">
        <f t="shared" si="4"/>
        <v>52038</v>
      </c>
      <c r="L16" s="686">
        <f t="shared" si="4"/>
        <v>52038</v>
      </c>
      <c r="M16" s="687">
        <f t="shared" si="1"/>
        <v>0</v>
      </c>
      <c r="N16" s="686">
        <f t="shared" si="4"/>
        <v>52038</v>
      </c>
    </row>
    <row r="17" spans="1:14" ht="15" customHeight="1">
      <c r="A17" s="719" t="s">
        <v>412</v>
      </c>
      <c r="B17" s="720" t="s">
        <v>413</v>
      </c>
      <c r="C17" s="721"/>
      <c r="D17" s="722"/>
      <c r="E17" s="723"/>
      <c r="F17" s="724">
        <f aca="true" t="shared" si="5" ref="F17:L17">F7+F13+F14+F15+F16</f>
        <v>549922136</v>
      </c>
      <c r="G17" s="725">
        <f t="shared" si="5"/>
        <v>549923</v>
      </c>
      <c r="H17" s="725">
        <f t="shared" si="5"/>
        <v>1133</v>
      </c>
      <c r="I17" s="725">
        <f t="shared" si="5"/>
        <v>551055</v>
      </c>
      <c r="J17" s="725">
        <f t="shared" si="5"/>
        <v>0</v>
      </c>
      <c r="K17" s="725">
        <f t="shared" si="5"/>
        <v>551055</v>
      </c>
      <c r="L17" s="726">
        <f t="shared" si="5"/>
        <v>551055</v>
      </c>
      <c r="M17" s="687">
        <f t="shared" si="1"/>
        <v>0</v>
      </c>
      <c r="N17" s="726">
        <f>N7+N13+N14+N15+N16</f>
        <v>551055</v>
      </c>
    </row>
    <row r="18" spans="1:14" ht="15" customHeight="1">
      <c r="A18" s="719" t="s">
        <v>414</v>
      </c>
      <c r="B18" s="720" t="s">
        <v>415</v>
      </c>
      <c r="C18" s="721">
        <v>700</v>
      </c>
      <c r="D18" s="722" t="s">
        <v>416</v>
      </c>
      <c r="E18" s="723" t="s">
        <v>417</v>
      </c>
      <c r="F18" s="724">
        <v>70000</v>
      </c>
      <c r="G18" s="725">
        <v>70</v>
      </c>
      <c r="H18" s="685"/>
      <c r="I18" s="685">
        <f>G18+H18</f>
        <v>70</v>
      </c>
      <c r="J18" s="685">
        <v>0</v>
      </c>
      <c r="K18" s="685">
        <f>I18+J18</f>
        <v>70</v>
      </c>
      <c r="L18" s="686">
        <f>J18+K18</f>
        <v>70</v>
      </c>
      <c r="M18" s="687">
        <f t="shared" si="1"/>
        <v>0</v>
      </c>
      <c r="N18" s="686">
        <f>L18+M18</f>
        <v>70</v>
      </c>
    </row>
    <row r="19" spans="1:14" ht="15" customHeight="1">
      <c r="A19" s="719" t="s">
        <v>418</v>
      </c>
      <c r="B19" s="720" t="s">
        <v>419</v>
      </c>
      <c r="C19" s="455"/>
      <c r="D19" s="722"/>
      <c r="E19" s="723"/>
      <c r="F19" s="724">
        <v>1585341</v>
      </c>
      <c r="G19" s="725">
        <v>1585</v>
      </c>
      <c r="H19" s="685">
        <v>-82</v>
      </c>
      <c r="I19" s="685">
        <f>G19+H19</f>
        <v>1503</v>
      </c>
      <c r="J19" s="685">
        <v>0</v>
      </c>
      <c r="K19" s="685">
        <f>I19+J19</f>
        <v>1503</v>
      </c>
      <c r="L19" s="686">
        <f>J19+K19</f>
        <v>1503</v>
      </c>
      <c r="M19" s="687">
        <f t="shared" si="1"/>
        <v>0</v>
      </c>
      <c r="N19" s="686">
        <f>L19+M19</f>
        <v>1503</v>
      </c>
    </row>
    <row r="20" spans="1:14" ht="15" customHeight="1">
      <c r="A20" s="719" t="s">
        <v>383</v>
      </c>
      <c r="B20" s="720" t="s">
        <v>420</v>
      </c>
      <c r="C20" s="721"/>
      <c r="D20" s="722"/>
      <c r="E20" s="723"/>
      <c r="F20" s="727">
        <f aca="true" t="shared" si="6" ref="F20:K20">SUM(F17:F19)</f>
        <v>551577477</v>
      </c>
      <c r="G20" s="725">
        <f t="shared" si="6"/>
        <v>551578</v>
      </c>
      <c r="H20" s="725">
        <f t="shared" si="6"/>
        <v>1051</v>
      </c>
      <c r="I20" s="725">
        <f t="shared" si="6"/>
        <v>552628</v>
      </c>
      <c r="J20" s="725">
        <f t="shared" si="6"/>
        <v>0</v>
      </c>
      <c r="K20" s="725">
        <f t="shared" si="6"/>
        <v>552628</v>
      </c>
      <c r="L20" s="726">
        <f aca="true" t="shared" si="7" ref="L20">SUM(L17:L19)</f>
        <v>552628</v>
      </c>
      <c r="M20" s="687">
        <f t="shared" si="1"/>
        <v>0</v>
      </c>
      <c r="N20" s="726">
        <f>SUM(N17:N19)</f>
        <v>552628</v>
      </c>
    </row>
    <row r="21" spans="1:14" ht="30" customHeight="1">
      <c r="A21" s="711" t="s">
        <v>421</v>
      </c>
      <c r="B21" s="728" t="s">
        <v>422</v>
      </c>
      <c r="C21" s="705"/>
      <c r="D21" s="718"/>
      <c r="E21" s="710"/>
      <c r="F21" s="714"/>
      <c r="G21" s="684"/>
      <c r="H21" s="685"/>
      <c r="I21" s="685"/>
      <c r="J21" s="685"/>
      <c r="K21" s="685"/>
      <c r="L21" s="686"/>
      <c r="M21" s="694"/>
      <c r="N21" s="686"/>
    </row>
    <row r="22" spans="1:14" ht="15.75" customHeight="1">
      <c r="A22" s="711"/>
      <c r="B22" s="666" t="s">
        <v>423</v>
      </c>
      <c r="C22" s="729">
        <v>50.7</v>
      </c>
      <c r="D22" s="718" t="s">
        <v>387</v>
      </c>
      <c r="E22" s="710">
        <v>4308000</v>
      </c>
      <c r="F22" s="693">
        <f>C22*E22/12*8</f>
        <v>145610400</v>
      </c>
      <c r="G22" s="692">
        <v>145610</v>
      </c>
      <c r="H22" s="685">
        <v>1149</v>
      </c>
      <c r="I22" s="685">
        <f>G22+H22</f>
        <v>146759</v>
      </c>
      <c r="J22" s="685">
        <v>-1436</v>
      </c>
      <c r="K22" s="685">
        <f>I22+J22</f>
        <v>145323</v>
      </c>
      <c r="L22" s="686">
        <v>145323</v>
      </c>
      <c r="M22" s="687">
        <f aca="true" t="shared" si="8" ref="M22:M75">L22-K22</f>
        <v>0</v>
      </c>
      <c r="N22" s="686">
        <v>145323</v>
      </c>
    </row>
    <row r="23" spans="1:14" ht="15.75" customHeight="1">
      <c r="A23" s="711"/>
      <c r="B23" s="666" t="s">
        <v>424</v>
      </c>
      <c r="C23" s="729">
        <v>49.8</v>
      </c>
      <c r="D23" s="718" t="s">
        <v>387</v>
      </c>
      <c r="E23" s="710">
        <v>4308000</v>
      </c>
      <c r="F23" s="693">
        <f>C23*E23/12*4</f>
        <v>71512800</v>
      </c>
      <c r="G23" s="692">
        <v>71513</v>
      </c>
      <c r="H23" s="685">
        <v>861</v>
      </c>
      <c r="I23" s="685">
        <f>G23+H23+1</f>
        <v>72375</v>
      </c>
      <c r="J23" s="685"/>
      <c r="K23" s="685">
        <f>I23+J23</f>
        <v>72375</v>
      </c>
      <c r="L23" s="686">
        <v>70651</v>
      </c>
      <c r="M23" s="687">
        <f t="shared" si="8"/>
        <v>-1724</v>
      </c>
      <c r="N23" s="686">
        <v>70651</v>
      </c>
    </row>
    <row r="24" spans="1:14" ht="15.75" customHeight="1">
      <c r="A24" s="711"/>
      <c r="B24" s="666" t="s">
        <v>425</v>
      </c>
      <c r="C24" s="729">
        <v>49.8</v>
      </c>
      <c r="D24" s="718" t="s">
        <v>387</v>
      </c>
      <c r="E24" s="710">
        <v>35000</v>
      </c>
      <c r="F24" s="693">
        <f>C24*E24</f>
        <v>1743000</v>
      </c>
      <c r="G24" s="692">
        <v>1743</v>
      </c>
      <c r="H24" s="685">
        <v>21</v>
      </c>
      <c r="I24" s="685">
        <f aca="true" t="shared" si="9" ref="I24:N29">G24+H24</f>
        <v>1764</v>
      </c>
      <c r="J24" s="685"/>
      <c r="K24" s="685">
        <f t="shared" si="9"/>
        <v>1764</v>
      </c>
      <c r="L24" s="686">
        <v>1722</v>
      </c>
      <c r="M24" s="687">
        <f t="shared" si="8"/>
        <v>-42</v>
      </c>
      <c r="N24" s="686">
        <v>1722</v>
      </c>
    </row>
    <row r="25" spans="1:14" ht="15.75" customHeight="1">
      <c r="A25" s="711"/>
      <c r="B25" s="666" t="s">
        <v>426</v>
      </c>
      <c r="C25" s="729">
        <f>34-1</f>
        <v>33</v>
      </c>
      <c r="D25" s="718" t="s">
        <v>387</v>
      </c>
      <c r="E25" s="710">
        <v>1800000</v>
      </c>
      <c r="F25" s="693">
        <f>C25*E25/12*8</f>
        <v>39600000</v>
      </c>
      <c r="G25" s="692">
        <v>39600</v>
      </c>
      <c r="H25" s="685">
        <v>0</v>
      </c>
      <c r="I25" s="685">
        <f t="shared" si="9"/>
        <v>39600</v>
      </c>
      <c r="J25" s="685">
        <v>-720</v>
      </c>
      <c r="K25" s="685">
        <f t="shared" si="9"/>
        <v>38880</v>
      </c>
      <c r="L25" s="686">
        <v>38880</v>
      </c>
      <c r="M25" s="687">
        <f t="shared" si="8"/>
        <v>0</v>
      </c>
      <c r="N25" s="686">
        <v>38880</v>
      </c>
    </row>
    <row r="26" spans="1:14" ht="35.25" customHeight="1">
      <c r="A26" s="711"/>
      <c r="B26" s="666" t="s">
        <v>1084</v>
      </c>
      <c r="C26" s="729">
        <v>1</v>
      </c>
      <c r="D26" s="718" t="s">
        <v>387</v>
      </c>
      <c r="E26" s="710">
        <v>4308000</v>
      </c>
      <c r="F26" s="693">
        <f>C26*E26/12*8</f>
        <v>2872000</v>
      </c>
      <c r="G26" s="692">
        <v>2872</v>
      </c>
      <c r="H26" s="685">
        <v>0</v>
      </c>
      <c r="I26" s="685">
        <f t="shared" si="9"/>
        <v>2872</v>
      </c>
      <c r="J26" s="685">
        <v>0</v>
      </c>
      <c r="K26" s="685">
        <f t="shared" si="9"/>
        <v>2872</v>
      </c>
      <c r="L26" s="686">
        <f t="shared" si="9"/>
        <v>2872</v>
      </c>
      <c r="M26" s="687">
        <f t="shared" si="8"/>
        <v>0</v>
      </c>
      <c r="N26" s="686">
        <f t="shared" si="9"/>
        <v>2872</v>
      </c>
    </row>
    <row r="27" spans="1:14" ht="15.75" customHeight="1">
      <c r="A27" s="711"/>
      <c r="B27" s="666" t="s">
        <v>427</v>
      </c>
      <c r="C27" s="729">
        <f>34-1</f>
        <v>33</v>
      </c>
      <c r="D27" s="718" t="s">
        <v>387</v>
      </c>
      <c r="E27" s="710">
        <v>1800000</v>
      </c>
      <c r="F27" s="693">
        <f>C27*E27/12*4</f>
        <v>19800000</v>
      </c>
      <c r="G27" s="692">
        <v>19800</v>
      </c>
      <c r="H27" s="685">
        <v>0</v>
      </c>
      <c r="I27" s="685">
        <f t="shared" si="9"/>
        <v>19800</v>
      </c>
      <c r="J27" s="685">
        <v>0</v>
      </c>
      <c r="K27" s="685">
        <f t="shared" si="9"/>
        <v>19800</v>
      </c>
      <c r="L27" s="686">
        <v>20400</v>
      </c>
      <c r="M27" s="687">
        <f t="shared" si="8"/>
        <v>600</v>
      </c>
      <c r="N27" s="686">
        <v>20400</v>
      </c>
    </row>
    <row r="28" spans="1:14" ht="39" customHeight="1">
      <c r="A28" s="711"/>
      <c r="B28" s="666" t="s">
        <v>1085</v>
      </c>
      <c r="C28" s="729">
        <v>1</v>
      </c>
      <c r="D28" s="718" t="s">
        <v>387</v>
      </c>
      <c r="E28" s="710">
        <v>4308000</v>
      </c>
      <c r="F28" s="693">
        <f>C28*E28/12*4</f>
        <v>1436000</v>
      </c>
      <c r="G28" s="692">
        <v>1436</v>
      </c>
      <c r="H28" s="685">
        <v>0</v>
      </c>
      <c r="I28" s="685">
        <f t="shared" si="9"/>
        <v>1436</v>
      </c>
      <c r="J28" s="685">
        <v>0</v>
      </c>
      <c r="K28" s="685">
        <f t="shared" si="9"/>
        <v>1436</v>
      </c>
      <c r="L28" s="686">
        <v>0</v>
      </c>
      <c r="M28" s="687">
        <f t="shared" si="8"/>
        <v>-1436</v>
      </c>
      <c r="N28" s="686">
        <v>0</v>
      </c>
    </row>
    <row r="29" spans="1:14" ht="39" customHeight="1">
      <c r="A29" s="711"/>
      <c r="B29" s="666" t="s">
        <v>1086</v>
      </c>
      <c r="C29" s="729">
        <v>1</v>
      </c>
      <c r="D29" s="718" t="s">
        <v>387</v>
      </c>
      <c r="E29" s="730" t="s">
        <v>691</v>
      </c>
      <c r="F29" s="693">
        <v>0</v>
      </c>
      <c r="G29" s="692">
        <v>0</v>
      </c>
      <c r="H29" s="685">
        <v>35</v>
      </c>
      <c r="I29" s="685">
        <f t="shared" si="9"/>
        <v>35</v>
      </c>
      <c r="J29" s="685">
        <v>0</v>
      </c>
      <c r="K29" s="685">
        <f t="shared" si="9"/>
        <v>35</v>
      </c>
      <c r="L29" s="686">
        <v>0</v>
      </c>
      <c r="M29" s="687">
        <f t="shared" si="8"/>
        <v>-35</v>
      </c>
      <c r="N29" s="686">
        <v>0</v>
      </c>
    </row>
    <row r="30" spans="1:14" ht="28.5" customHeight="1">
      <c r="A30" s="719" t="s">
        <v>421</v>
      </c>
      <c r="B30" s="731" t="s">
        <v>428</v>
      </c>
      <c r="C30" s="705"/>
      <c r="D30" s="718"/>
      <c r="E30" s="730"/>
      <c r="F30" s="724">
        <f aca="true" t="shared" si="10" ref="F30:K30">SUM(F22:F29)</f>
        <v>282574200</v>
      </c>
      <c r="G30" s="725">
        <f t="shared" si="10"/>
        <v>282574</v>
      </c>
      <c r="H30" s="725">
        <f t="shared" si="10"/>
        <v>2066</v>
      </c>
      <c r="I30" s="725">
        <f t="shared" si="10"/>
        <v>284641</v>
      </c>
      <c r="J30" s="725">
        <f t="shared" si="10"/>
        <v>-2156</v>
      </c>
      <c r="K30" s="725">
        <f t="shared" si="10"/>
        <v>282485</v>
      </c>
      <c r="L30" s="726">
        <f aca="true" t="shared" si="11" ref="L30">SUM(L22:L29)</f>
        <v>279848</v>
      </c>
      <c r="M30" s="687">
        <f t="shared" si="8"/>
        <v>-2637</v>
      </c>
      <c r="N30" s="726">
        <f>SUM(N22:N29)</f>
        <v>279848</v>
      </c>
    </row>
    <row r="31" spans="1:14" ht="13.5">
      <c r="A31" s="711" t="s">
        <v>429</v>
      </c>
      <c r="B31" s="712" t="s">
        <v>430</v>
      </c>
      <c r="C31" s="732"/>
      <c r="D31" s="718"/>
      <c r="E31" s="710"/>
      <c r="F31" s="714"/>
      <c r="G31" s="684"/>
      <c r="H31" s="685"/>
      <c r="I31" s="685"/>
      <c r="J31" s="685"/>
      <c r="K31" s="685"/>
      <c r="L31" s="686"/>
      <c r="M31" s="687">
        <f t="shared" si="8"/>
        <v>0</v>
      </c>
      <c r="N31" s="686"/>
    </row>
    <row r="32" spans="1:14" ht="12.75">
      <c r="A32" s="733" t="s">
        <v>431</v>
      </c>
      <c r="B32" s="689" t="s">
        <v>432</v>
      </c>
      <c r="C32" s="732">
        <v>1</v>
      </c>
      <c r="D32" s="718" t="s">
        <v>387</v>
      </c>
      <c r="E32" s="710" t="s">
        <v>692</v>
      </c>
      <c r="F32" s="693">
        <v>23333</v>
      </c>
      <c r="G32" s="692">
        <v>23</v>
      </c>
      <c r="H32" s="685">
        <v>30</v>
      </c>
      <c r="I32" s="685">
        <f>G32+H32</f>
        <v>53</v>
      </c>
      <c r="J32" s="685">
        <v>0</v>
      </c>
      <c r="K32" s="685">
        <f>I32+J32</f>
        <v>53</v>
      </c>
      <c r="L32" s="686">
        <f>J32+K32</f>
        <v>53</v>
      </c>
      <c r="M32" s="687">
        <f t="shared" si="8"/>
        <v>0</v>
      </c>
      <c r="N32" s="686">
        <f>L32+M32</f>
        <v>53</v>
      </c>
    </row>
    <row r="33" spans="1:14" ht="13.5">
      <c r="A33" s="711"/>
      <c r="B33" s="689" t="s">
        <v>433</v>
      </c>
      <c r="C33" s="732">
        <v>561</v>
      </c>
      <c r="D33" s="718" t="s">
        <v>387</v>
      </c>
      <c r="E33" s="710" t="s">
        <v>692</v>
      </c>
      <c r="F33" s="693">
        <v>26180000</v>
      </c>
      <c r="G33" s="692">
        <v>26180</v>
      </c>
      <c r="H33" s="685">
        <v>3740</v>
      </c>
      <c r="I33" s="685">
        <f>G33+H33</f>
        <v>29920</v>
      </c>
      <c r="J33" s="685">
        <v>-267</v>
      </c>
      <c r="K33" s="685">
        <f>I33+J33</f>
        <v>29653</v>
      </c>
      <c r="L33" s="686">
        <v>29653</v>
      </c>
      <c r="M33" s="687">
        <f t="shared" si="8"/>
        <v>0</v>
      </c>
      <c r="N33" s="686">
        <v>29653</v>
      </c>
    </row>
    <row r="34" spans="1:14" ht="13.5">
      <c r="A34" s="711"/>
      <c r="B34" s="689" t="s">
        <v>434</v>
      </c>
      <c r="C34" s="732">
        <v>1</v>
      </c>
      <c r="D34" s="718" t="s">
        <v>387</v>
      </c>
      <c r="E34" s="710" t="s">
        <v>692</v>
      </c>
      <c r="F34" s="693">
        <v>11667</v>
      </c>
      <c r="G34" s="692">
        <v>12</v>
      </c>
      <c r="H34" s="685">
        <v>15</v>
      </c>
      <c r="I34" s="685">
        <f>G34+H34</f>
        <v>27</v>
      </c>
      <c r="J34" s="685">
        <v>0</v>
      </c>
      <c r="K34" s="685">
        <f>I34+J34</f>
        <v>27</v>
      </c>
      <c r="L34" s="686">
        <v>0</v>
      </c>
      <c r="M34" s="687">
        <f t="shared" si="8"/>
        <v>-27</v>
      </c>
      <c r="N34" s="686">
        <v>0</v>
      </c>
    </row>
    <row r="35" spans="1:14" ht="13.5">
      <c r="A35" s="711"/>
      <c r="B35" s="689" t="s">
        <v>435</v>
      </c>
      <c r="C35" s="732">
        <v>552</v>
      </c>
      <c r="D35" s="718" t="s">
        <v>387</v>
      </c>
      <c r="E35" s="710" t="s">
        <v>692</v>
      </c>
      <c r="F35" s="693">
        <v>12880000</v>
      </c>
      <c r="G35" s="692">
        <v>12880</v>
      </c>
      <c r="H35" s="685">
        <v>1840</v>
      </c>
      <c r="I35" s="685">
        <f>G35+H35</f>
        <v>14720</v>
      </c>
      <c r="J35" s="685">
        <v>0</v>
      </c>
      <c r="K35" s="685">
        <f>I35+J35</f>
        <v>14720</v>
      </c>
      <c r="L35" s="686">
        <v>14294</v>
      </c>
      <c r="M35" s="687">
        <f t="shared" si="8"/>
        <v>-426</v>
      </c>
      <c r="N35" s="686">
        <v>14294</v>
      </c>
    </row>
    <row r="36" spans="1:14" ht="12.75">
      <c r="A36" s="733" t="s">
        <v>436</v>
      </c>
      <c r="B36" s="689" t="s">
        <v>561</v>
      </c>
      <c r="C36" s="732"/>
      <c r="D36" s="718"/>
      <c r="E36" s="710"/>
      <c r="F36" s="734">
        <v>0</v>
      </c>
      <c r="G36" s="692">
        <v>0</v>
      </c>
      <c r="H36" s="685">
        <v>0</v>
      </c>
      <c r="I36" s="685">
        <f>G36+H36</f>
        <v>0</v>
      </c>
      <c r="J36" s="685">
        <v>0</v>
      </c>
      <c r="K36" s="685">
        <f>I36+J36</f>
        <v>0</v>
      </c>
      <c r="L36" s="686">
        <f>J36+K36</f>
        <v>0</v>
      </c>
      <c r="M36" s="687">
        <f t="shared" si="8"/>
        <v>0</v>
      </c>
      <c r="N36" s="686">
        <f>L36+M36</f>
        <v>0</v>
      </c>
    </row>
    <row r="37" spans="1:14" ht="12.75">
      <c r="A37" s="719" t="s">
        <v>437</v>
      </c>
      <c r="B37" s="735" t="s">
        <v>438</v>
      </c>
      <c r="C37" s="732"/>
      <c r="D37" s="718"/>
      <c r="E37" s="710"/>
      <c r="F37" s="727">
        <f aca="true" t="shared" si="12" ref="F37:L37">SUM(F32:F36)</f>
        <v>39095000</v>
      </c>
      <c r="G37" s="725">
        <f t="shared" si="12"/>
        <v>39095</v>
      </c>
      <c r="H37" s="725">
        <f t="shared" si="12"/>
        <v>5625</v>
      </c>
      <c r="I37" s="725">
        <f t="shared" si="12"/>
        <v>44720</v>
      </c>
      <c r="J37" s="725">
        <f t="shared" si="12"/>
        <v>-267</v>
      </c>
      <c r="K37" s="725">
        <f t="shared" si="12"/>
        <v>44453</v>
      </c>
      <c r="L37" s="726">
        <f t="shared" si="12"/>
        <v>44000</v>
      </c>
      <c r="M37" s="687">
        <f t="shared" si="8"/>
        <v>-453</v>
      </c>
      <c r="N37" s="726">
        <f>SUM(N32:N36)</f>
        <v>44000</v>
      </c>
    </row>
    <row r="38" spans="1:14" ht="12.75">
      <c r="A38" s="719" t="s">
        <v>439</v>
      </c>
      <c r="B38" s="735" t="s">
        <v>440</v>
      </c>
      <c r="C38" s="732"/>
      <c r="D38" s="718"/>
      <c r="E38" s="710"/>
      <c r="F38" s="727">
        <v>2504000</v>
      </c>
      <c r="G38" s="725">
        <v>2504</v>
      </c>
      <c r="H38" s="685">
        <v>0</v>
      </c>
      <c r="I38" s="685">
        <f>G38+H38</f>
        <v>2504</v>
      </c>
      <c r="J38" s="685">
        <v>0</v>
      </c>
      <c r="K38" s="685">
        <f aca="true" t="shared" si="13" ref="K38:N41">I38+J38</f>
        <v>2504</v>
      </c>
      <c r="L38" s="686">
        <f t="shared" si="13"/>
        <v>2504</v>
      </c>
      <c r="M38" s="687">
        <f t="shared" si="8"/>
        <v>0</v>
      </c>
      <c r="N38" s="686">
        <f t="shared" si="13"/>
        <v>2504</v>
      </c>
    </row>
    <row r="39" spans="1:14" ht="13.5">
      <c r="A39" s="711" t="s">
        <v>441</v>
      </c>
      <c r="B39" s="712" t="s">
        <v>442</v>
      </c>
      <c r="C39" s="732"/>
      <c r="D39" s="718"/>
      <c r="E39" s="710"/>
      <c r="F39" s="734"/>
      <c r="G39" s="692"/>
      <c r="H39" s="685">
        <v>0</v>
      </c>
      <c r="I39" s="685">
        <f>G39+H39</f>
        <v>0</v>
      </c>
      <c r="J39" s="685">
        <v>0</v>
      </c>
      <c r="K39" s="685">
        <f t="shared" si="13"/>
        <v>0</v>
      </c>
      <c r="L39" s="686">
        <f t="shared" si="13"/>
        <v>0</v>
      </c>
      <c r="M39" s="687">
        <f t="shared" si="8"/>
        <v>0</v>
      </c>
      <c r="N39" s="686">
        <f t="shared" si="13"/>
        <v>0</v>
      </c>
    </row>
    <row r="40" spans="1:14" ht="13.5">
      <c r="A40" s="711"/>
      <c r="B40" s="689" t="s">
        <v>443</v>
      </c>
      <c r="C40" s="732">
        <v>11</v>
      </c>
      <c r="D40" s="718" t="s">
        <v>387</v>
      </c>
      <c r="E40" s="710">
        <v>384000</v>
      </c>
      <c r="F40" s="734">
        <f>C40*E40</f>
        <v>4224000</v>
      </c>
      <c r="G40" s="692">
        <v>4224</v>
      </c>
      <c r="H40" s="685">
        <v>0</v>
      </c>
      <c r="I40" s="685">
        <f>G40+H40</f>
        <v>4224</v>
      </c>
      <c r="J40" s="685">
        <v>0</v>
      </c>
      <c r="K40" s="685">
        <f t="shared" si="13"/>
        <v>4224</v>
      </c>
      <c r="L40" s="686">
        <f t="shared" si="13"/>
        <v>4224</v>
      </c>
      <c r="M40" s="687">
        <f t="shared" si="8"/>
        <v>0</v>
      </c>
      <c r="N40" s="686">
        <f t="shared" si="13"/>
        <v>4224</v>
      </c>
    </row>
    <row r="41" spans="1:14" ht="13.5">
      <c r="A41" s="711"/>
      <c r="B41" s="689" t="s">
        <v>444</v>
      </c>
      <c r="C41" s="732">
        <v>3</v>
      </c>
      <c r="D41" s="718" t="s">
        <v>387</v>
      </c>
      <c r="E41" s="710">
        <f>384000/12*11</f>
        <v>352000</v>
      </c>
      <c r="F41" s="734">
        <f>C41*E41</f>
        <v>1056000</v>
      </c>
      <c r="G41" s="692">
        <v>1056</v>
      </c>
      <c r="H41" s="685">
        <v>704</v>
      </c>
      <c r="I41" s="685">
        <f>G41+H41</f>
        <v>1760</v>
      </c>
      <c r="J41" s="685">
        <v>0</v>
      </c>
      <c r="K41" s="685">
        <f t="shared" si="13"/>
        <v>1760</v>
      </c>
      <c r="L41" s="686">
        <f t="shared" si="13"/>
        <v>1760</v>
      </c>
      <c r="M41" s="687">
        <f t="shared" si="8"/>
        <v>0</v>
      </c>
      <c r="N41" s="686">
        <f t="shared" si="13"/>
        <v>1760</v>
      </c>
    </row>
    <row r="42" spans="1:14" ht="12.75">
      <c r="A42" s="719" t="s">
        <v>441</v>
      </c>
      <c r="B42" s="735" t="s">
        <v>442</v>
      </c>
      <c r="C42" s="732"/>
      <c r="D42" s="718"/>
      <c r="E42" s="710"/>
      <c r="F42" s="727">
        <f aca="true" t="shared" si="14" ref="F42:K42">SUM(F40:F41)</f>
        <v>5280000</v>
      </c>
      <c r="G42" s="725">
        <f t="shared" si="14"/>
        <v>5280</v>
      </c>
      <c r="H42" s="725">
        <f t="shared" si="14"/>
        <v>704</v>
      </c>
      <c r="I42" s="725">
        <f t="shared" si="14"/>
        <v>5984</v>
      </c>
      <c r="J42" s="725">
        <f t="shared" si="14"/>
        <v>0</v>
      </c>
      <c r="K42" s="725">
        <f t="shared" si="14"/>
        <v>5984</v>
      </c>
      <c r="L42" s="726">
        <f aca="true" t="shared" si="15" ref="L42">SUM(L40:L41)</f>
        <v>5984</v>
      </c>
      <c r="M42" s="687">
        <f t="shared" si="8"/>
        <v>0</v>
      </c>
      <c r="N42" s="726">
        <f>SUM(N40:N41)</f>
        <v>5984</v>
      </c>
    </row>
    <row r="43" spans="1:14" ht="18" customHeight="1">
      <c r="A43" s="719" t="s">
        <v>445</v>
      </c>
      <c r="B43" s="731" t="s">
        <v>446</v>
      </c>
      <c r="C43" s="732"/>
      <c r="D43" s="718"/>
      <c r="E43" s="710"/>
      <c r="F43" s="727">
        <f aca="true" t="shared" si="16" ref="F43:L43">F30+F37+F38+F42</f>
        <v>329453200</v>
      </c>
      <c r="G43" s="725">
        <f t="shared" si="16"/>
        <v>329453</v>
      </c>
      <c r="H43" s="725">
        <f t="shared" si="16"/>
        <v>8395</v>
      </c>
      <c r="I43" s="725">
        <f t="shared" si="16"/>
        <v>337849</v>
      </c>
      <c r="J43" s="725">
        <f t="shared" si="16"/>
        <v>-2423</v>
      </c>
      <c r="K43" s="725">
        <f t="shared" si="16"/>
        <v>335426</v>
      </c>
      <c r="L43" s="726">
        <f t="shared" si="16"/>
        <v>332336</v>
      </c>
      <c r="M43" s="687">
        <f t="shared" si="8"/>
        <v>-3090</v>
      </c>
      <c r="N43" s="726">
        <f>N30+N37+N38+N42</f>
        <v>332336</v>
      </c>
    </row>
    <row r="44" spans="1:14" ht="12.75">
      <c r="A44" s="733" t="s">
        <v>447</v>
      </c>
      <c r="B44" s="736" t="s">
        <v>448</v>
      </c>
      <c r="C44" s="732"/>
      <c r="D44" s="718"/>
      <c r="E44" s="710"/>
      <c r="F44" s="693"/>
      <c r="G44" s="692"/>
      <c r="H44" s="685"/>
      <c r="I44" s="685"/>
      <c r="J44" s="685"/>
      <c r="K44" s="685"/>
      <c r="L44" s="686"/>
      <c r="M44" s="687">
        <f t="shared" si="8"/>
        <v>0</v>
      </c>
      <c r="N44" s="686"/>
    </row>
    <row r="45" spans="1:14" ht="31.5" customHeight="1">
      <c r="A45" s="711" t="s">
        <v>449</v>
      </c>
      <c r="B45" s="689" t="s">
        <v>450</v>
      </c>
      <c r="C45" s="737">
        <v>8.4</v>
      </c>
      <c r="D45" s="738" t="s">
        <v>451</v>
      </c>
      <c r="E45" s="710">
        <v>3000000</v>
      </c>
      <c r="F45" s="714">
        <f>C45*E45</f>
        <v>25200000</v>
      </c>
      <c r="G45" s="684">
        <v>17400</v>
      </c>
      <c r="H45" s="685">
        <v>7800</v>
      </c>
      <c r="I45" s="685">
        <f aca="true" t="shared" si="17" ref="I45:N56">G45+H45</f>
        <v>25200</v>
      </c>
      <c r="J45" s="685">
        <v>0</v>
      </c>
      <c r="K45" s="685">
        <f t="shared" si="17"/>
        <v>25200</v>
      </c>
      <c r="L45" s="686">
        <f t="shared" si="17"/>
        <v>25200</v>
      </c>
      <c r="M45" s="687">
        <f t="shared" si="8"/>
        <v>0</v>
      </c>
      <c r="N45" s="686">
        <f t="shared" si="17"/>
        <v>25200</v>
      </c>
    </row>
    <row r="46" spans="1:14" ht="31.5" customHeight="1">
      <c r="A46" s="711" t="s">
        <v>452</v>
      </c>
      <c r="B46" s="689" t="s">
        <v>453</v>
      </c>
      <c r="C46" s="737">
        <v>4.9</v>
      </c>
      <c r="D46" s="738" t="s">
        <v>451</v>
      </c>
      <c r="E46" s="710">
        <v>3000000</v>
      </c>
      <c r="F46" s="714">
        <f>C46*E46</f>
        <v>14700000.000000002</v>
      </c>
      <c r="G46" s="684">
        <v>14700</v>
      </c>
      <c r="H46" s="685">
        <v>0</v>
      </c>
      <c r="I46" s="685">
        <f t="shared" si="17"/>
        <v>14700</v>
      </c>
      <c r="J46" s="685">
        <v>0</v>
      </c>
      <c r="K46" s="685">
        <f t="shared" si="17"/>
        <v>14700</v>
      </c>
      <c r="L46" s="686">
        <f t="shared" si="17"/>
        <v>14700</v>
      </c>
      <c r="M46" s="687">
        <f t="shared" si="8"/>
        <v>0</v>
      </c>
      <c r="N46" s="686">
        <f t="shared" si="17"/>
        <v>14700</v>
      </c>
    </row>
    <row r="47" spans="1:14" ht="13.5">
      <c r="A47" s="711" t="s">
        <v>454</v>
      </c>
      <c r="B47" s="689" t="s">
        <v>455</v>
      </c>
      <c r="C47" s="732" t="s">
        <v>693</v>
      </c>
      <c r="D47" s="718" t="s">
        <v>387</v>
      </c>
      <c r="E47" s="710">
        <v>55360</v>
      </c>
      <c r="F47" s="714">
        <v>3836448</v>
      </c>
      <c r="G47" s="684">
        <v>3836</v>
      </c>
      <c r="H47" s="685">
        <v>122</v>
      </c>
      <c r="I47" s="685">
        <f t="shared" si="17"/>
        <v>3958</v>
      </c>
      <c r="J47" s="685">
        <v>0</v>
      </c>
      <c r="K47" s="685">
        <f t="shared" si="17"/>
        <v>3958</v>
      </c>
      <c r="L47" s="686">
        <f t="shared" si="17"/>
        <v>3958</v>
      </c>
      <c r="M47" s="687">
        <f t="shared" si="8"/>
        <v>0</v>
      </c>
      <c r="N47" s="686">
        <f t="shared" si="17"/>
        <v>3958</v>
      </c>
    </row>
    <row r="48" spans="1:14" ht="29.25" customHeight="1">
      <c r="A48" s="711" t="s">
        <v>456</v>
      </c>
      <c r="B48" s="666" t="s">
        <v>457</v>
      </c>
      <c r="C48" s="732">
        <v>20</v>
      </c>
      <c r="D48" s="718" t="s">
        <v>387</v>
      </c>
      <c r="E48" s="710">
        <f>145000</f>
        <v>145000</v>
      </c>
      <c r="F48" s="714">
        <f>C48*E48*130%</f>
        <v>3770000</v>
      </c>
      <c r="G48" s="684">
        <v>3770</v>
      </c>
      <c r="H48" s="685">
        <v>0</v>
      </c>
      <c r="I48" s="685">
        <f t="shared" si="17"/>
        <v>3770</v>
      </c>
      <c r="J48" s="685">
        <v>0</v>
      </c>
      <c r="K48" s="685">
        <f t="shared" si="17"/>
        <v>3770</v>
      </c>
      <c r="L48" s="686">
        <f t="shared" si="17"/>
        <v>3770</v>
      </c>
      <c r="M48" s="687">
        <f t="shared" si="8"/>
        <v>0</v>
      </c>
      <c r="N48" s="686">
        <f t="shared" si="17"/>
        <v>3770</v>
      </c>
    </row>
    <row r="49" spans="1:14" ht="25.5">
      <c r="A49" s="711" t="s">
        <v>458</v>
      </c>
      <c r="B49" s="666" t="s">
        <v>459</v>
      </c>
      <c r="C49" s="732">
        <v>65</v>
      </c>
      <c r="D49" s="718" t="s">
        <v>387</v>
      </c>
      <c r="E49" s="710">
        <v>109000</v>
      </c>
      <c r="F49" s="714">
        <f>C49*E49*150%</f>
        <v>10627500</v>
      </c>
      <c r="G49" s="684">
        <v>10628</v>
      </c>
      <c r="H49" s="685">
        <v>0</v>
      </c>
      <c r="I49" s="685">
        <f t="shared" si="17"/>
        <v>10628</v>
      </c>
      <c r="J49" s="685">
        <v>0</v>
      </c>
      <c r="K49" s="685">
        <f t="shared" si="17"/>
        <v>10628</v>
      </c>
      <c r="L49" s="686">
        <f t="shared" si="17"/>
        <v>10628</v>
      </c>
      <c r="M49" s="687">
        <f t="shared" si="8"/>
        <v>0</v>
      </c>
      <c r="N49" s="686">
        <f t="shared" si="17"/>
        <v>10628</v>
      </c>
    </row>
    <row r="50" spans="1:14" ht="25.5">
      <c r="A50" s="711" t="s">
        <v>460</v>
      </c>
      <c r="B50" s="666" t="s">
        <v>461</v>
      </c>
      <c r="C50" s="732">
        <v>32</v>
      </c>
      <c r="D50" s="718" t="s">
        <v>387</v>
      </c>
      <c r="E50" s="710">
        <v>500000</v>
      </c>
      <c r="F50" s="714">
        <f>C50*E50*110%</f>
        <v>17600000</v>
      </c>
      <c r="G50" s="684">
        <v>17600</v>
      </c>
      <c r="H50" s="685">
        <v>0</v>
      </c>
      <c r="I50" s="685">
        <f t="shared" si="17"/>
        <v>17600</v>
      </c>
      <c r="J50" s="685">
        <v>0</v>
      </c>
      <c r="K50" s="685">
        <f t="shared" si="17"/>
        <v>17600</v>
      </c>
      <c r="L50" s="686">
        <f t="shared" si="17"/>
        <v>17600</v>
      </c>
      <c r="M50" s="687">
        <f t="shared" si="8"/>
        <v>0</v>
      </c>
      <c r="N50" s="686">
        <f t="shared" si="17"/>
        <v>17600</v>
      </c>
    </row>
    <row r="51" spans="1:14" ht="25.5">
      <c r="A51" s="711" t="s">
        <v>462</v>
      </c>
      <c r="B51" s="666" t="s">
        <v>463</v>
      </c>
      <c r="C51" s="732" t="s">
        <v>694</v>
      </c>
      <c r="D51" s="718" t="s">
        <v>387</v>
      </c>
      <c r="E51" s="710">
        <v>206100</v>
      </c>
      <c r="F51" s="714">
        <v>8161560</v>
      </c>
      <c r="G51" s="684">
        <v>8162</v>
      </c>
      <c r="H51" s="685">
        <v>495</v>
      </c>
      <c r="I51" s="685">
        <f t="shared" si="17"/>
        <v>8657</v>
      </c>
      <c r="J51" s="685">
        <v>0</v>
      </c>
      <c r="K51" s="685">
        <f t="shared" si="17"/>
        <v>8657</v>
      </c>
      <c r="L51" s="686">
        <f t="shared" si="17"/>
        <v>8657</v>
      </c>
      <c r="M51" s="687">
        <f t="shared" si="8"/>
        <v>0</v>
      </c>
      <c r="N51" s="686">
        <f t="shared" si="17"/>
        <v>8657</v>
      </c>
    </row>
    <row r="52" spans="1:14" ht="12.75">
      <c r="A52" s="719" t="s">
        <v>464</v>
      </c>
      <c r="B52" s="735" t="s">
        <v>465</v>
      </c>
      <c r="C52" s="739"/>
      <c r="D52" s="718"/>
      <c r="E52" s="710"/>
      <c r="F52" s="724"/>
      <c r="G52" s="725"/>
      <c r="H52" s="685">
        <v>0</v>
      </c>
      <c r="I52" s="685"/>
      <c r="J52" s="685"/>
      <c r="K52" s="685"/>
      <c r="L52" s="686"/>
      <c r="M52" s="687">
        <f t="shared" si="8"/>
        <v>0</v>
      </c>
      <c r="N52" s="686"/>
    </row>
    <row r="53" spans="1:14" ht="12.75">
      <c r="A53" s="695" t="s">
        <v>466</v>
      </c>
      <c r="B53" s="666" t="s">
        <v>467</v>
      </c>
      <c r="C53" s="732">
        <v>71</v>
      </c>
      <c r="D53" s="718" t="s">
        <v>387</v>
      </c>
      <c r="E53" s="710">
        <v>494100</v>
      </c>
      <c r="F53" s="693">
        <f>C53*E53</f>
        <v>35081100</v>
      </c>
      <c r="G53" s="692">
        <v>35081</v>
      </c>
      <c r="H53" s="685">
        <v>0</v>
      </c>
      <c r="I53" s="685">
        <f t="shared" si="17"/>
        <v>35081</v>
      </c>
      <c r="J53" s="685">
        <v>-494</v>
      </c>
      <c r="K53" s="685">
        <f t="shared" si="17"/>
        <v>34587</v>
      </c>
      <c r="L53" s="686">
        <v>36563</v>
      </c>
      <c r="M53" s="687">
        <f t="shared" si="8"/>
        <v>1976</v>
      </c>
      <c r="N53" s="686">
        <v>36563</v>
      </c>
    </row>
    <row r="54" spans="1:14" ht="25.5">
      <c r="A54" s="695" t="s">
        <v>466</v>
      </c>
      <c r="B54" s="666" t="s">
        <v>468</v>
      </c>
      <c r="C54" s="732">
        <v>0</v>
      </c>
      <c r="D54" s="718" t="s">
        <v>387</v>
      </c>
      <c r="E54" s="710">
        <v>494100</v>
      </c>
      <c r="F54" s="693">
        <v>0</v>
      </c>
      <c r="G54" s="692">
        <v>0</v>
      </c>
      <c r="H54" s="685">
        <v>0</v>
      </c>
      <c r="I54" s="685">
        <f t="shared" si="17"/>
        <v>0</v>
      </c>
      <c r="J54" s="685">
        <v>519</v>
      </c>
      <c r="K54" s="685">
        <f t="shared" si="17"/>
        <v>519</v>
      </c>
      <c r="L54" s="686">
        <v>0</v>
      </c>
      <c r="M54" s="687">
        <f t="shared" si="8"/>
        <v>-519</v>
      </c>
      <c r="N54" s="686">
        <v>0</v>
      </c>
    </row>
    <row r="55" spans="1:14" ht="25.5">
      <c r="A55" s="695" t="s">
        <v>466</v>
      </c>
      <c r="B55" s="666" t="s">
        <v>469</v>
      </c>
      <c r="C55" s="732">
        <v>0</v>
      </c>
      <c r="D55" s="718" t="s">
        <v>387</v>
      </c>
      <c r="E55" s="710">
        <v>494100</v>
      </c>
      <c r="F55" s="693">
        <v>0</v>
      </c>
      <c r="G55" s="692">
        <v>0</v>
      </c>
      <c r="H55" s="685">
        <v>0</v>
      </c>
      <c r="I55" s="685">
        <f t="shared" si="17"/>
        <v>0</v>
      </c>
      <c r="J55" s="685">
        <v>0</v>
      </c>
      <c r="K55" s="685">
        <f t="shared" si="17"/>
        <v>0</v>
      </c>
      <c r="L55" s="686">
        <f t="shared" si="17"/>
        <v>0</v>
      </c>
      <c r="M55" s="687">
        <f t="shared" si="8"/>
        <v>0</v>
      </c>
      <c r="N55" s="686">
        <f t="shared" si="17"/>
        <v>0</v>
      </c>
    </row>
    <row r="56" spans="1:14" ht="12.75">
      <c r="A56" s="695" t="s">
        <v>466</v>
      </c>
      <c r="B56" s="736" t="s">
        <v>470</v>
      </c>
      <c r="C56" s="732">
        <v>2</v>
      </c>
      <c r="D56" s="718" t="s">
        <v>387</v>
      </c>
      <c r="E56" s="710">
        <v>494100</v>
      </c>
      <c r="F56" s="693">
        <f>C56*E56*150%</f>
        <v>1482300</v>
      </c>
      <c r="G56" s="692">
        <v>1482</v>
      </c>
      <c r="H56" s="685">
        <v>0</v>
      </c>
      <c r="I56" s="685">
        <f t="shared" si="17"/>
        <v>1482</v>
      </c>
      <c r="J56" s="685"/>
      <c r="K56" s="685">
        <f t="shared" si="17"/>
        <v>1482</v>
      </c>
      <c r="L56" s="686">
        <v>2965</v>
      </c>
      <c r="M56" s="687">
        <f t="shared" si="8"/>
        <v>1483</v>
      </c>
      <c r="N56" s="686">
        <v>2965</v>
      </c>
    </row>
    <row r="57" spans="1:14" ht="12.75">
      <c r="A57" s="719" t="s">
        <v>464</v>
      </c>
      <c r="B57" s="735" t="s">
        <v>471</v>
      </c>
      <c r="C57" s="732"/>
      <c r="D57" s="718"/>
      <c r="E57" s="710"/>
      <c r="F57" s="724">
        <f aca="true" t="shared" si="18" ref="F57:K57">SUM(F53:F56)</f>
        <v>36563400</v>
      </c>
      <c r="G57" s="725">
        <f t="shared" si="18"/>
        <v>36563</v>
      </c>
      <c r="H57" s="725">
        <f t="shared" si="18"/>
        <v>0</v>
      </c>
      <c r="I57" s="725">
        <f t="shared" si="18"/>
        <v>36563</v>
      </c>
      <c r="J57" s="725">
        <f t="shared" si="18"/>
        <v>25</v>
      </c>
      <c r="K57" s="725">
        <f t="shared" si="18"/>
        <v>36588</v>
      </c>
      <c r="L57" s="726">
        <f aca="true" t="shared" si="19" ref="L57">SUM(L53:L56)</f>
        <v>39528</v>
      </c>
      <c r="M57" s="687">
        <f t="shared" si="8"/>
        <v>2940</v>
      </c>
      <c r="N57" s="726">
        <f>SUM(N53:N56)</f>
        <v>39528</v>
      </c>
    </row>
    <row r="58" spans="1:14" ht="25.5">
      <c r="A58" s="711" t="s">
        <v>472</v>
      </c>
      <c r="B58" s="666" t="s">
        <v>473</v>
      </c>
      <c r="C58" s="732">
        <v>32</v>
      </c>
      <c r="D58" s="718" t="s">
        <v>474</v>
      </c>
      <c r="E58" s="710">
        <v>468350</v>
      </c>
      <c r="F58" s="714">
        <f>C58*E58*110%</f>
        <v>16485920.000000002</v>
      </c>
      <c r="G58" s="684">
        <v>16486</v>
      </c>
      <c r="H58" s="685">
        <v>0</v>
      </c>
      <c r="I58" s="685">
        <f>G58+H58</f>
        <v>16486</v>
      </c>
      <c r="J58" s="685">
        <v>0</v>
      </c>
      <c r="K58" s="685">
        <f>I58+J58</f>
        <v>16486</v>
      </c>
      <c r="L58" s="686">
        <f>J58+K58</f>
        <v>16486</v>
      </c>
      <c r="M58" s="687">
        <f t="shared" si="8"/>
        <v>0</v>
      </c>
      <c r="N58" s="686">
        <f>L58+M58</f>
        <v>16486</v>
      </c>
    </row>
    <row r="59" spans="1:14" ht="18.75" customHeight="1">
      <c r="A59" s="719" t="s">
        <v>447</v>
      </c>
      <c r="B59" s="735" t="s">
        <v>475</v>
      </c>
      <c r="C59" s="732"/>
      <c r="D59" s="718"/>
      <c r="E59" s="710"/>
      <c r="F59" s="727">
        <f aca="true" t="shared" si="20" ref="F59:L59">F45+F46+F47+F48+F49+F50+F51+F57+F58</f>
        <v>136944828</v>
      </c>
      <c r="G59" s="725">
        <f t="shared" si="20"/>
        <v>129145</v>
      </c>
      <c r="H59" s="725">
        <f t="shared" si="20"/>
        <v>8417</v>
      </c>
      <c r="I59" s="725">
        <f t="shared" si="20"/>
        <v>137562</v>
      </c>
      <c r="J59" s="725">
        <f t="shared" si="20"/>
        <v>25</v>
      </c>
      <c r="K59" s="725">
        <f t="shared" si="20"/>
        <v>137587</v>
      </c>
      <c r="L59" s="726">
        <f t="shared" si="20"/>
        <v>140527</v>
      </c>
      <c r="M59" s="687">
        <f t="shared" si="8"/>
        <v>2940</v>
      </c>
      <c r="N59" s="726">
        <f>N45+N46+N47+N48+N49+N50+N51+N57+N58</f>
        <v>140527</v>
      </c>
    </row>
    <row r="60" spans="1:14" ht="18" customHeight="1">
      <c r="A60" s="740" t="s">
        <v>476</v>
      </c>
      <c r="B60" s="741" t="s">
        <v>477</v>
      </c>
      <c r="C60" s="693">
        <v>42</v>
      </c>
      <c r="D60" s="718" t="s">
        <v>387</v>
      </c>
      <c r="E60" s="710">
        <v>2606040</v>
      </c>
      <c r="F60" s="724">
        <f>C60*E60</f>
        <v>109453680</v>
      </c>
      <c r="G60" s="692">
        <v>109454</v>
      </c>
      <c r="H60" s="685">
        <v>0</v>
      </c>
      <c r="I60" s="685">
        <f>G60+H60</f>
        <v>109454</v>
      </c>
      <c r="J60" s="685">
        <v>0</v>
      </c>
      <c r="K60" s="685">
        <f>I60+J60</f>
        <v>109454</v>
      </c>
      <c r="L60" s="686">
        <f>J60+K60</f>
        <v>109454</v>
      </c>
      <c r="M60" s="687">
        <f t="shared" si="8"/>
        <v>0</v>
      </c>
      <c r="N60" s="686">
        <f>L60+M60</f>
        <v>109454</v>
      </c>
    </row>
    <row r="61" spans="1:14" ht="18" customHeight="1">
      <c r="A61" s="740" t="s">
        <v>476</v>
      </c>
      <c r="B61" s="741" t="s">
        <v>478</v>
      </c>
      <c r="C61" s="742"/>
      <c r="D61" s="718"/>
      <c r="E61" s="743"/>
      <c r="F61" s="724">
        <v>50179000</v>
      </c>
      <c r="G61" s="692">
        <v>50179</v>
      </c>
      <c r="H61" s="685">
        <v>-2818</v>
      </c>
      <c r="I61" s="685">
        <f>G61+H61</f>
        <v>47361</v>
      </c>
      <c r="J61" s="685">
        <v>0</v>
      </c>
      <c r="K61" s="685">
        <f>I61+J61</f>
        <v>47361</v>
      </c>
      <c r="L61" s="686">
        <v>46441</v>
      </c>
      <c r="M61" s="687">
        <f t="shared" si="8"/>
        <v>-920</v>
      </c>
      <c r="N61" s="686">
        <v>46441</v>
      </c>
    </row>
    <row r="62" spans="1:14" ht="18" customHeight="1">
      <c r="A62" s="719" t="s">
        <v>479</v>
      </c>
      <c r="B62" s="741" t="s">
        <v>480</v>
      </c>
      <c r="C62" s="693"/>
      <c r="D62" s="718"/>
      <c r="E62" s="743"/>
      <c r="F62" s="724">
        <f aca="true" t="shared" si="21" ref="F62:K62">SUM(F60:F61)</f>
        <v>159632680</v>
      </c>
      <c r="G62" s="725">
        <f t="shared" si="21"/>
        <v>159633</v>
      </c>
      <c r="H62" s="725">
        <f t="shared" si="21"/>
        <v>-2818</v>
      </c>
      <c r="I62" s="725">
        <f t="shared" si="21"/>
        <v>156815</v>
      </c>
      <c r="J62" s="725">
        <f t="shared" si="21"/>
        <v>0</v>
      </c>
      <c r="K62" s="725">
        <f t="shared" si="21"/>
        <v>156815</v>
      </c>
      <c r="L62" s="726">
        <f aca="true" t="shared" si="22" ref="L62">SUM(L60:L61)</f>
        <v>155895</v>
      </c>
      <c r="M62" s="687">
        <f t="shared" si="8"/>
        <v>-920</v>
      </c>
      <c r="N62" s="726">
        <f aca="true" t="shared" si="23" ref="N62">SUM(N60:N61)</f>
        <v>155895</v>
      </c>
    </row>
    <row r="63" spans="1:14" ht="16.5" customHeight="1">
      <c r="A63" s="711" t="s">
        <v>481</v>
      </c>
      <c r="B63" s="712" t="s">
        <v>482</v>
      </c>
      <c r="C63" s="732"/>
      <c r="D63" s="718"/>
      <c r="E63" s="710"/>
      <c r="F63" s="714"/>
      <c r="G63" s="684"/>
      <c r="H63" s="685">
        <v>0</v>
      </c>
      <c r="I63" s="685"/>
      <c r="J63" s="685"/>
      <c r="K63" s="685"/>
      <c r="L63" s="686"/>
      <c r="M63" s="687">
        <f t="shared" si="8"/>
        <v>0</v>
      </c>
      <c r="N63" s="686"/>
    </row>
    <row r="64" spans="1:14" ht="16.5" customHeight="1">
      <c r="A64" s="695" t="s">
        <v>483</v>
      </c>
      <c r="B64" s="666" t="s">
        <v>562</v>
      </c>
      <c r="C64" s="732" t="s">
        <v>695</v>
      </c>
      <c r="D64" s="718" t="s">
        <v>484</v>
      </c>
      <c r="E64" s="710">
        <v>1632000</v>
      </c>
      <c r="F64" s="693">
        <v>64268160</v>
      </c>
      <c r="G64" s="692">
        <v>64268</v>
      </c>
      <c r="H64" s="685">
        <v>65</v>
      </c>
      <c r="I64" s="685">
        <f>G64+H64</f>
        <v>64333</v>
      </c>
      <c r="J64" s="685">
        <v>0</v>
      </c>
      <c r="K64" s="685">
        <f>I64+J64</f>
        <v>64333</v>
      </c>
      <c r="L64" s="686">
        <v>59193</v>
      </c>
      <c r="M64" s="687">
        <f t="shared" si="8"/>
        <v>-5140</v>
      </c>
      <c r="N64" s="686">
        <v>59193</v>
      </c>
    </row>
    <row r="65" spans="1:14" ht="17.25" customHeight="1">
      <c r="A65" s="695" t="s">
        <v>485</v>
      </c>
      <c r="B65" s="689" t="s">
        <v>563</v>
      </c>
      <c r="C65" s="685"/>
      <c r="D65" s="718"/>
      <c r="E65" s="710"/>
      <c r="F65" s="693">
        <v>55253191</v>
      </c>
      <c r="G65" s="692">
        <v>55253</v>
      </c>
      <c r="H65" s="685">
        <v>11913</v>
      </c>
      <c r="I65" s="685">
        <f>G65+H65</f>
        <v>67166</v>
      </c>
      <c r="J65" s="685">
        <v>0</v>
      </c>
      <c r="K65" s="685">
        <f>I65+J65</f>
        <v>67166</v>
      </c>
      <c r="L65" s="686">
        <f>J65+K65</f>
        <v>67166</v>
      </c>
      <c r="M65" s="687">
        <f t="shared" si="8"/>
        <v>0</v>
      </c>
      <c r="N65" s="686">
        <f>67166-1299</f>
        <v>65867</v>
      </c>
    </row>
    <row r="66" spans="1:14" ht="17.25" customHeight="1">
      <c r="A66" s="695" t="s">
        <v>486</v>
      </c>
      <c r="B66" s="689" t="s">
        <v>487</v>
      </c>
      <c r="C66" s="685"/>
      <c r="D66" s="718"/>
      <c r="E66" s="710"/>
      <c r="F66" s="693">
        <v>0</v>
      </c>
      <c r="G66" s="692">
        <v>0</v>
      </c>
      <c r="H66" s="685">
        <v>627</v>
      </c>
      <c r="I66" s="685">
        <f>G66+H66</f>
        <v>627</v>
      </c>
      <c r="J66" s="685">
        <v>54</v>
      </c>
      <c r="K66" s="685">
        <f>I66+J66</f>
        <v>681</v>
      </c>
      <c r="L66" s="686">
        <v>449</v>
      </c>
      <c r="M66" s="687">
        <f t="shared" si="8"/>
        <v>-232</v>
      </c>
      <c r="N66" s="686">
        <v>449</v>
      </c>
    </row>
    <row r="67" spans="1:14" ht="18.75" customHeight="1">
      <c r="A67" s="719" t="s">
        <v>481</v>
      </c>
      <c r="B67" s="735" t="s">
        <v>488</v>
      </c>
      <c r="C67" s="685"/>
      <c r="D67" s="718"/>
      <c r="E67" s="710"/>
      <c r="F67" s="724">
        <f>SUM(F64:F65)</f>
        <v>119521351</v>
      </c>
      <c r="G67" s="725">
        <f aca="true" t="shared" si="24" ref="G67:L67">SUM(G64:G66)</f>
        <v>119521</v>
      </c>
      <c r="H67" s="725">
        <f t="shared" si="24"/>
        <v>12605</v>
      </c>
      <c r="I67" s="725">
        <f t="shared" si="24"/>
        <v>132126</v>
      </c>
      <c r="J67" s="725">
        <f t="shared" si="24"/>
        <v>54</v>
      </c>
      <c r="K67" s="725">
        <f t="shared" si="24"/>
        <v>132180</v>
      </c>
      <c r="L67" s="726">
        <f t="shared" si="24"/>
        <v>126808</v>
      </c>
      <c r="M67" s="687">
        <f t="shared" si="8"/>
        <v>-5372</v>
      </c>
      <c r="N67" s="726">
        <f aca="true" t="shared" si="25" ref="N67">SUM(N64:N66)</f>
        <v>125509</v>
      </c>
    </row>
    <row r="68" spans="1:14" ht="18.75" customHeight="1">
      <c r="A68" s="744" t="s">
        <v>489</v>
      </c>
      <c r="B68" s="745" t="s">
        <v>564</v>
      </c>
      <c r="C68" s="673"/>
      <c r="D68" s="746"/>
      <c r="E68" s="747"/>
      <c r="F68" s="748">
        <v>17844853</v>
      </c>
      <c r="G68" s="749">
        <v>17845</v>
      </c>
      <c r="H68" s="685">
        <v>0</v>
      </c>
      <c r="I68" s="685">
        <f>G68+H68</f>
        <v>17845</v>
      </c>
      <c r="J68" s="685">
        <v>0</v>
      </c>
      <c r="K68" s="685">
        <f>I68+J68</f>
        <v>17845</v>
      </c>
      <c r="L68" s="686">
        <f>J68+K68</f>
        <v>17845</v>
      </c>
      <c r="M68" s="687">
        <f t="shared" si="8"/>
        <v>0</v>
      </c>
      <c r="N68" s="686">
        <f>17845+975</f>
        <v>18820</v>
      </c>
    </row>
    <row r="69" spans="1:14" ht="33" customHeight="1">
      <c r="A69" s="744" t="s">
        <v>490</v>
      </c>
      <c r="B69" s="750" t="s">
        <v>491</v>
      </c>
      <c r="C69" s="673">
        <v>2</v>
      </c>
      <c r="D69" s="746" t="s">
        <v>387</v>
      </c>
      <c r="E69" s="751"/>
      <c r="F69" s="748"/>
      <c r="G69" s="749">
        <v>0</v>
      </c>
      <c r="H69" s="685">
        <v>3017</v>
      </c>
      <c r="I69" s="685">
        <f>G69+H69</f>
        <v>3017</v>
      </c>
      <c r="J69" s="685">
        <v>0</v>
      </c>
      <c r="K69" s="685">
        <f>I69+J69</f>
        <v>3017</v>
      </c>
      <c r="L69" s="686">
        <v>3621</v>
      </c>
      <c r="M69" s="687">
        <f t="shared" si="8"/>
        <v>604</v>
      </c>
      <c r="N69" s="686">
        <v>3621</v>
      </c>
    </row>
    <row r="70" spans="1:14" ht="30.75" customHeight="1">
      <c r="A70" s="752" t="s">
        <v>492</v>
      </c>
      <c r="B70" s="750" t="s">
        <v>493</v>
      </c>
      <c r="C70" s="753"/>
      <c r="D70" s="746"/>
      <c r="E70" s="710"/>
      <c r="F70" s="748">
        <f aca="true" t="shared" si="26" ref="F70:L70">F59+F62+F67+F68+F69</f>
        <v>433943712</v>
      </c>
      <c r="G70" s="725">
        <f t="shared" si="26"/>
        <v>426144</v>
      </c>
      <c r="H70" s="725">
        <f t="shared" si="26"/>
        <v>21221</v>
      </c>
      <c r="I70" s="725">
        <f t="shared" si="26"/>
        <v>447365</v>
      </c>
      <c r="J70" s="725">
        <f t="shared" si="26"/>
        <v>79</v>
      </c>
      <c r="K70" s="725">
        <f t="shared" si="26"/>
        <v>447444</v>
      </c>
      <c r="L70" s="726">
        <f t="shared" si="26"/>
        <v>444696</v>
      </c>
      <c r="M70" s="687">
        <f t="shared" si="8"/>
        <v>-2748</v>
      </c>
      <c r="N70" s="726">
        <f>N59+N62+N67+N68+N69</f>
        <v>444372</v>
      </c>
    </row>
    <row r="71" spans="1:14" ht="25.5">
      <c r="A71" s="719" t="s">
        <v>494</v>
      </c>
      <c r="B71" s="666" t="s">
        <v>495</v>
      </c>
      <c r="C71" s="732"/>
      <c r="D71" s="718"/>
      <c r="E71" s="710"/>
      <c r="F71" s="724"/>
      <c r="G71" s="725"/>
      <c r="H71" s="685"/>
      <c r="I71" s="685"/>
      <c r="J71" s="685"/>
      <c r="K71" s="685"/>
      <c r="L71" s="686"/>
      <c r="M71" s="687">
        <f t="shared" si="8"/>
        <v>0</v>
      </c>
      <c r="N71" s="686"/>
    </row>
    <row r="72" spans="1:14" ht="15.75" customHeight="1">
      <c r="A72" s="711" t="s">
        <v>496</v>
      </c>
      <c r="B72" s="666" t="s">
        <v>497</v>
      </c>
      <c r="C72" s="732"/>
      <c r="D72" s="718"/>
      <c r="E72" s="710"/>
      <c r="F72" s="714">
        <v>97200000</v>
      </c>
      <c r="G72" s="684">
        <v>97200</v>
      </c>
      <c r="H72" s="685">
        <v>0</v>
      </c>
      <c r="I72" s="685">
        <f>G72+H72</f>
        <v>97200</v>
      </c>
      <c r="J72" s="685">
        <v>0</v>
      </c>
      <c r="K72" s="685">
        <f>I72+J72</f>
        <v>97200</v>
      </c>
      <c r="L72" s="686">
        <f>J72+K72</f>
        <v>97200</v>
      </c>
      <c r="M72" s="687">
        <f t="shared" si="8"/>
        <v>0</v>
      </c>
      <c r="N72" s="686">
        <f>L72+M72</f>
        <v>97200</v>
      </c>
    </row>
    <row r="73" spans="1:14" ht="13.5">
      <c r="A73" s="711" t="s">
        <v>498</v>
      </c>
      <c r="B73" s="689" t="s">
        <v>499</v>
      </c>
      <c r="C73" s="710">
        <v>23645</v>
      </c>
      <c r="D73" s="718" t="s">
        <v>387</v>
      </c>
      <c r="E73" s="710">
        <v>1140</v>
      </c>
      <c r="F73" s="714">
        <f>C73*E73</f>
        <v>26955300</v>
      </c>
      <c r="G73" s="684">
        <v>26955</v>
      </c>
      <c r="H73" s="685">
        <v>0</v>
      </c>
      <c r="I73" s="685">
        <f>G73+H73</f>
        <v>26955</v>
      </c>
      <c r="J73" s="685">
        <v>0</v>
      </c>
      <c r="K73" s="685">
        <f>I73+J73</f>
        <v>26955</v>
      </c>
      <c r="L73" s="686">
        <f>J73+K73</f>
        <v>26955</v>
      </c>
      <c r="M73" s="687">
        <f t="shared" si="8"/>
        <v>0</v>
      </c>
      <c r="N73" s="686">
        <f>L73+M73</f>
        <v>26955</v>
      </c>
    </row>
    <row r="74" spans="1:14" ht="13.5">
      <c r="A74" s="711" t="s">
        <v>500</v>
      </c>
      <c r="B74" s="689" t="s">
        <v>1010</v>
      </c>
      <c r="C74" s="1193"/>
      <c r="D74" s="1194"/>
      <c r="E74" s="1195"/>
      <c r="F74" s="754"/>
      <c r="G74" s="684"/>
      <c r="H74" s="685"/>
      <c r="I74" s="685"/>
      <c r="J74" s="685"/>
      <c r="K74" s="685">
        <v>749</v>
      </c>
      <c r="L74" s="686">
        <v>749</v>
      </c>
      <c r="M74" s="687">
        <f t="shared" si="8"/>
        <v>0</v>
      </c>
      <c r="N74" s="686">
        <v>749</v>
      </c>
    </row>
    <row r="75" spans="1:14" ht="30" customHeight="1">
      <c r="A75" s="752" t="s">
        <v>501</v>
      </c>
      <c r="B75" s="735" t="s">
        <v>502</v>
      </c>
      <c r="C75" s="753"/>
      <c r="D75" s="746"/>
      <c r="E75" s="710"/>
      <c r="F75" s="727">
        <f aca="true" t="shared" si="27" ref="F75:K75">SUM(F72:F74)</f>
        <v>124155300</v>
      </c>
      <c r="G75" s="725">
        <f t="shared" si="27"/>
        <v>124155</v>
      </c>
      <c r="H75" s="725">
        <f t="shared" si="27"/>
        <v>0</v>
      </c>
      <c r="I75" s="725">
        <f t="shared" si="27"/>
        <v>124155</v>
      </c>
      <c r="J75" s="725">
        <f t="shared" si="27"/>
        <v>0</v>
      </c>
      <c r="K75" s="725">
        <f t="shared" si="27"/>
        <v>124904</v>
      </c>
      <c r="L75" s="726">
        <f aca="true" t="shared" si="28" ref="L75">SUM(L72:L74)</f>
        <v>124904</v>
      </c>
      <c r="M75" s="687">
        <f t="shared" si="8"/>
        <v>0</v>
      </c>
      <c r="N75" s="726">
        <f aca="true" t="shared" si="29" ref="N75">SUM(N72:N74)</f>
        <v>124904</v>
      </c>
    </row>
    <row r="76" spans="1:14" ht="21.75" customHeight="1">
      <c r="A76" s="755" t="s">
        <v>503</v>
      </c>
      <c r="B76" s="736" t="s">
        <v>504</v>
      </c>
      <c r="C76" s="739"/>
      <c r="D76" s="756"/>
      <c r="E76" s="757"/>
      <c r="F76" s="758"/>
      <c r="G76" s="725"/>
      <c r="H76" s="685"/>
      <c r="I76" s="685"/>
      <c r="J76" s="685"/>
      <c r="K76" s="685"/>
      <c r="L76" s="686"/>
      <c r="M76" s="694"/>
      <c r="N76" s="686"/>
    </row>
    <row r="77" spans="1:14" ht="12.75">
      <c r="A77" s="695"/>
      <c r="B77" s="736" t="s">
        <v>1087</v>
      </c>
      <c r="C77" s="708">
        <v>68832865331</v>
      </c>
      <c r="D77" s="702" t="s">
        <v>410</v>
      </c>
      <c r="E77" s="759" t="s">
        <v>505</v>
      </c>
      <c r="F77" s="704">
        <f>C77*E77</f>
        <v>378580759.32049996</v>
      </c>
      <c r="G77" s="699"/>
      <c r="H77" s="685"/>
      <c r="I77" s="685"/>
      <c r="J77" s="685"/>
      <c r="K77" s="685"/>
      <c r="L77" s="686"/>
      <c r="M77" s="694"/>
      <c r="N77" s="686"/>
    </row>
    <row r="78" spans="1:14" ht="38.25">
      <c r="A78" s="695"/>
      <c r="B78" s="666" t="s">
        <v>506</v>
      </c>
      <c r="C78" s="704">
        <f>F77</f>
        <v>378580759.32049996</v>
      </c>
      <c r="D78" s="738" t="s">
        <v>507</v>
      </c>
      <c r="E78" s="759" t="s">
        <v>508</v>
      </c>
      <c r="F78" s="704">
        <f>C78*E78</f>
        <v>340722683.38844997</v>
      </c>
      <c r="G78" s="699"/>
      <c r="H78" s="685"/>
      <c r="I78" s="685"/>
      <c r="J78" s="685"/>
      <c r="K78" s="685"/>
      <c r="L78" s="686"/>
      <c r="M78" s="694"/>
      <c r="N78" s="686"/>
    </row>
    <row r="79" spans="1:14" ht="25.5">
      <c r="A79" s="752" t="s">
        <v>509</v>
      </c>
      <c r="B79" s="666" t="s">
        <v>1088</v>
      </c>
      <c r="C79" s="704"/>
      <c r="D79" s="702"/>
      <c r="E79" s="759"/>
      <c r="F79" s="724">
        <v>-340722683</v>
      </c>
      <c r="G79" s="760">
        <v>-340723</v>
      </c>
      <c r="H79" s="685">
        <v>0</v>
      </c>
      <c r="I79" s="685">
        <f>G79+H79</f>
        <v>-340723</v>
      </c>
      <c r="J79" s="685">
        <v>0</v>
      </c>
      <c r="K79" s="760">
        <f>I79+J79</f>
        <v>-340723</v>
      </c>
      <c r="L79" s="761">
        <f>J79+K79</f>
        <v>-340723</v>
      </c>
      <c r="M79" s="687">
        <f aca="true" t="shared" si="30" ref="M79:M99">L79-K79</f>
        <v>0</v>
      </c>
      <c r="N79" s="761">
        <f>L79+M79</f>
        <v>-340723</v>
      </c>
    </row>
    <row r="80" spans="1:14" s="178" customFormat="1" ht="27.75" customHeight="1" thickBot="1">
      <c r="A80" s="762"/>
      <c r="B80" s="763" t="s">
        <v>804</v>
      </c>
      <c r="C80" s="764"/>
      <c r="D80" s="765"/>
      <c r="E80" s="766"/>
      <c r="F80" s="767">
        <f aca="true" t="shared" si="31" ref="F80:L80">F20+F43+F70+F75+F79</f>
        <v>1098407006</v>
      </c>
      <c r="G80" s="768">
        <f t="shared" si="31"/>
        <v>1090607</v>
      </c>
      <c r="H80" s="769">
        <f t="shared" si="31"/>
        <v>30667</v>
      </c>
      <c r="I80" s="769">
        <f t="shared" si="31"/>
        <v>1121274</v>
      </c>
      <c r="J80" s="769">
        <f t="shared" si="31"/>
        <v>-2344</v>
      </c>
      <c r="K80" s="769">
        <f t="shared" si="31"/>
        <v>1119679</v>
      </c>
      <c r="L80" s="770">
        <f t="shared" si="31"/>
        <v>1113841</v>
      </c>
      <c r="M80" s="687">
        <f t="shared" si="30"/>
        <v>-5838</v>
      </c>
      <c r="N80" s="770">
        <f>N20+N43+N70+N75+N79</f>
        <v>1113517</v>
      </c>
    </row>
    <row r="81" spans="1:14" ht="14.25" customHeight="1" thickBot="1" thickTop="1">
      <c r="A81" s="771"/>
      <c r="B81" s="772"/>
      <c r="C81" s="773"/>
      <c r="D81" s="774"/>
      <c r="E81" s="775"/>
      <c r="F81" s="776"/>
      <c r="G81" s="777"/>
      <c r="H81" s="778"/>
      <c r="I81" s="778"/>
      <c r="J81" s="778"/>
      <c r="K81" s="778"/>
      <c r="L81" s="779"/>
      <c r="M81" s="687">
        <f t="shared" si="30"/>
        <v>0</v>
      </c>
      <c r="N81" s="779"/>
    </row>
    <row r="82" spans="1:14" ht="18.75" customHeight="1" thickTop="1">
      <c r="A82" s="780" t="s">
        <v>510</v>
      </c>
      <c r="B82" s="781" t="s">
        <v>511</v>
      </c>
      <c r="C82" s="782"/>
      <c r="D82" s="783"/>
      <c r="E82" s="784"/>
      <c r="F82" s="785"/>
      <c r="G82" s="782"/>
      <c r="H82" s="673"/>
      <c r="I82" s="673"/>
      <c r="J82" s="673"/>
      <c r="K82" s="673"/>
      <c r="L82" s="786"/>
      <c r="M82" s="687">
        <f t="shared" si="30"/>
        <v>0</v>
      </c>
      <c r="N82" s="786"/>
    </row>
    <row r="83" spans="1:14" ht="18.75" customHeight="1">
      <c r="A83" s="787"/>
      <c r="B83" s="788" t="s">
        <v>512</v>
      </c>
      <c r="C83" s="753"/>
      <c r="D83" s="789" t="s">
        <v>513</v>
      </c>
      <c r="E83" s="790"/>
      <c r="F83" s="791">
        <v>3000000</v>
      </c>
      <c r="G83" s="692">
        <v>3000</v>
      </c>
      <c r="H83" s="685"/>
      <c r="I83" s="685">
        <f>G83+H83</f>
        <v>3000</v>
      </c>
      <c r="J83" s="685">
        <v>0</v>
      </c>
      <c r="K83" s="685">
        <f>I83+J83</f>
        <v>3000</v>
      </c>
      <c r="L83" s="686">
        <f>J83+K83</f>
        <v>3000</v>
      </c>
      <c r="M83" s="687">
        <f t="shared" si="30"/>
        <v>0</v>
      </c>
      <c r="N83" s="686">
        <f>L83+M83</f>
        <v>3000</v>
      </c>
    </row>
    <row r="84" spans="1:14" ht="18.75" customHeight="1">
      <c r="A84" s="787"/>
      <c r="B84" s="788" t="s">
        <v>514</v>
      </c>
      <c r="C84" s="753">
        <v>5369</v>
      </c>
      <c r="D84" s="792" t="s">
        <v>515</v>
      </c>
      <c r="E84" s="793">
        <v>1800</v>
      </c>
      <c r="F84" s="794">
        <f>C84*E84</f>
        <v>9664200</v>
      </c>
      <c r="G84" s="692">
        <v>9664</v>
      </c>
      <c r="H84" s="685"/>
      <c r="I84" s="685">
        <f>G84+H84</f>
        <v>9664</v>
      </c>
      <c r="J84" s="685">
        <v>0</v>
      </c>
      <c r="K84" s="685">
        <f>I84+J84</f>
        <v>9664</v>
      </c>
      <c r="L84" s="686">
        <f>J84+K84</f>
        <v>9664</v>
      </c>
      <c r="M84" s="687">
        <f t="shared" si="30"/>
        <v>0</v>
      </c>
      <c r="N84" s="686">
        <f>L84+M84</f>
        <v>9664</v>
      </c>
    </row>
    <row r="85" spans="1:14" ht="18" customHeight="1">
      <c r="A85" s="787"/>
      <c r="B85" s="795" t="s">
        <v>516</v>
      </c>
      <c r="C85" s="753"/>
      <c r="D85" s="792"/>
      <c r="E85" s="793"/>
      <c r="F85" s="796">
        <f aca="true" t="shared" si="32" ref="F85:K85">SUM(F83:F84)</f>
        <v>12664200</v>
      </c>
      <c r="G85" s="684">
        <f t="shared" si="32"/>
        <v>12664</v>
      </c>
      <c r="H85" s="684">
        <f t="shared" si="32"/>
        <v>0</v>
      </c>
      <c r="I85" s="684">
        <f t="shared" si="32"/>
        <v>12664</v>
      </c>
      <c r="J85" s="684">
        <f t="shared" si="32"/>
        <v>0</v>
      </c>
      <c r="K85" s="684">
        <f t="shared" si="32"/>
        <v>12664</v>
      </c>
      <c r="L85" s="715">
        <f aca="true" t="shared" si="33" ref="L85">SUM(L83:L84)</f>
        <v>12664</v>
      </c>
      <c r="M85" s="687">
        <f t="shared" si="30"/>
        <v>0</v>
      </c>
      <c r="N85" s="715">
        <f aca="true" t="shared" si="34" ref="N85">SUM(N83:N84)</f>
        <v>12664</v>
      </c>
    </row>
    <row r="86" spans="1:14" ht="18.75" customHeight="1">
      <c r="A86" s="797"/>
      <c r="B86" s="798" t="s">
        <v>517</v>
      </c>
      <c r="C86" s="732"/>
      <c r="D86" s="799"/>
      <c r="E86" s="800"/>
      <c r="F86" s="794"/>
      <c r="G86" s="692"/>
      <c r="H86" s="685"/>
      <c r="I86" s="685"/>
      <c r="J86" s="685"/>
      <c r="K86" s="685"/>
      <c r="L86" s="686"/>
      <c r="M86" s="687">
        <f t="shared" si="30"/>
        <v>0</v>
      </c>
      <c r="N86" s="686"/>
    </row>
    <row r="87" spans="1:14" ht="18.75" customHeight="1">
      <c r="A87" s="801"/>
      <c r="B87" s="788" t="s">
        <v>512</v>
      </c>
      <c r="C87" s="753"/>
      <c r="D87" s="789" t="s">
        <v>513</v>
      </c>
      <c r="E87" s="790"/>
      <c r="F87" s="794">
        <v>2000000</v>
      </c>
      <c r="G87" s="692">
        <v>2000</v>
      </c>
      <c r="H87" s="685"/>
      <c r="I87" s="685">
        <f>G87+H87</f>
        <v>2000</v>
      </c>
      <c r="J87" s="685">
        <v>0</v>
      </c>
      <c r="K87" s="685">
        <f>I87+J87</f>
        <v>2000</v>
      </c>
      <c r="L87" s="686">
        <f>J87+K87</f>
        <v>2000</v>
      </c>
      <c r="M87" s="687">
        <f t="shared" si="30"/>
        <v>0</v>
      </c>
      <c r="N87" s="686">
        <f>L87+M87</f>
        <v>2000</v>
      </c>
    </row>
    <row r="88" spans="1:14" ht="15.75" customHeight="1">
      <c r="A88" s="801"/>
      <c r="B88" s="788" t="s">
        <v>514</v>
      </c>
      <c r="C88" s="753">
        <v>40</v>
      </c>
      <c r="D88" s="792" t="s">
        <v>515</v>
      </c>
      <c r="E88" s="793">
        <v>150000</v>
      </c>
      <c r="F88" s="794">
        <f>C88*E88</f>
        <v>6000000</v>
      </c>
      <c r="G88" s="692">
        <v>6000</v>
      </c>
      <c r="H88" s="685"/>
      <c r="I88" s="685">
        <f>G88+H88</f>
        <v>6000</v>
      </c>
      <c r="J88" s="685">
        <v>0</v>
      </c>
      <c r="K88" s="685">
        <f>I88+J88</f>
        <v>6000</v>
      </c>
      <c r="L88" s="686">
        <f>J88+K88</f>
        <v>6000</v>
      </c>
      <c r="M88" s="687">
        <f t="shared" si="30"/>
        <v>0</v>
      </c>
      <c r="N88" s="686">
        <f>L88+M88</f>
        <v>6000</v>
      </c>
    </row>
    <row r="89" spans="1:14" ht="27">
      <c r="A89" s="801"/>
      <c r="B89" s="802" t="s">
        <v>518</v>
      </c>
      <c r="C89" s="777"/>
      <c r="D89" s="803"/>
      <c r="E89" s="804"/>
      <c r="F89" s="805">
        <f aca="true" t="shared" si="35" ref="F89:L89">SUM(F87:F88)</f>
        <v>8000000</v>
      </c>
      <c r="G89" s="806">
        <f t="shared" si="35"/>
        <v>8000</v>
      </c>
      <c r="H89" s="684">
        <f t="shared" si="35"/>
        <v>0</v>
      </c>
      <c r="I89" s="684">
        <f t="shared" si="35"/>
        <v>8000</v>
      </c>
      <c r="J89" s="684">
        <f t="shared" si="35"/>
        <v>0</v>
      </c>
      <c r="K89" s="684">
        <f t="shared" si="35"/>
        <v>8000</v>
      </c>
      <c r="L89" s="715">
        <f t="shared" si="35"/>
        <v>8000</v>
      </c>
      <c r="M89" s="687">
        <f t="shared" si="30"/>
        <v>0</v>
      </c>
      <c r="N89" s="715">
        <f aca="true" t="shared" si="36" ref="N89">SUM(N87:N88)</f>
        <v>8000</v>
      </c>
    </row>
    <row r="90" spans="1:14" ht="21.75" customHeight="1">
      <c r="A90" s="797"/>
      <c r="B90" s="807" t="s">
        <v>805</v>
      </c>
      <c r="C90" s="732"/>
      <c r="D90" s="799"/>
      <c r="E90" s="800"/>
      <c r="F90" s="808">
        <f aca="true" t="shared" si="37" ref="F90:L90">F85+F89</f>
        <v>20664200</v>
      </c>
      <c r="G90" s="725">
        <f t="shared" si="37"/>
        <v>20664</v>
      </c>
      <c r="H90" s="725">
        <f t="shared" si="37"/>
        <v>0</v>
      </c>
      <c r="I90" s="725">
        <f t="shared" si="37"/>
        <v>20664</v>
      </c>
      <c r="J90" s="725">
        <f t="shared" si="37"/>
        <v>0</v>
      </c>
      <c r="K90" s="725">
        <f t="shared" si="37"/>
        <v>20664</v>
      </c>
      <c r="L90" s="726">
        <f t="shared" si="37"/>
        <v>20664</v>
      </c>
      <c r="M90" s="687">
        <f t="shared" si="30"/>
        <v>0</v>
      </c>
      <c r="N90" s="726">
        <f aca="true" t="shared" si="38" ref="N90">N85+N89</f>
        <v>20664</v>
      </c>
    </row>
    <row r="91" spans="1:14" s="773" customFormat="1" ht="18" customHeight="1">
      <c r="A91" s="1171" t="s">
        <v>726</v>
      </c>
      <c r="B91" s="1172"/>
      <c r="C91" s="1172"/>
      <c r="D91" s="1172"/>
      <c r="E91" s="1172"/>
      <c r="F91" s="794"/>
      <c r="G91" s="692">
        <v>0</v>
      </c>
      <c r="H91" s="685">
        <v>3509</v>
      </c>
      <c r="I91" s="685">
        <v>3509</v>
      </c>
      <c r="J91" s="685">
        <v>5899</v>
      </c>
      <c r="K91" s="685">
        <f>I91+J91</f>
        <v>9408</v>
      </c>
      <c r="L91" s="686">
        <f>9408+4082</f>
        <v>13490</v>
      </c>
      <c r="M91" s="687">
        <f t="shared" si="30"/>
        <v>4082</v>
      </c>
      <c r="N91" s="686">
        <f>13490+1772</f>
        <v>15262</v>
      </c>
    </row>
    <row r="92" spans="1:14" s="773" customFormat="1" ht="18" customHeight="1">
      <c r="A92" s="1171" t="s">
        <v>806</v>
      </c>
      <c r="B92" s="1172"/>
      <c r="C92" s="1172"/>
      <c r="D92" s="1172"/>
      <c r="E92" s="1172"/>
      <c r="F92" s="794"/>
      <c r="G92" s="692">
        <v>0</v>
      </c>
      <c r="H92" s="685">
        <v>6564</v>
      </c>
      <c r="I92" s="685">
        <v>6564</v>
      </c>
      <c r="J92" s="685">
        <v>8653</v>
      </c>
      <c r="K92" s="685">
        <f aca="true" t="shared" si="39" ref="K92">I92+J92</f>
        <v>15217</v>
      </c>
      <c r="L92" s="686">
        <f>15217+6242</f>
        <v>21459</v>
      </c>
      <c r="M92" s="687">
        <f t="shared" si="30"/>
        <v>6242</v>
      </c>
      <c r="N92" s="686">
        <f>21459+3748</f>
        <v>25207</v>
      </c>
    </row>
    <row r="93" spans="1:14" ht="18" customHeight="1">
      <c r="A93" s="809" t="s">
        <v>1011</v>
      </c>
      <c r="B93" s="810"/>
      <c r="C93" s="810"/>
      <c r="D93" s="810"/>
      <c r="E93" s="811"/>
      <c r="F93" s="812"/>
      <c r="G93" s="692">
        <v>0</v>
      </c>
      <c r="H93" s="760"/>
      <c r="I93" s="760"/>
      <c r="J93" s="685"/>
      <c r="K93" s="685">
        <v>800</v>
      </c>
      <c r="L93" s="686">
        <v>800</v>
      </c>
      <c r="M93" s="687">
        <f t="shared" si="30"/>
        <v>0</v>
      </c>
      <c r="N93" s="686">
        <v>800</v>
      </c>
    </row>
    <row r="94" spans="1:14" ht="18" customHeight="1">
      <c r="A94" s="809" t="s">
        <v>807</v>
      </c>
      <c r="B94" s="810"/>
      <c r="C94" s="810"/>
      <c r="D94" s="810"/>
      <c r="E94" s="811"/>
      <c r="F94" s="812"/>
      <c r="G94" s="692">
        <v>0</v>
      </c>
      <c r="H94" s="760"/>
      <c r="I94" s="760"/>
      <c r="J94" s="685"/>
      <c r="K94" s="685">
        <v>4000</v>
      </c>
      <c r="L94" s="686">
        <v>4000</v>
      </c>
      <c r="M94" s="687">
        <f t="shared" si="30"/>
        <v>0</v>
      </c>
      <c r="N94" s="686">
        <v>4000</v>
      </c>
    </row>
    <row r="95" spans="1:14" ht="18" customHeight="1">
      <c r="A95" s="1173" t="s">
        <v>1082</v>
      </c>
      <c r="B95" s="1174"/>
      <c r="C95" s="1174"/>
      <c r="D95" s="810"/>
      <c r="E95" s="811"/>
      <c r="F95" s="812"/>
      <c r="G95" s="692"/>
      <c r="H95" s="760"/>
      <c r="I95" s="760"/>
      <c r="J95" s="685"/>
      <c r="K95" s="685"/>
      <c r="L95" s="686"/>
      <c r="M95" s="687"/>
      <c r="N95" s="686">
        <v>100000</v>
      </c>
    </row>
    <row r="96" spans="1:14" ht="18" customHeight="1">
      <c r="A96" s="809" t="s">
        <v>743</v>
      </c>
      <c r="B96" s="810"/>
      <c r="C96" s="810"/>
      <c r="D96" s="810"/>
      <c r="E96" s="811"/>
      <c r="F96" s="812"/>
      <c r="G96" s="692">
        <v>0</v>
      </c>
      <c r="H96" s="760"/>
      <c r="I96" s="760"/>
      <c r="J96" s="685"/>
      <c r="K96" s="685">
        <v>61</v>
      </c>
      <c r="L96" s="686">
        <v>61</v>
      </c>
      <c r="M96" s="687">
        <f t="shared" si="30"/>
        <v>0</v>
      </c>
      <c r="N96" s="686">
        <f>61+1</f>
        <v>62</v>
      </c>
    </row>
    <row r="97" spans="1:14" ht="18" customHeight="1">
      <c r="A97" s="809" t="s">
        <v>808</v>
      </c>
      <c r="B97" s="810"/>
      <c r="C97" s="810"/>
      <c r="D97" s="810"/>
      <c r="E97" s="811"/>
      <c r="F97" s="812"/>
      <c r="G97" s="692">
        <v>0</v>
      </c>
      <c r="H97" s="760"/>
      <c r="I97" s="760"/>
      <c r="J97" s="685"/>
      <c r="K97" s="685">
        <v>4879</v>
      </c>
      <c r="L97" s="686">
        <v>4879</v>
      </c>
      <c r="M97" s="687">
        <f t="shared" si="30"/>
        <v>0</v>
      </c>
      <c r="N97" s="686">
        <v>4879</v>
      </c>
    </row>
    <row r="98" spans="1:14" ht="18" customHeight="1">
      <c r="A98" s="1175" t="s">
        <v>809</v>
      </c>
      <c r="B98" s="1176"/>
      <c r="C98" s="1176"/>
      <c r="D98" s="1176"/>
      <c r="E98" s="1177"/>
      <c r="F98" s="812"/>
      <c r="G98" s="692">
        <v>0</v>
      </c>
      <c r="H98" s="760"/>
      <c r="I98" s="760"/>
      <c r="J98" s="685"/>
      <c r="K98" s="760">
        <f>SUM(K91:K97)</f>
        <v>34365</v>
      </c>
      <c r="L98" s="761">
        <f>SUM(L91:L97)</f>
        <v>44689</v>
      </c>
      <c r="M98" s="687">
        <f t="shared" si="30"/>
        <v>10324</v>
      </c>
      <c r="N98" s="761">
        <f>SUM(N91:N97)</f>
        <v>150210</v>
      </c>
    </row>
    <row r="99" spans="1:14" ht="18" customHeight="1" thickBot="1">
      <c r="A99" s="1178" t="s">
        <v>727</v>
      </c>
      <c r="B99" s="1179"/>
      <c r="C99" s="1179"/>
      <c r="D99" s="1179"/>
      <c r="E99" s="1180"/>
      <c r="F99" s="813"/>
      <c r="G99" s="768">
        <f>G80+G90</f>
        <v>1111271</v>
      </c>
      <c r="H99" s="814"/>
      <c r="I99" s="768" t="e">
        <f>I80+I90+#REF!</f>
        <v>#REF!</v>
      </c>
      <c r="J99" s="768" t="e">
        <f>J80+J90+#REF!</f>
        <v>#REF!</v>
      </c>
      <c r="K99" s="768">
        <f>K80+K90+K98</f>
        <v>1174708</v>
      </c>
      <c r="L99" s="815">
        <f>L80+L90+L98</f>
        <v>1179194</v>
      </c>
      <c r="M99" s="816">
        <f t="shared" si="30"/>
        <v>4486</v>
      </c>
      <c r="N99" s="815">
        <f>N80+N90+N98</f>
        <v>1284391</v>
      </c>
    </row>
    <row r="100" spans="1:14" ht="11.25" customHeight="1" thickTop="1">
      <c r="A100" s="669"/>
      <c r="B100" s="817"/>
      <c r="C100" s="669"/>
      <c r="D100" s="818"/>
      <c r="E100" s="819"/>
      <c r="F100" s="820"/>
      <c r="G100" s="669"/>
      <c r="H100" s="820"/>
      <c r="I100" s="820"/>
      <c r="J100" s="820"/>
      <c r="K100" s="820"/>
      <c r="L100" s="820"/>
      <c r="N100" s="820"/>
    </row>
    <row r="101" spans="2:5" ht="12.75" hidden="1">
      <c r="B101" s="685" t="s">
        <v>519</v>
      </c>
      <c r="C101" s="669"/>
      <c r="D101" s="818"/>
      <c r="E101" s="819"/>
    </row>
    <row r="102" spans="2:5" ht="12.75" hidden="1">
      <c r="B102" s="817"/>
      <c r="C102" s="669"/>
      <c r="D102" s="818"/>
      <c r="E102" s="819"/>
    </row>
    <row r="103" spans="2:5" ht="12.75" hidden="1">
      <c r="B103" s="821" t="s">
        <v>520</v>
      </c>
      <c r="C103" s="773"/>
      <c r="D103" s="774"/>
      <c r="E103" s="775"/>
    </row>
    <row r="104" spans="2:5" ht="12.75" hidden="1">
      <c r="B104" s="821" t="s">
        <v>521</v>
      </c>
      <c r="C104" s="773"/>
      <c r="D104" s="774"/>
      <c r="E104" s="775"/>
    </row>
    <row r="105" spans="2:5" ht="12.75" hidden="1">
      <c r="B105" s="822" t="s">
        <v>522</v>
      </c>
      <c r="C105" s="773"/>
      <c r="D105" s="774"/>
      <c r="E105" s="800">
        <f>F78</f>
        <v>340722683.38844997</v>
      </c>
    </row>
    <row r="106" spans="2:5" ht="12.75" hidden="1">
      <c r="B106" s="823" t="s">
        <v>404</v>
      </c>
      <c r="C106" s="824">
        <f>F14</f>
        <v>63841500</v>
      </c>
      <c r="D106" s="799"/>
      <c r="E106" s="708">
        <f>E105-C106</f>
        <v>276881183.38844997</v>
      </c>
    </row>
    <row r="107" spans="2:5" ht="12.75" hidden="1">
      <c r="B107" s="823" t="s">
        <v>405</v>
      </c>
      <c r="C107" s="685">
        <f>F15</f>
        <v>1792650</v>
      </c>
      <c r="D107" s="799"/>
      <c r="E107" s="708">
        <f>E106-C107</f>
        <v>275088533.38844997</v>
      </c>
    </row>
    <row r="108" spans="2:5" ht="12.75" hidden="1">
      <c r="B108" s="823" t="s">
        <v>390</v>
      </c>
      <c r="C108" s="685">
        <f>F9</f>
        <v>37859535</v>
      </c>
      <c r="D108" s="799"/>
      <c r="E108" s="708">
        <f>E112-C108</f>
        <v>185479612.38844997</v>
      </c>
    </row>
    <row r="109" spans="2:5" ht="12.75" hidden="1">
      <c r="B109" s="823" t="s">
        <v>393</v>
      </c>
      <c r="C109" s="685">
        <f>F10</f>
        <v>82560000</v>
      </c>
      <c r="D109" s="799"/>
      <c r="E109" s="708">
        <f>E108-C109</f>
        <v>102919612.38844997</v>
      </c>
    </row>
    <row r="110" spans="2:5" ht="12.75" hidden="1">
      <c r="B110" s="823" t="s">
        <v>396</v>
      </c>
      <c r="C110" s="685">
        <f>F11</f>
        <v>13458016</v>
      </c>
      <c r="D110" s="799"/>
      <c r="E110" s="708">
        <f>E109-C110</f>
        <v>89461596.38844997</v>
      </c>
    </row>
    <row r="111" spans="2:5" ht="12.75" hidden="1">
      <c r="B111" s="823" t="s">
        <v>400</v>
      </c>
      <c r="C111" s="685">
        <f>F12</f>
        <v>30181450</v>
      </c>
      <c r="D111" s="799"/>
      <c r="E111" s="708">
        <f>E110-C111</f>
        <v>59280146.38844997</v>
      </c>
    </row>
    <row r="112" spans="2:5" ht="12.75" hidden="1">
      <c r="B112" s="823" t="s">
        <v>408</v>
      </c>
      <c r="C112" s="685">
        <f>F16</f>
        <v>51749385</v>
      </c>
      <c r="D112" s="799"/>
      <c r="E112" s="708">
        <f>E107-C112-1</f>
        <v>223339147.38844997</v>
      </c>
    </row>
    <row r="113" spans="2:5" ht="12.75" hidden="1">
      <c r="B113" s="823" t="s">
        <v>385</v>
      </c>
      <c r="C113" s="825">
        <v>59280147</v>
      </c>
      <c r="D113" s="799"/>
      <c r="E113" s="708">
        <v>0</v>
      </c>
    </row>
    <row r="114" spans="2:5" ht="13.5" hidden="1" thickBot="1">
      <c r="B114" s="817"/>
      <c r="C114" s="826">
        <f>SUM(C106:C113)</f>
        <v>340722683</v>
      </c>
      <c r="D114" s="818"/>
      <c r="E114" s="819"/>
    </row>
    <row r="115" spans="2:5" ht="12.75" hidden="1">
      <c r="B115" s="817"/>
      <c r="C115" s="669"/>
      <c r="D115" s="818"/>
      <c r="E115" s="819"/>
    </row>
    <row r="116" spans="2:5" ht="12.75">
      <c r="B116" s="669"/>
      <c r="C116" s="669"/>
      <c r="D116" s="669"/>
      <c r="E116" s="669"/>
    </row>
    <row r="117" spans="1:10" ht="12.75">
      <c r="A117" s="1035" t="s">
        <v>1187</v>
      </c>
      <c r="B117" s="1035"/>
      <c r="C117" s="1035"/>
      <c r="D117" s="1035"/>
      <c r="E117" s="1035"/>
      <c r="F117" s="1035"/>
      <c r="G117" s="1035"/>
      <c r="H117" s="1035"/>
      <c r="I117" s="1035"/>
      <c r="J117" s="1035"/>
    </row>
    <row r="118" spans="1:10" ht="12.75">
      <c r="A118" s="1035" t="s">
        <v>1188</v>
      </c>
      <c r="B118" s="1035"/>
      <c r="C118" s="1035"/>
      <c r="D118" s="1035"/>
      <c r="E118" s="1035"/>
      <c r="F118" s="1035"/>
      <c r="G118" s="1035"/>
      <c r="H118" s="1035"/>
      <c r="I118" s="1035"/>
      <c r="J118" s="1035"/>
    </row>
    <row r="119" spans="1:10" ht="12.75">
      <c r="A119" s="1035" t="s">
        <v>1189</v>
      </c>
      <c r="B119" s="1035"/>
      <c r="C119" s="1035"/>
      <c r="D119" s="1035"/>
      <c r="E119" s="1035"/>
      <c r="F119" s="1035"/>
      <c r="G119" s="1035"/>
      <c r="H119" s="1035"/>
      <c r="I119" s="1035"/>
      <c r="J119" s="1035"/>
    </row>
    <row r="120" spans="1:10" ht="12.75">
      <c r="A120" s="1035" t="s">
        <v>1190</v>
      </c>
      <c r="B120" s="1035"/>
      <c r="C120" s="1035"/>
      <c r="D120" s="1035"/>
      <c r="E120" s="1035"/>
      <c r="F120" s="1035"/>
      <c r="G120" s="1035"/>
      <c r="H120" s="1035"/>
      <c r="I120" s="1035"/>
      <c r="J120" s="1035"/>
    </row>
  </sheetData>
  <mergeCells count="24">
    <mergeCell ref="C74:E74"/>
    <mergeCell ref="A4:A5"/>
    <mergeCell ref="B4:B5"/>
    <mergeCell ref="C4:E4"/>
    <mergeCell ref="G4:G5"/>
    <mergeCell ref="A1:N1"/>
    <mergeCell ref="A2:N2"/>
    <mergeCell ref="K4:K5"/>
    <mergeCell ref="L4:L5"/>
    <mergeCell ref="M4:M5"/>
    <mergeCell ref="N4:N5"/>
    <mergeCell ref="C5:D5"/>
    <mergeCell ref="H4:H5"/>
    <mergeCell ref="I4:I5"/>
    <mergeCell ref="J4:J5"/>
    <mergeCell ref="A117:J117"/>
    <mergeCell ref="A118:J118"/>
    <mergeCell ref="A119:J119"/>
    <mergeCell ref="A120:J120"/>
    <mergeCell ref="A91:E91"/>
    <mergeCell ref="A92:E92"/>
    <mergeCell ref="A95:C95"/>
    <mergeCell ref="A98:E98"/>
    <mergeCell ref="A99:E99"/>
  </mergeCells>
  <printOptions horizontalCentered="1"/>
  <pageMargins left="0.31496062992125984" right="0.31496062992125984" top="0.9448818897637796" bottom="0.9448818897637796" header="0.5511811023622047" footer="0.15748031496062992"/>
  <pageSetup horizontalDpi="600" verticalDpi="600" orientation="portrait" paperSize="9" scale="64" r:id="rId1"/>
  <headerFooter alignWithMargins="0">
    <oddHeader>&amp;L16. melléklet a 1/2017.(II.24.) önkormányzati rendelethez
16. melléklet a 29/2015.(XII.18.) önkormányzati rendelethez</oddHeader>
  </headerFooter>
  <rowBreaks count="1" manualBreakCount="1">
    <brk id="5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17"/>
  <sheetViews>
    <sheetView view="pageBreakPreview" zoomScale="46" zoomScaleSheetLayoutView="46" workbookViewId="0" topLeftCell="A1">
      <selection activeCell="A12" sqref="A12:H12"/>
    </sheetView>
  </sheetViews>
  <sheetFormatPr defaultColWidth="9.00390625" defaultRowHeight="12.75"/>
  <cols>
    <col min="1" max="1" width="60.625" style="0" customWidth="1"/>
    <col min="2" max="2" width="38.75390625" style="0" customWidth="1"/>
    <col min="3" max="3" width="12.75390625" style="0" customWidth="1"/>
    <col min="4" max="4" width="14.625" style="0" customWidth="1"/>
    <col min="5" max="5" width="14.75390625" style="0" customWidth="1"/>
    <col min="6" max="6" width="14.125" style="0" customWidth="1"/>
    <col min="7" max="7" width="14.875" style="0" customWidth="1"/>
    <col min="8" max="8" width="12.75390625" style="0" customWidth="1"/>
  </cols>
  <sheetData>
    <row r="1" spans="1:8" s="107" customFormat="1" ht="15.75" customHeight="1">
      <c r="A1" s="1202" t="s">
        <v>523</v>
      </c>
      <c r="B1" s="1202"/>
      <c r="C1" s="1202"/>
      <c r="D1" s="1202"/>
      <c r="E1" s="1202"/>
      <c r="F1" s="1202"/>
      <c r="G1" s="1202"/>
      <c r="H1" s="1202"/>
    </row>
    <row r="2" spans="1:8" s="107" customFormat="1" ht="30.75" customHeight="1">
      <c r="A2" s="108"/>
      <c r="C2" s="109"/>
      <c r="D2" s="109"/>
      <c r="E2" s="110"/>
      <c r="F2" s="110"/>
      <c r="G2" s="110"/>
      <c r="H2" s="111"/>
    </row>
    <row r="3" spans="1:8" s="107" customFormat="1" ht="15.75" customHeight="1">
      <c r="A3" s="1203" t="s">
        <v>524</v>
      </c>
      <c r="B3" s="1204" t="s">
        <v>525</v>
      </c>
      <c r="C3" s="1205" t="s">
        <v>526</v>
      </c>
      <c r="D3" s="1205" t="s">
        <v>527</v>
      </c>
      <c r="E3" s="1206" t="s">
        <v>528</v>
      </c>
      <c r="F3" s="1206"/>
      <c r="G3" s="1206"/>
      <c r="H3" s="1207" t="s">
        <v>166</v>
      </c>
    </row>
    <row r="4" spans="1:8" s="107" customFormat="1" ht="78.75">
      <c r="A4" s="1203"/>
      <c r="B4" s="1204"/>
      <c r="C4" s="1205"/>
      <c r="D4" s="1205"/>
      <c r="E4" s="112" t="s">
        <v>529</v>
      </c>
      <c r="F4" s="112" t="s">
        <v>530</v>
      </c>
      <c r="G4" s="112" t="s">
        <v>531</v>
      </c>
      <c r="H4" s="1207"/>
    </row>
    <row r="5" spans="1:8" s="107" customFormat="1" ht="24.75" customHeight="1">
      <c r="A5" s="113" t="s">
        <v>532</v>
      </c>
      <c r="B5" s="114" t="s">
        <v>533</v>
      </c>
      <c r="C5" s="457">
        <v>41067</v>
      </c>
      <c r="D5" s="458">
        <v>42338</v>
      </c>
      <c r="E5" s="116">
        <f>H5-F5-G5</f>
        <v>641426</v>
      </c>
      <c r="F5" s="116">
        <v>112084</v>
      </c>
      <c r="G5" s="116">
        <f>19185+622234</f>
        <v>641419</v>
      </c>
      <c r="H5" s="117">
        <f>183939+1049854+161136</f>
        <v>1394929</v>
      </c>
    </row>
    <row r="6" spans="1:8" s="107" customFormat="1" ht="23.25" customHeight="1">
      <c r="A6" s="113" t="s">
        <v>534</v>
      </c>
      <c r="B6" s="114" t="s">
        <v>535</v>
      </c>
      <c r="C6" s="457">
        <v>41682</v>
      </c>
      <c r="D6" s="458">
        <v>42308</v>
      </c>
      <c r="E6" s="116">
        <f>H6-F6-G6</f>
        <v>0</v>
      </c>
      <c r="F6" s="116"/>
      <c r="G6" s="116">
        <v>275492</v>
      </c>
      <c r="H6" s="117">
        <v>275492</v>
      </c>
    </row>
    <row r="7" spans="1:8" s="107" customFormat="1" ht="23.25" customHeight="1">
      <c r="A7" s="113" t="s">
        <v>536</v>
      </c>
      <c r="B7" s="114" t="s">
        <v>537</v>
      </c>
      <c r="C7" s="457">
        <v>41340</v>
      </c>
      <c r="D7" s="115" t="s">
        <v>538</v>
      </c>
      <c r="E7" s="116">
        <f>H7-F7-G7</f>
        <v>0</v>
      </c>
      <c r="F7" s="116"/>
      <c r="G7" s="116">
        <v>90625</v>
      </c>
      <c r="H7" s="117">
        <v>90625</v>
      </c>
    </row>
    <row r="8" spans="1:8" s="107" customFormat="1" ht="15.75">
      <c r="A8" s="113" t="s">
        <v>539</v>
      </c>
      <c r="B8" s="114" t="s">
        <v>540</v>
      </c>
      <c r="C8" s="457">
        <v>42110</v>
      </c>
      <c r="D8" s="458">
        <v>42308</v>
      </c>
      <c r="E8" s="116">
        <f>H8-F8-G8</f>
        <v>0</v>
      </c>
      <c r="F8" s="116"/>
      <c r="G8" s="116">
        <v>35495</v>
      </c>
      <c r="H8" s="117">
        <v>35495</v>
      </c>
    </row>
    <row r="9" spans="1:8" s="107" customFormat="1" ht="36" customHeight="1">
      <c r="A9" s="113" t="s">
        <v>541</v>
      </c>
      <c r="B9" s="114" t="s">
        <v>542</v>
      </c>
      <c r="C9" s="457">
        <v>42094</v>
      </c>
      <c r="D9" s="458">
        <v>42338</v>
      </c>
      <c r="E9" s="116">
        <f>H9-F9-G9</f>
        <v>0</v>
      </c>
      <c r="F9" s="116"/>
      <c r="G9" s="116">
        <v>21960</v>
      </c>
      <c r="H9" s="117">
        <v>21960</v>
      </c>
    </row>
    <row r="10" spans="1:8" s="123" customFormat="1" ht="24.75" customHeight="1">
      <c r="A10" s="118" t="s">
        <v>68</v>
      </c>
      <c r="B10" s="119"/>
      <c r="C10" s="120"/>
      <c r="D10" s="120"/>
      <c r="E10" s="121">
        <f>SUM(E5:E9)</f>
        <v>641426</v>
      </c>
      <c r="F10" s="121">
        <f>SUM(F5:F9)</f>
        <v>112084</v>
      </c>
      <c r="G10" s="121">
        <f>SUM(G5:G9)</f>
        <v>1064991</v>
      </c>
      <c r="H10" s="122">
        <f>SUM(H5:H9)</f>
        <v>1818501</v>
      </c>
    </row>
    <row r="11" spans="1:8" s="107" customFormat="1" ht="15.75">
      <c r="A11" s="108"/>
      <c r="C11" s="109"/>
      <c r="D11" s="109"/>
      <c r="E11" s="110"/>
      <c r="F11" s="110"/>
      <c r="G11" s="110"/>
      <c r="H11" s="111"/>
    </row>
    <row r="12" spans="1:8" s="107" customFormat="1" ht="32.25" customHeight="1">
      <c r="A12" s="1201" t="s">
        <v>543</v>
      </c>
      <c r="B12" s="1201"/>
      <c r="C12" s="1201"/>
      <c r="D12" s="1201"/>
      <c r="E12" s="1201"/>
      <c r="F12" s="1201"/>
      <c r="G12" s="1201"/>
      <c r="H12" s="1201"/>
    </row>
    <row r="14" spans="1:10" ht="12.75">
      <c r="A14" s="1035" t="s">
        <v>1191</v>
      </c>
      <c r="B14" s="1035"/>
      <c r="C14" s="1035"/>
      <c r="D14" s="1035"/>
      <c r="E14" s="1035"/>
      <c r="F14" s="1035"/>
      <c r="G14" s="1035"/>
      <c r="H14" s="1035"/>
      <c r="I14" s="1035"/>
      <c r="J14" s="1035"/>
    </row>
    <row r="15" spans="1:10" ht="12.75">
      <c r="A15" s="1035" t="s">
        <v>1192</v>
      </c>
      <c r="B15" s="1035"/>
      <c r="C15" s="1035"/>
      <c r="D15" s="1035"/>
      <c r="E15" s="1035"/>
      <c r="F15" s="1035"/>
      <c r="G15" s="1035"/>
      <c r="H15" s="1035"/>
      <c r="I15" s="1035"/>
      <c r="J15" s="1035"/>
    </row>
    <row r="16" spans="1:10" ht="12.75">
      <c r="A16" s="1035" t="s">
        <v>1193</v>
      </c>
      <c r="B16" s="1035"/>
      <c r="C16" s="1035"/>
      <c r="D16" s="1035"/>
      <c r="E16" s="1035"/>
      <c r="F16" s="1035"/>
      <c r="G16" s="1035"/>
      <c r="H16" s="1035"/>
      <c r="I16" s="1035"/>
      <c r="J16" s="1035"/>
    </row>
    <row r="17" spans="1:10" ht="12.75">
      <c r="A17" s="1035" t="s">
        <v>1194</v>
      </c>
      <c r="B17" s="1035"/>
      <c r="C17" s="1035"/>
      <c r="D17" s="1035"/>
      <c r="E17" s="1035"/>
      <c r="F17" s="1035"/>
      <c r="G17" s="1035"/>
      <c r="H17" s="1035"/>
      <c r="I17" s="1035"/>
      <c r="J17" s="1035"/>
    </row>
  </sheetData>
  <sheetProtection selectLockedCells="1" selectUnlockedCells="1"/>
  <mergeCells count="12">
    <mergeCell ref="A1:H1"/>
    <mergeCell ref="A3:A4"/>
    <mergeCell ref="B3:B4"/>
    <mergeCell ref="C3:C4"/>
    <mergeCell ref="D3:D4"/>
    <mergeCell ref="E3:G3"/>
    <mergeCell ref="H3:H4"/>
    <mergeCell ref="A14:J14"/>
    <mergeCell ref="A15:J15"/>
    <mergeCell ref="A16:J16"/>
    <mergeCell ref="A17:J17"/>
    <mergeCell ref="A12:H12"/>
  </mergeCells>
  <printOptions/>
  <pageMargins left="0.7086614173228347" right="0.7086614173228347" top="0.7480314960629921" bottom="0.7480314960629921" header="0.31496062992125984" footer="0.5118110236220472"/>
  <pageSetup fitToHeight="1" fitToWidth="1" horizontalDpi="300" verticalDpi="300" orientation="landscape" paperSize="9" scale="65" r:id="rId1"/>
  <headerFooter alignWithMargins="0">
    <oddHeader>&amp;L17. melléklet a 1/2017.(II.24.) önkormányzati rendelethez
17. melléklet a 29/2015.(XII.18.)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S78"/>
  <sheetViews>
    <sheetView view="pageBreakPreview" zoomScale="75" zoomScaleSheetLayoutView="75" workbookViewId="0" topLeftCell="A37">
      <selection activeCell="A75" sqref="A75:I78"/>
    </sheetView>
  </sheetViews>
  <sheetFormatPr defaultColWidth="9.00390625" defaultRowHeight="12.75"/>
  <cols>
    <col min="1" max="1" width="68.375" style="7" customWidth="1"/>
    <col min="2" max="2" width="14.625" style="8" customWidth="1"/>
    <col min="3" max="4" width="13.625" style="8" customWidth="1"/>
    <col min="5" max="5" width="56.00390625" style="7" customWidth="1"/>
    <col min="6" max="6" width="14.625" style="8" customWidth="1"/>
    <col min="7" max="8" width="13.875" style="9" customWidth="1"/>
    <col min="9" max="16384" width="9.125" style="9" customWidth="1"/>
  </cols>
  <sheetData>
    <row r="1" spans="1:8" s="10" customFormat="1" ht="15" customHeight="1">
      <c r="A1" s="1061" t="s">
        <v>55</v>
      </c>
      <c r="B1" s="1061"/>
      <c r="C1" s="1061"/>
      <c r="D1" s="1061"/>
      <c r="E1" s="1061"/>
      <c r="F1" s="1061"/>
      <c r="G1" s="1061"/>
      <c r="H1" s="1061"/>
    </row>
    <row r="2" ht="15.75" thickBot="1"/>
    <row r="3" spans="1:8" ht="14.25">
      <c r="A3" s="1062" t="s">
        <v>1</v>
      </c>
      <c r="B3" s="1063"/>
      <c r="C3" s="1063"/>
      <c r="D3" s="1064"/>
      <c r="E3" s="1062" t="s">
        <v>2</v>
      </c>
      <c r="F3" s="1063"/>
      <c r="G3" s="1063"/>
      <c r="H3" s="1064"/>
    </row>
    <row r="4" spans="1:8" ht="14.25">
      <c r="A4" s="181" t="s">
        <v>3</v>
      </c>
      <c r="B4" s="182" t="s">
        <v>4</v>
      </c>
      <c r="C4" s="182" t="s">
        <v>861</v>
      </c>
      <c r="D4" s="182" t="s">
        <v>1041</v>
      </c>
      <c r="E4" s="181" t="s">
        <v>3</v>
      </c>
      <c r="F4" s="182" t="s">
        <v>4</v>
      </c>
      <c r="G4" s="182" t="s">
        <v>861</v>
      </c>
      <c r="H4" s="182" t="s">
        <v>1041</v>
      </c>
    </row>
    <row r="5" spans="1:8" ht="14.25">
      <c r="A5" s="183" t="s">
        <v>6</v>
      </c>
      <c r="B5" s="176">
        <f>'3. sz. melléklet'!K6</f>
        <v>1111271</v>
      </c>
      <c r="C5" s="176">
        <f>'3. sz. melléklet'!L7</f>
        <v>1174394</v>
      </c>
      <c r="D5" s="176">
        <f>'3. sz. melléklet'!M7</f>
        <v>1179591</v>
      </c>
      <c r="E5" s="184" t="s">
        <v>7</v>
      </c>
      <c r="F5" s="176">
        <f>'4.sz. melléklet'!M6</f>
        <v>1169029</v>
      </c>
      <c r="G5" s="176">
        <f>'4.sz. melléklet'!N6</f>
        <v>1254393</v>
      </c>
      <c r="H5" s="176">
        <f>'4.sz. melléklet'!O6</f>
        <v>1158827</v>
      </c>
    </row>
    <row r="6" spans="1:8" ht="12.75">
      <c r="A6" s="234" t="s">
        <v>842</v>
      </c>
      <c r="B6" s="187"/>
      <c r="C6" s="176">
        <f>'3. sz. melléklet'!L9</f>
        <v>15000</v>
      </c>
      <c r="D6" s="176">
        <f>'3. sz. melléklet'!M9</f>
        <v>15000</v>
      </c>
      <c r="E6" s="188"/>
      <c r="F6" s="176"/>
      <c r="G6" s="185"/>
      <c r="H6" s="185"/>
    </row>
    <row r="7" spans="1:8" ht="14.25">
      <c r="A7" s="183" t="s">
        <v>8</v>
      </c>
      <c r="B7" s="176">
        <f>'3. sz. melléklet'!K10</f>
        <v>262200</v>
      </c>
      <c r="C7" s="176">
        <f>SUM(C8:C9)</f>
        <v>350090</v>
      </c>
      <c r="D7" s="176">
        <f>SUM(D8:D9)</f>
        <v>333604</v>
      </c>
      <c r="E7" s="188" t="s">
        <v>56</v>
      </c>
      <c r="F7" s="176">
        <f>'4.sz. melléklet'!M7</f>
        <v>323248</v>
      </c>
      <c r="G7" s="176">
        <f>'4.sz. melléklet'!N7</f>
        <v>350472</v>
      </c>
      <c r="H7" s="176">
        <f>'4.sz. melléklet'!O7</f>
        <v>330815</v>
      </c>
    </row>
    <row r="8" spans="1:8" ht="12.75">
      <c r="A8" s="186" t="s">
        <v>9</v>
      </c>
      <c r="B8" s="187">
        <f>'3. sz. melléklet'!K11</f>
        <v>262200</v>
      </c>
      <c r="C8" s="451">
        <f>'3. sz. melléklet'!L11</f>
        <v>348445</v>
      </c>
      <c r="D8" s="451">
        <f>'3. sz. melléklet'!M11</f>
        <v>331959</v>
      </c>
      <c r="E8" s="188"/>
      <c r="F8" s="176"/>
      <c r="G8" s="185"/>
      <c r="H8" s="185"/>
    </row>
    <row r="9" spans="1:8" ht="12.75">
      <c r="A9" s="186" t="s">
        <v>1031</v>
      </c>
      <c r="B9" s="187"/>
      <c r="C9" s="451">
        <f>'3. sz. melléklet'!L12</f>
        <v>1645</v>
      </c>
      <c r="D9" s="451">
        <f>'3. sz. melléklet'!M12</f>
        <v>1645</v>
      </c>
      <c r="E9" s="188" t="s">
        <v>12</v>
      </c>
      <c r="F9" s="176">
        <f>'4.sz. melléklet'!M8</f>
        <v>1700235</v>
      </c>
      <c r="G9" s="176">
        <f>'4.sz. melléklet'!N8</f>
        <v>1660067</v>
      </c>
      <c r="H9" s="176">
        <f>'4.sz. melléklet'!O8</f>
        <v>1469769</v>
      </c>
    </row>
    <row r="10" spans="1:8" ht="14.25">
      <c r="A10" s="183" t="s">
        <v>11</v>
      </c>
      <c r="B10" s="176">
        <f>SUM(B11:B16)</f>
        <v>2107748</v>
      </c>
      <c r="C10" s="176">
        <f>SUM(C11:C17)</f>
        <v>2149150</v>
      </c>
      <c r="D10" s="176">
        <f>SUM(D11:D17)</f>
        <v>1969081</v>
      </c>
      <c r="E10" s="188" t="s">
        <v>15</v>
      </c>
      <c r="F10" s="176">
        <f>'4.sz. melléklet'!M9</f>
        <v>71950</v>
      </c>
      <c r="G10" s="176">
        <f>'4.sz. melléklet'!N9</f>
        <v>74626</v>
      </c>
      <c r="H10" s="176">
        <f>'4.sz. melléklet'!O9</f>
        <v>75881</v>
      </c>
    </row>
    <row r="11" spans="1:8" ht="12.75">
      <c r="A11" s="186" t="s">
        <v>13</v>
      </c>
      <c r="B11" s="187">
        <f>'3. sz. melléklet'!K16</f>
        <v>460000</v>
      </c>
      <c r="C11" s="187">
        <f>'3. sz. melléklet'!L16</f>
        <v>460000</v>
      </c>
      <c r="D11" s="187">
        <f>'3. sz. melléklet'!M16</f>
        <v>456775</v>
      </c>
      <c r="E11" s="188" t="s">
        <v>57</v>
      </c>
      <c r="F11" s="176">
        <f>(F13+F14+F15)</f>
        <v>983430</v>
      </c>
      <c r="G11" s="176">
        <f>(G12+G13+G14+G15)</f>
        <v>950286</v>
      </c>
      <c r="H11" s="176">
        <f>(H12+H13+H14+H15)</f>
        <v>970605</v>
      </c>
    </row>
    <row r="12" spans="1:8" ht="12.75">
      <c r="A12" s="238"/>
      <c r="B12" s="239"/>
      <c r="C12" s="239"/>
      <c r="D12" s="239"/>
      <c r="E12" s="240" t="s">
        <v>759</v>
      </c>
      <c r="F12" s="236"/>
      <c r="G12" s="451">
        <f>'4.sz. melléklet'!N11</f>
        <v>18978</v>
      </c>
      <c r="H12" s="451">
        <f>'4.sz. melléklet'!O11</f>
        <v>19184</v>
      </c>
    </row>
    <row r="13" spans="1:8" ht="12.75">
      <c r="A13" s="186" t="s">
        <v>14</v>
      </c>
      <c r="B13" s="187">
        <f>'3. sz. melléklet'!K19</f>
        <v>1630218</v>
      </c>
      <c r="C13" s="187">
        <f>'3. sz. melléklet'!L19</f>
        <v>1670061</v>
      </c>
      <c r="D13" s="187">
        <f>'3. sz. melléklet'!M19</f>
        <v>1501156</v>
      </c>
      <c r="E13" s="189" t="s">
        <v>58</v>
      </c>
      <c r="F13" s="187">
        <f>'4.sz. melléklet'!M12</f>
        <v>2000</v>
      </c>
      <c r="G13" s="187">
        <f>'4.sz. melléklet'!N12</f>
        <v>5015</v>
      </c>
      <c r="H13" s="187">
        <f>'4.sz. melléklet'!O12</f>
        <v>5015</v>
      </c>
    </row>
    <row r="14" spans="1:8" ht="12.75">
      <c r="A14" s="186" t="s">
        <v>16</v>
      </c>
      <c r="B14" s="187">
        <f>'3. sz. melléklet'!K24</f>
        <v>30</v>
      </c>
      <c r="C14" s="187">
        <f>'3. sz. melléklet'!L24</f>
        <v>0</v>
      </c>
      <c r="D14" s="187">
        <f>'3. sz. melléklet'!M24</f>
        <v>0</v>
      </c>
      <c r="E14" s="190" t="s">
        <v>59</v>
      </c>
      <c r="F14" s="187">
        <f>'4.sz. melléklet'!M13</f>
        <v>834630</v>
      </c>
      <c r="G14" s="187">
        <f>'4.sz. melléklet'!N13</f>
        <v>920560</v>
      </c>
      <c r="H14" s="187">
        <f>'4.sz. melléklet'!O13</f>
        <v>942571</v>
      </c>
    </row>
    <row r="15" spans="1:8" ht="12.75">
      <c r="A15" s="186" t="s">
        <v>17</v>
      </c>
      <c r="B15" s="187">
        <f>'3. sz. melléklet'!K26</f>
        <v>13900</v>
      </c>
      <c r="C15" s="187">
        <f>'3. sz. melléklet'!L26</f>
        <v>13900</v>
      </c>
      <c r="D15" s="187">
        <f>'3. sz. melléklet'!M26</f>
        <v>6248</v>
      </c>
      <c r="E15" s="190" t="s">
        <v>23</v>
      </c>
      <c r="F15" s="187">
        <f>SUM(F16:F18)</f>
        <v>146800</v>
      </c>
      <c r="G15" s="187">
        <f>SUM(G16:G18)</f>
        <v>5733</v>
      </c>
      <c r="H15" s="187">
        <f>SUM(H16:H18)</f>
        <v>3835</v>
      </c>
    </row>
    <row r="16" spans="1:8" ht="12.75">
      <c r="A16" s="186" t="s">
        <v>19</v>
      </c>
      <c r="B16" s="187">
        <f>'3. sz. melléklet'!K27</f>
        <v>3600</v>
      </c>
      <c r="C16" s="187">
        <f>'3. sz. melléklet'!L27</f>
        <v>5159</v>
      </c>
      <c r="D16" s="187">
        <f>'3. sz. melléklet'!M27</f>
        <v>4871</v>
      </c>
      <c r="E16" s="191" t="s">
        <v>25</v>
      </c>
      <c r="F16" s="187">
        <f>'4.sz. melléklet'!M15</f>
        <v>15000</v>
      </c>
      <c r="G16" s="187">
        <f>'4.sz. melléklet'!N15</f>
        <v>236</v>
      </c>
      <c r="H16" s="187">
        <f>'4.sz. melléklet'!O15</f>
        <v>138</v>
      </c>
    </row>
    <row r="17" spans="1:8" ht="29.25" customHeight="1">
      <c r="A17" s="186" t="s">
        <v>688</v>
      </c>
      <c r="B17" s="187"/>
      <c r="C17" s="187">
        <f>'3. sz. melléklet'!L28</f>
        <v>30</v>
      </c>
      <c r="D17" s="187">
        <f>'3. sz. melléklet'!M28</f>
        <v>31</v>
      </c>
      <c r="E17" s="191" t="s">
        <v>937</v>
      </c>
      <c r="F17" s="187">
        <f>'4.sz. melléklet'!M16</f>
        <v>100000</v>
      </c>
      <c r="G17" s="187">
        <f>'4.sz. melléklet'!N16</f>
        <v>3697</v>
      </c>
      <c r="H17" s="187">
        <f>'4.sz. melléklet'!O16</f>
        <v>3697</v>
      </c>
    </row>
    <row r="18" spans="1:8" ht="12.75">
      <c r="A18" s="183" t="s">
        <v>22</v>
      </c>
      <c r="B18" s="176">
        <f>SUM(B19:B25)</f>
        <v>760994</v>
      </c>
      <c r="C18" s="176">
        <f>SUM(C19:C26)</f>
        <v>762816</v>
      </c>
      <c r="D18" s="176">
        <f>SUM(D19:D26)</f>
        <v>667377</v>
      </c>
      <c r="E18" s="191" t="s">
        <v>28</v>
      </c>
      <c r="F18" s="187">
        <f>'4.sz. melléklet'!M17</f>
        <v>31800</v>
      </c>
      <c r="G18" s="187">
        <f>'4.sz. melléklet'!N17</f>
        <v>1800</v>
      </c>
      <c r="H18" s="187">
        <f>'4.sz. melléklet'!O17</f>
        <v>0</v>
      </c>
    </row>
    <row r="19" spans="1:8" ht="30">
      <c r="A19" s="186" t="s">
        <v>60</v>
      </c>
      <c r="B19" s="187">
        <f>'3. sz. melléklet'!K30</f>
        <v>238395</v>
      </c>
      <c r="C19" s="187">
        <f>'3. sz. melléklet'!L30</f>
        <v>232473</v>
      </c>
      <c r="D19" s="187">
        <v>109295</v>
      </c>
      <c r="E19" s="188"/>
      <c r="F19" s="192"/>
      <c r="G19" s="185"/>
      <c r="H19" s="185"/>
    </row>
    <row r="20" spans="1:8" ht="12.75">
      <c r="A20" s="186" t="s">
        <v>26</v>
      </c>
      <c r="B20" s="187">
        <f>'3. sz. melléklet'!K31</f>
        <v>105947</v>
      </c>
      <c r="C20" s="187">
        <f>'3. sz. melléklet'!L31</f>
        <v>79996</v>
      </c>
      <c r="D20" s="187">
        <f>'3. sz. melléklet'!M31</f>
        <v>77823</v>
      </c>
      <c r="E20" s="188"/>
      <c r="F20" s="192"/>
      <c r="G20" s="185"/>
      <c r="H20" s="185"/>
    </row>
    <row r="21" spans="1:8" ht="12.75">
      <c r="A21" s="186" t="s">
        <v>27</v>
      </c>
      <c r="B21" s="187">
        <f>'3. sz. melléklet'!K32</f>
        <v>34000</v>
      </c>
      <c r="C21" s="187">
        <f>'3. sz. melléklet'!L32</f>
        <v>34731</v>
      </c>
      <c r="D21" s="187">
        <f>'3. sz. melléklet'!M32</f>
        <v>35736</v>
      </c>
      <c r="E21" s="189"/>
      <c r="F21" s="192"/>
      <c r="G21" s="185"/>
      <c r="H21" s="185"/>
    </row>
    <row r="22" spans="1:8" ht="12.75">
      <c r="A22" s="186" t="s">
        <v>29</v>
      </c>
      <c r="B22" s="187">
        <f>'3. sz. melléklet'!K33</f>
        <v>75515</v>
      </c>
      <c r="C22" s="187">
        <f>'3. sz. melléklet'!L33</f>
        <v>79086</v>
      </c>
      <c r="D22" s="187">
        <f>'3. sz. melléklet'!M33</f>
        <v>120642</v>
      </c>
      <c r="E22" s="190"/>
      <c r="F22" s="187"/>
      <c r="G22" s="185"/>
      <c r="H22" s="185"/>
    </row>
    <row r="23" spans="1:8" ht="12.75">
      <c r="A23" s="186" t="s">
        <v>30</v>
      </c>
      <c r="B23" s="187">
        <f>'3. sz. melléklet'!K35</f>
        <v>81492</v>
      </c>
      <c r="C23" s="187">
        <f>'3. sz. melléklet'!L35</f>
        <v>89492</v>
      </c>
      <c r="D23" s="187">
        <f>'3. sz. melléklet'!M35</f>
        <v>88815</v>
      </c>
      <c r="E23" s="190"/>
      <c r="F23" s="193"/>
      <c r="G23" s="185"/>
      <c r="H23" s="185"/>
    </row>
    <row r="24" spans="1:8" ht="12.75">
      <c r="A24" s="186" t="s">
        <v>31</v>
      </c>
      <c r="B24" s="187">
        <f>'3. sz. melléklet'!K36</f>
        <v>214485</v>
      </c>
      <c r="C24" s="187">
        <f>'3. sz. melléklet'!L36</f>
        <v>223880</v>
      </c>
      <c r="D24" s="187">
        <f>'3. sz. melléklet'!M36</f>
        <v>225056</v>
      </c>
      <c r="E24" s="191"/>
      <c r="F24" s="193"/>
      <c r="G24" s="185"/>
      <c r="H24" s="185"/>
    </row>
    <row r="25" spans="1:8" ht="12.75">
      <c r="A25" s="186" t="s">
        <v>33</v>
      </c>
      <c r="B25" s="187">
        <f>'3. sz. melléklet'!K37</f>
        <v>11160</v>
      </c>
      <c r="C25" s="187">
        <f>'3. sz. melléklet'!L37</f>
        <v>18125</v>
      </c>
      <c r="D25" s="187">
        <f>'3. sz. melléklet'!M37</f>
        <v>4839</v>
      </c>
      <c r="E25" s="191"/>
      <c r="F25" s="187"/>
      <c r="G25" s="185"/>
      <c r="H25" s="185"/>
    </row>
    <row r="26" spans="1:8" ht="12.75">
      <c r="A26" s="186" t="s">
        <v>683</v>
      </c>
      <c r="B26" s="187"/>
      <c r="C26" s="187">
        <f>'3. sz. melléklet'!L38</f>
        <v>5033</v>
      </c>
      <c r="D26" s="187">
        <f>'3. sz. melléklet'!M38</f>
        <v>5171</v>
      </c>
      <c r="E26" s="191"/>
      <c r="F26" s="187"/>
      <c r="G26" s="185"/>
      <c r="H26" s="185"/>
    </row>
    <row r="27" spans="1:8" ht="12.75">
      <c r="A27" s="183" t="s">
        <v>61</v>
      </c>
      <c r="B27" s="176">
        <f>SUM(B28)</f>
        <v>110310</v>
      </c>
      <c r="C27" s="176">
        <f>SUM(C28:C29)</f>
        <v>287238</v>
      </c>
      <c r="D27" s="176">
        <f>SUM(D28:D29)</f>
        <v>189080</v>
      </c>
      <c r="E27" s="189"/>
      <c r="F27" s="187"/>
      <c r="G27" s="185"/>
      <c r="H27" s="185"/>
    </row>
    <row r="28" spans="1:253" ht="12.75">
      <c r="A28" s="186" t="s">
        <v>1033</v>
      </c>
      <c r="B28" s="187">
        <v>110310</v>
      </c>
      <c r="C28" s="187">
        <v>0</v>
      </c>
      <c r="D28" s="239"/>
      <c r="E28" s="189"/>
      <c r="F28" s="187"/>
      <c r="G28" s="185"/>
      <c r="H28" s="185"/>
      <c r="IR28" s="11"/>
      <c r="IS28" s="11"/>
    </row>
    <row r="29" spans="1:253" ht="12.75">
      <c r="A29" s="238" t="s">
        <v>1032</v>
      </c>
      <c r="B29" s="239"/>
      <c r="C29" s="239">
        <v>287238</v>
      </c>
      <c r="D29" s="239">
        <v>189080</v>
      </c>
      <c r="E29" s="459"/>
      <c r="F29" s="239"/>
      <c r="G29" s="237"/>
      <c r="H29" s="237"/>
      <c r="IR29" s="11"/>
      <c r="IS29" s="11"/>
    </row>
    <row r="30" spans="1:253" ht="17.25" customHeight="1">
      <c r="A30" s="183" t="s">
        <v>38</v>
      </c>
      <c r="B30" s="176">
        <f>'3. sz. melléklet'!K42</f>
        <v>65989</v>
      </c>
      <c r="C30" s="176">
        <f>'3. sz. melléklet'!L42</f>
        <v>96531</v>
      </c>
      <c r="D30" s="176">
        <f>'3. sz. melléklet'!M42</f>
        <v>32542</v>
      </c>
      <c r="E30" s="189"/>
      <c r="F30" s="187"/>
      <c r="G30" s="185"/>
      <c r="H30" s="185"/>
      <c r="IR30" s="11"/>
      <c r="IS30" s="11"/>
    </row>
    <row r="31" spans="1:253" ht="12.75">
      <c r="A31" s="186" t="s">
        <v>20</v>
      </c>
      <c r="B31" s="187">
        <f>'3. sz. melléklet'!K43</f>
        <v>65989</v>
      </c>
      <c r="C31" s="187">
        <f>'3. sz. melléklet'!L43</f>
        <v>80179</v>
      </c>
      <c r="D31" s="187">
        <f>'3. sz. melléklet'!M43</f>
        <v>16190</v>
      </c>
      <c r="E31" s="189"/>
      <c r="F31" s="187"/>
      <c r="G31" s="185"/>
      <c r="H31" s="185"/>
      <c r="IR31" s="11"/>
      <c r="IS31" s="11"/>
    </row>
    <row r="32" spans="1:253" ht="15.75" thickBot="1">
      <c r="A32" s="827" t="s">
        <v>843</v>
      </c>
      <c r="B32" s="828"/>
      <c r="C32" s="828">
        <f>'3. sz. melléklet'!L44</f>
        <v>16352</v>
      </c>
      <c r="D32" s="828">
        <f>'3. sz. melléklet'!M44</f>
        <v>16352</v>
      </c>
      <c r="E32" s="829"/>
      <c r="F32" s="828"/>
      <c r="G32" s="196"/>
      <c r="H32" s="196"/>
      <c r="IR32" s="11"/>
      <c r="IS32" s="11"/>
    </row>
    <row r="33" spans="1:8" s="11" customFormat="1" ht="12.75" thickBot="1">
      <c r="A33" s="832" t="s">
        <v>62</v>
      </c>
      <c r="B33" s="833">
        <f>(B5+B7+B10+B18+B30-B27)</f>
        <v>4197892</v>
      </c>
      <c r="C33" s="833">
        <f>(C6+C5+C7+C10+C18+C30-C27)</f>
        <v>4260743</v>
      </c>
      <c r="D33" s="833">
        <f>(D6+D5+D7+D10+D18+D30-D27)</f>
        <v>4008115</v>
      </c>
      <c r="E33" s="832" t="s">
        <v>63</v>
      </c>
      <c r="F33" s="833">
        <f>(F5+F7+F9+F10+F11)</f>
        <v>4247892</v>
      </c>
      <c r="G33" s="833">
        <f>(G5+G7+G9+G10+G11)</f>
        <v>4289844</v>
      </c>
      <c r="H33" s="833">
        <f>(H5+H7+H9+H10+H11)</f>
        <v>4005897</v>
      </c>
    </row>
    <row r="34" spans="1:8" s="11" customFormat="1" ht="12.75">
      <c r="A34" s="860" t="s">
        <v>844</v>
      </c>
      <c r="B34" s="194"/>
      <c r="C34" s="861">
        <f>'3. sz. melléklet'!L50</f>
        <v>1156</v>
      </c>
      <c r="D34" s="861">
        <f>'3. sz. melléklet'!M50</f>
        <v>39017</v>
      </c>
      <c r="E34" s="830"/>
      <c r="F34" s="179"/>
      <c r="G34" s="831"/>
      <c r="H34" s="831"/>
    </row>
    <row r="35" spans="1:8" s="11" customFormat="1" ht="12.75">
      <c r="A35" s="459" t="s">
        <v>961</v>
      </c>
      <c r="B35" s="239"/>
      <c r="C35" s="451">
        <f>'3. sz. melléklet'!L51</f>
        <v>112898</v>
      </c>
      <c r="D35" s="451">
        <f>'3. sz. melléklet'!M51</f>
        <v>112898</v>
      </c>
      <c r="E35" s="240"/>
      <c r="F35" s="867"/>
      <c r="G35" s="868"/>
      <c r="H35" s="868"/>
    </row>
    <row r="36" spans="1:8" s="11" customFormat="1" ht="12.75">
      <c r="A36" s="862" t="s">
        <v>48</v>
      </c>
      <c r="B36" s="187">
        <v>50000</v>
      </c>
      <c r="C36" s="187">
        <v>69211</v>
      </c>
      <c r="D36" s="187"/>
      <c r="E36" s="869" t="s">
        <v>64</v>
      </c>
      <c r="F36" s="451">
        <f>'4.sz. melléklet'!M30</f>
        <v>1726718</v>
      </c>
      <c r="G36" s="451">
        <f>'4.sz. melléklet'!N30</f>
        <v>1779284</v>
      </c>
      <c r="H36" s="451">
        <f>'4.sz. melléklet'!O30</f>
        <v>1635781</v>
      </c>
    </row>
    <row r="37" spans="1:8" s="11" customFormat="1" ht="12.75">
      <c r="A37" s="863" t="s">
        <v>65</v>
      </c>
      <c r="B37" s="187">
        <f>'3. sz. melléklet'!K53</f>
        <v>1726718</v>
      </c>
      <c r="C37" s="187">
        <f>'3. sz. melléklet'!L53</f>
        <v>1779284</v>
      </c>
      <c r="D37" s="187">
        <f>'3. sz. melléklet'!M53</f>
        <v>1635781</v>
      </c>
      <c r="E37" s="869" t="s">
        <v>687</v>
      </c>
      <c r="F37" s="451"/>
      <c r="G37" s="451">
        <f>'4.sz. melléklet'!N29</f>
        <v>112898</v>
      </c>
      <c r="H37" s="451">
        <f>'4.sz. melléklet'!O29</f>
        <v>112898</v>
      </c>
    </row>
    <row r="38" spans="1:8" s="11" customFormat="1" ht="12.75">
      <c r="A38" s="864"/>
      <c r="B38" s="239"/>
      <c r="C38" s="239"/>
      <c r="D38" s="239"/>
      <c r="E38" s="240" t="s">
        <v>962</v>
      </c>
      <c r="F38" s="867"/>
      <c r="G38" s="451">
        <f>'4.sz. melléklet'!N31</f>
        <v>1250000</v>
      </c>
      <c r="H38" s="451">
        <f>'4.sz. melléklet'!O31</f>
        <v>1250000</v>
      </c>
    </row>
    <row r="39" spans="1:8" s="11" customFormat="1" ht="12.75">
      <c r="A39" s="863" t="s">
        <v>685</v>
      </c>
      <c r="B39" s="187"/>
      <c r="C39" s="451">
        <f>'3. sz. melléklet'!L54</f>
        <v>1250000</v>
      </c>
      <c r="D39" s="451">
        <f>'3. sz. melléklet'!M54</f>
        <v>1250000</v>
      </c>
      <c r="E39" s="869" t="s">
        <v>724</v>
      </c>
      <c r="F39" s="451"/>
      <c r="G39" s="451">
        <f>'4.sz. melléklet'!N32</f>
        <v>1070830</v>
      </c>
      <c r="H39" s="451">
        <f>'4.sz. melléklet'!O32</f>
        <v>1070830</v>
      </c>
    </row>
    <row r="40" spans="1:8" s="11" customFormat="1" ht="15.75" thickBot="1">
      <c r="A40" s="865" t="s">
        <v>723</v>
      </c>
      <c r="B40" s="828"/>
      <c r="C40" s="866">
        <f>'3. sz. melléklet'!L55</f>
        <v>1070830</v>
      </c>
      <c r="D40" s="866">
        <f>'3. sz. melléklet'!M55</f>
        <v>1070830</v>
      </c>
      <c r="E40" s="870" t="s">
        <v>686</v>
      </c>
      <c r="F40" s="866"/>
      <c r="G40" s="866">
        <f>'4.sz. melléklet'!N28</f>
        <v>41266</v>
      </c>
      <c r="H40" s="866">
        <f>'4.sz. melléklet'!O28</f>
        <v>41266</v>
      </c>
    </row>
    <row r="41" spans="1:8" s="11" customFormat="1" ht="12.75" thickBot="1">
      <c r="A41" s="832" t="s">
        <v>66</v>
      </c>
      <c r="B41" s="833">
        <f>SUM(B36:B37)</f>
        <v>1776718</v>
      </c>
      <c r="C41" s="833">
        <f>SUM(C34:C40)</f>
        <v>4283379</v>
      </c>
      <c r="D41" s="833">
        <f>SUM(D34:D40)</f>
        <v>4108526</v>
      </c>
      <c r="E41" s="832" t="s">
        <v>67</v>
      </c>
      <c r="F41" s="833">
        <f>SUM(F36)</f>
        <v>1726718</v>
      </c>
      <c r="G41" s="833">
        <f>SUM(G36:G40)</f>
        <v>4254278</v>
      </c>
      <c r="H41" s="833">
        <f>SUM(H36:H40)</f>
        <v>4110775</v>
      </c>
    </row>
    <row r="42" spans="1:8" s="11" customFormat="1" ht="12.75" thickBot="1">
      <c r="A42" s="834" t="s">
        <v>68</v>
      </c>
      <c r="B42" s="835">
        <f>(B33+B41)</f>
        <v>5974610</v>
      </c>
      <c r="C42" s="835">
        <f>(C33+C41)</f>
        <v>8544122</v>
      </c>
      <c r="D42" s="835">
        <f>(D33+D41)</f>
        <v>8116641</v>
      </c>
      <c r="E42" s="834" t="s">
        <v>68</v>
      </c>
      <c r="F42" s="833">
        <f>(F33+F41)</f>
        <v>5974610</v>
      </c>
      <c r="G42" s="833">
        <f>(G33+G41)</f>
        <v>8544122</v>
      </c>
      <c r="H42" s="833">
        <f>(H33+H41)</f>
        <v>8116672</v>
      </c>
    </row>
    <row r="43" spans="1:6" s="11" customFormat="1" ht="12.75">
      <c r="A43" s="14"/>
      <c r="B43" s="15"/>
      <c r="C43" s="15"/>
      <c r="D43" s="15"/>
      <c r="E43" s="14"/>
      <c r="F43" s="16"/>
    </row>
    <row r="44" spans="1:6" s="11" customFormat="1" ht="12.75">
      <c r="A44" s="14"/>
      <c r="B44" s="15"/>
      <c r="C44" s="15"/>
      <c r="D44" s="15"/>
      <c r="E44" s="14"/>
      <c r="F44" s="16"/>
    </row>
    <row r="45" spans="1:8" s="10" customFormat="1" ht="15" customHeight="1">
      <c r="A45" s="1061" t="s">
        <v>69</v>
      </c>
      <c r="B45" s="1061"/>
      <c r="C45" s="1061"/>
      <c r="D45" s="1061"/>
      <c r="E45" s="1061"/>
      <c r="F45" s="1061"/>
      <c r="G45" s="1061"/>
      <c r="H45" s="1061"/>
    </row>
    <row r="46" ht="14.25" customHeight="1" thickBot="1">
      <c r="E46" s="17"/>
    </row>
    <row r="47" spans="1:8" s="10" customFormat="1" ht="12.75" thickBot="1">
      <c r="A47" s="1066" t="s">
        <v>1</v>
      </c>
      <c r="B47" s="1067"/>
      <c r="C47" s="1067"/>
      <c r="D47" s="1068"/>
      <c r="E47" s="1065" t="s">
        <v>2</v>
      </c>
      <c r="F47" s="1065"/>
      <c r="G47" s="1065"/>
      <c r="H47" s="1065"/>
    </row>
    <row r="48" spans="1:8" s="10" customFormat="1" ht="12.75" thickBot="1">
      <c r="A48" s="836" t="s">
        <v>3</v>
      </c>
      <c r="B48" s="837" t="s">
        <v>4</v>
      </c>
      <c r="C48" s="838" t="s">
        <v>861</v>
      </c>
      <c r="D48" s="839" t="s">
        <v>1041</v>
      </c>
      <c r="E48" s="931" t="s">
        <v>3</v>
      </c>
      <c r="F48" s="932" t="s">
        <v>5</v>
      </c>
      <c r="G48" s="932" t="s">
        <v>861</v>
      </c>
      <c r="H48" s="932" t="s">
        <v>1041</v>
      </c>
    </row>
    <row r="49" spans="1:8" s="10" customFormat="1" ht="14.25">
      <c r="A49" s="840" t="s">
        <v>6</v>
      </c>
      <c r="B49" s="841"/>
      <c r="C49" s="842">
        <f>'3. sz. melléklet'!L8</f>
        <v>4800</v>
      </c>
      <c r="D49" s="842">
        <f>'3. sz. melléklet'!M8</f>
        <v>104800</v>
      </c>
      <c r="E49" s="851"/>
      <c r="F49" s="841"/>
      <c r="G49" s="841"/>
      <c r="H49" s="841"/>
    </row>
    <row r="50" spans="1:8" s="10" customFormat="1" ht="14.25">
      <c r="A50" s="843" t="s">
        <v>689</v>
      </c>
      <c r="B50" s="844"/>
      <c r="C50" s="845">
        <f>SUM(C51)</f>
        <v>46566</v>
      </c>
      <c r="D50" s="845">
        <f>SUM(D51)</f>
        <v>46566</v>
      </c>
      <c r="E50" s="852"/>
      <c r="F50" s="844"/>
      <c r="G50" s="853"/>
      <c r="H50" s="853"/>
    </row>
    <row r="51" spans="1:8" s="10" customFormat="1" ht="12.75">
      <c r="A51" s="846" t="s">
        <v>9</v>
      </c>
      <c r="B51" s="844"/>
      <c r="C51" s="239">
        <f>'3. sz. melléklet'!L14</f>
        <v>46566</v>
      </c>
      <c r="D51" s="239">
        <f>'3. sz. melléklet'!M14</f>
        <v>46566</v>
      </c>
      <c r="E51" s="852"/>
      <c r="F51" s="844"/>
      <c r="G51" s="853"/>
      <c r="H51" s="853"/>
    </row>
    <row r="52" spans="1:8" s="10" customFormat="1" ht="14.25">
      <c r="A52" s="847" t="s">
        <v>35</v>
      </c>
      <c r="B52" s="236">
        <f>'3. sz. melléklet'!K39</f>
        <v>392724</v>
      </c>
      <c r="C52" s="236">
        <f>'3. sz. melléklet'!L39</f>
        <v>363002</v>
      </c>
      <c r="D52" s="236">
        <f>'3. sz. melléklet'!M39</f>
        <v>363033</v>
      </c>
      <c r="E52" s="235" t="s">
        <v>70</v>
      </c>
      <c r="F52" s="236">
        <f>'4.sz. melléklet'!M18</f>
        <v>193259</v>
      </c>
      <c r="G52" s="236">
        <f>'4.sz. melléklet'!N18</f>
        <v>277945</v>
      </c>
      <c r="H52" s="236">
        <f>'4.sz. melléklet'!O18</f>
        <v>385203</v>
      </c>
    </row>
    <row r="53" spans="1:8" s="10" customFormat="1" ht="12.75">
      <c r="A53" s="238" t="s">
        <v>71</v>
      </c>
      <c r="B53" s="239">
        <f>'3. sz. melléklet'!K40</f>
        <v>392724</v>
      </c>
      <c r="C53" s="239">
        <f>'3. sz. melléklet'!L40</f>
        <v>362751</v>
      </c>
      <c r="D53" s="239">
        <f>'3. sz. melléklet'!M40</f>
        <v>362751</v>
      </c>
      <c r="E53" s="235"/>
      <c r="F53" s="236"/>
      <c r="G53" s="853"/>
      <c r="H53" s="853"/>
    </row>
    <row r="54" spans="1:8" s="10" customFormat="1" ht="12.75">
      <c r="A54" s="238" t="s">
        <v>757</v>
      </c>
      <c r="B54" s="239"/>
      <c r="C54" s="239">
        <v>251</v>
      </c>
      <c r="D54" s="239">
        <v>282</v>
      </c>
      <c r="E54" s="235" t="s">
        <v>72</v>
      </c>
      <c r="F54" s="236">
        <f>'4.sz. melléklet'!M19</f>
        <v>162646</v>
      </c>
      <c r="G54" s="236">
        <f>'4.sz. melléklet'!N19</f>
        <v>205447</v>
      </c>
      <c r="H54" s="236">
        <f>'4.sz. melléklet'!O19</f>
        <v>189586</v>
      </c>
    </row>
    <row r="55" spans="1:8" s="10" customFormat="1" ht="14.25">
      <c r="A55" s="847" t="s">
        <v>100</v>
      </c>
      <c r="B55" s="236">
        <f>'3. sz. melléklet'!K45</f>
        <v>1996</v>
      </c>
      <c r="C55" s="236">
        <f>'3. sz. melléklet'!L45</f>
        <v>5708</v>
      </c>
      <c r="D55" s="236">
        <f>'3. sz. melléklet'!M45</f>
        <v>5708</v>
      </c>
      <c r="E55" s="235"/>
      <c r="F55" s="236"/>
      <c r="G55" s="853"/>
      <c r="H55" s="853"/>
    </row>
    <row r="56" spans="1:8" s="10" customFormat="1" ht="12.75">
      <c r="A56" s="238" t="s">
        <v>20</v>
      </c>
      <c r="B56" s="239">
        <f>'3. sz. melléklet'!K46</f>
        <v>1996</v>
      </c>
      <c r="C56" s="239">
        <f>'3. sz. melléklet'!L46</f>
        <v>4548</v>
      </c>
      <c r="D56" s="239">
        <f>'3. sz. melléklet'!M46</f>
        <v>4548</v>
      </c>
      <c r="E56" s="854" t="s">
        <v>73</v>
      </c>
      <c r="F56" s="236">
        <f>(F57+F58+F59)</f>
        <v>339174</v>
      </c>
      <c r="G56" s="236">
        <f>(G57+G58+G59)</f>
        <v>397150</v>
      </c>
      <c r="H56" s="236">
        <f>(H57+H58+H59)</f>
        <v>373336</v>
      </c>
    </row>
    <row r="57" spans="1:8" ht="12.75">
      <c r="A57" s="238" t="s">
        <v>843</v>
      </c>
      <c r="B57" s="239"/>
      <c r="C57" s="239">
        <f>'3. sz. melléklet'!L47</f>
        <v>1160</v>
      </c>
      <c r="D57" s="239">
        <f>'3. sz. melléklet'!M47</f>
        <v>1160</v>
      </c>
      <c r="E57" s="459" t="s">
        <v>20</v>
      </c>
      <c r="F57" s="239">
        <f>'4.sz. melléklet'!M21</f>
        <v>1200</v>
      </c>
      <c r="G57" s="239">
        <f>'4.sz. melléklet'!N21</f>
        <v>1200</v>
      </c>
      <c r="H57" s="239">
        <f>'4.sz. melléklet'!O21</f>
        <v>1200</v>
      </c>
    </row>
    <row r="58" spans="1:8" ht="12.75">
      <c r="A58" s="847" t="s">
        <v>74</v>
      </c>
      <c r="B58" s="236">
        <f>SUM(B59:B60)</f>
        <v>110310</v>
      </c>
      <c r="C58" s="236">
        <f>SUM(C59:C60)</f>
        <v>287238</v>
      </c>
      <c r="D58" s="236">
        <f>SUM(D59:D60)</f>
        <v>189080</v>
      </c>
      <c r="E58" s="459" t="s">
        <v>39</v>
      </c>
      <c r="F58" s="239">
        <f>'4.sz. melléklet'!M22</f>
        <v>187974</v>
      </c>
      <c r="G58" s="239">
        <f>'4.sz. melléklet'!N22</f>
        <v>391634</v>
      </c>
      <c r="H58" s="239">
        <f>'4.sz. melléklet'!O22</f>
        <v>367820</v>
      </c>
    </row>
    <row r="59" spans="1:8" ht="12.75">
      <c r="A59" s="238" t="s">
        <v>1034</v>
      </c>
      <c r="B59" s="239">
        <v>110310</v>
      </c>
      <c r="C59" s="239">
        <v>0</v>
      </c>
      <c r="D59" s="239"/>
      <c r="E59" s="459" t="s">
        <v>40</v>
      </c>
      <c r="F59" s="239">
        <f>'4.sz. melléklet'!M23</f>
        <v>150000</v>
      </c>
      <c r="G59" s="239">
        <f>'4.sz. melléklet'!N23</f>
        <v>4316</v>
      </c>
      <c r="H59" s="239">
        <f>'4.sz. melléklet'!O23</f>
        <v>4316</v>
      </c>
    </row>
    <row r="60" spans="1:8" ht="12.75">
      <c r="A60" s="238" t="s">
        <v>1035</v>
      </c>
      <c r="B60" s="239"/>
      <c r="C60" s="239">
        <v>287238</v>
      </c>
      <c r="D60" s="239">
        <f>D29</f>
        <v>189080</v>
      </c>
      <c r="E60" s="855" t="s">
        <v>41</v>
      </c>
      <c r="F60" s="239">
        <f>'4.sz. melléklet'!M24</f>
        <v>50000</v>
      </c>
      <c r="G60" s="239">
        <f>'4.sz. melléklet'!N24</f>
        <v>4316</v>
      </c>
      <c r="H60" s="239">
        <f>'4.sz. melléklet'!O24</f>
        <v>4316</v>
      </c>
    </row>
    <row r="61" spans="1:8" ht="12.75">
      <c r="A61" s="238"/>
      <c r="B61" s="239"/>
      <c r="C61" s="239"/>
      <c r="D61" s="239"/>
      <c r="E61" s="856" t="s">
        <v>75</v>
      </c>
      <c r="F61" s="239">
        <f>'4.sz. melléklet'!M25</f>
        <v>100000</v>
      </c>
      <c r="G61" s="239">
        <f>'4.sz. melléklet'!N25</f>
        <v>0</v>
      </c>
      <c r="H61" s="239">
        <f>'4.sz. melléklet'!O25</f>
        <v>0</v>
      </c>
    </row>
    <row r="62" spans="1:8" ht="12.75">
      <c r="A62" s="848"/>
      <c r="B62" s="239"/>
      <c r="C62" s="239"/>
      <c r="D62" s="239"/>
      <c r="E62" s="856"/>
      <c r="F62" s="239"/>
      <c r="G62" s="237"/>
      <c r="H62" s="237"/>
    </row>
    <row r="63" spans="1:8" ht="15.75" thickBot="1">
      <c r="A63" s="849"/>
      <c r="B63" s="850"/>
      <c r="C63" s="850"/>
      <c r="D63" s="850"/>
      <c r="E63" s="857"/>
      <c r="F63" s="858"/>
      <c r="G63" s="859"/>
      <c r="H63" s="859"/>
    </row>
    <row r="64" spans="1:8" ht="12.75" thickBot="1">
      <c r="A64" s="23" t="s">
        <v>62</v>
      </c>
      <c r="B64" s="13">
        <f>(B49+B50+B52+B55+B58)</f>
        <v>505030</v>
      </c>
      <c r="C64" s="13">
        <f>(C49+C50+C52+C55+C58)</f>
        <v>707314</v>
      </c>
      <c r="D64" s="13">
        <f>(D49+D50+D52+D55+D58)</f>
        <v>709187</v>
      </c>
      <c r="E64" s="24" t="s">
        <v>63</v>
      </c>
      <c r="F64" s="13">
        <f>(F52+F54+F56)</f>
        <v>695079</v>
      </c>
      <c r="G64" s="13">
        <f>(G52+G54+G56)</f>
        <v>880542</v>
      </c>
      <c r="H64" s="13">
        <f>(H52+H54+H56)</f>
        <v>948125</v>
      </c>
    </row>
    <row r="65" spans="1:8" ht="14.25">
      <c r="A65" s="25" t="s">
        <v>76</v>
      </c>
      <c r="B65" s="146">
        <f>SUM(B66)</f>
        <v>200000</v>
      </c>
      <c r="C65" s="19">
        <f>SUM(C66)</f>
        <v>187721</v>
      </c>
      <c r="D65" s="19">
        <f>SUM(D66)</f>
        <v>256932</v>
      </c>
      <c r="E65" s="20" t="s">
        <v>46</v>
      </c>
      <c r="F65" s="19">
        <f>'4.sz. melléklet'!M27</f>
        <v>73265</v>
      </c>
      <c r="G65" s="19">
        <f>'4.sz. melléklet'!N27</f>
        <v>73265</v>
      </c>
      <c r="H65" s="19">
        <f>'4.sz. melléklet'!O27</f>
        <v>70817</v>
      </c>
    </row>
    <row r="66" spans="1:8" ht="12.75">
      <c r="A66" s="26" t="s">
        <v>48</v>
      </c>
      <c r="B66" s="145">
        <v>200000</v>
      </c>
      <c r="C66" s="187">
        <v>187721</v>
      </c>
      <c r="D66" s="239">
        <f>'3. sz. melléklet'!M52</f>
        <v>256932</v>
      </c>
      <c r="E66" s="22"/>
      <c r="F66" s="176"/>
      <c r="G66" s="185"/>
      <c r="H66" s="185"/>
    </row>
    <row r="67" spans="1:8" ht="14.25">
      <c r="A67" s="18" t="s">
        <v>77</v>
      </c>
      <c r="B67" s="148">
        <f>SUM(B68)</f>
        <v>63314</v>
      </c>
      <c r="C67" s="176">
        <f>SUM(C68)</f>
        <v>58772</v>
      </c>
      <c r="D67" s="236">
        <f>SUM(D68)</f>
        <v>52854</v>
      </c>
      <c r="E67" s="22"/>
      <c r="F67" s="176"/>
      <c r="G67" s="185"/>
      <c r="H67" s="185"/>
    </row>
    <row r="68" spans="1:8" ht="15.75">
      <c r="A68" s="21" t="s">
        <v>47</v>
      </c>
      <c r="B68" s="145">
        <f>'3. sz. melléklet'!K49</f>
        <v>63314</v>
      </c>
      <c r="C68" s="187">
        <f>'3. sz. melléklet'!L49</f>
        <v>58772</v>
      </c>
      <c r="D68" s="239">
        <f>'3. sz. melléklet'!M49</f>
        <v>52854</v>
      </c>
      <c r="E68" s="151"/>
      <c r="F68" s="176"/>
      <c r="G68" s="185"/>
      <c r="H68" s="185"/>
    </row>
    <row r="69" spans="1:8" ht="15.75" thickBot="1">
      <c r="A69" s="195"/>
      <c r="B69" s="149"/>
      <c r="C69" s="152"/>
      <c r="D69" s="152"/>
      <c r="E69" s="27"/>
      <c r="F69" s="12"/>
      <c r="G69" s="196"/>
      <c r="H69" s="196"/>
    </row>
    <row r="70" spans="1:8" ht="15.75" customHeight="1" thickBot="1">
      <c r="A70" s="28" t="s">
        <v>66</v>
      </c>
      <c r="B70" s="147">
        <f>B67+B65</f>
        <v>263314</v>
      </c>
      <c r="C70" s="13">
        <f>C67+C65</f>
        <v>246493</v>
      </c>
      <c r="D70" s="13">
        <f>D67+D65</f>
        <v>309786</v>
      </c>
      <c r="E70" s="24" t="s">
        <v>67</v>
      </c>
      <c r="F70" s="13">
        <f>SUM(F65)</f>
        <v>73265</v>
      </c>
      <c r="G70" s="13">
        <f>SUM(G65)</f>
        <v>73265</v>
      </c>
      <c r="H70" s="13">
        <f>SUM(H65)</f>
        <v>70817</v>
      </c>
    </row>
    <row r="71" spans="1:8" ht="12.75" thickBot="1">
      <c r="A71" s="29" t="s">
        <v>68</v>
      </c>
      <c r="B71" s="150">
        <f>SUM(B70+B64)</f>
        <v>768344</v>
      </c>
      <c r="C71" s="30">
        <f>SUM(C70+C64)</f>
        <v>953807</v>
      </c>
      <c r="D71" s="30">
        <f>SUM(D70+D64)</f>
        <v>1018973</v>
      </c>
      <c r="E71" s="31" t="s">
        <v>68</v>
      </c>
      <c r="F71" s="30">
        <f>(F64+F65)</f>
        <v>768344</v>
      </c>
      <c r="G71" s="30">
        <f>(G64+G65)</f>
        <v>953807</v>
      </c>
      <c r="H71" s="30">
        <f>(H64+H65)</f>
        <v>1018942</v>
      </c>
    </row>
    <row r="72" spans="1:6" ht="14.25">
      <c r="A72" s="27"/>
      <c r="B72" s="32"/>
      <c r="C72" s="32"/>
      <c r="D72" s="32"/>
      <c r="E72" s="27"/>
      <c r="F72" s="32"/>
    </row>
    <row r="73" spans="1:8" ht="14.25">
      <c r="A73" s="33" t="s">
        <v>78</v>
      </c>
      <c r="B73" s="34">
        <f>B71+B42</f>
        <v>6742954</v>
      </c>
      <c r="C73" s="34">
        <f>C71+C42</f>
        <v>9497929</v>
      </c>
      <c r="D73" s="34">
        <f>D71+D42</f>
        <v>9135614</v>
      </c>
      <c r="E73" s="33" t="s">
        <v>79</v>
      </c>
      <c r="F73" s="35">
        <f>(F42+F71)</f>
        <v>6742954</v>
      </c>
      <c r="G73" s="35">
        <f>(G42+G71)</f>
        <v>9497929</v>
      </c>
      <c r="H73" s="35">
        <f>(H42+H71)</f>
        <v>9135614</v>
      </c>
    </row>
    <row r="75" spans="1:9" ht="12.75">
      <c r="A75" s="1035" t="s">
        <v>1130</v>
      </c>
      <c r="B75" s="1035"/>
      <c r="C75" s="1035"/>
      <c r="D75" s="1035"/>
      <c r="E75" s="1035"/>
      <c r="F75" s="1035"/>
      <c r="G75" s="1035"/>
      <c r="H75" s="1035"/>
      <c r="I75" s="1033"/>
    </row>
    <row r="76" spans="1:9" ht="12.75">
      <c r="A76" s="1035" t="s">
        <v>1131</v>
      </c>
      <c r="B76" s="1035"/>
      <c r="C76" s="1035"/>
      <c r="D76" s="1035"/>
      <c r="E76" s="1035"/>
      <c r="F76" s="1035"/>
      <c r="G76" s="1035"/>
      <c r="H76" s="1035"/>
      <c r="I76" s="1035"/>
    </row>
    <row r="77" spans="1:9" ht="12.75">
      <c r="A77" s="1035" t="s">
        <v>1132</v>
      </c>
      <c r="B77" s="1035"/>
      <c r="C77" s="1035"/>
      <c r="D77" s="1035"/>
      <c r="E77" s="1035"/>
      <c r="F77" s="1035"/>
      <c r="G77" s="1035"/>
      <c r="H77" s="1035"/>
      <c r="I77" s="1035"/>
    </row>
    <row r="78" spans="1:9" ht="12.75">
      <c r="A78" s="1035" t="s">
        <v>1133</v>
      </c>
      <c r="B78" s="1035"/>
      <c r="C78" s="1035"/>
      <c r="D78" s="1035"/>
      <c r="E78" s="1035"/>
      <c r="F78" s="1035"/>
      <c r="G78" s="1035"/>
      <c r="H78" s="1035"/>
      <c r="I78" s="1035"/>
    </row>
  </sheetData>
  <sheetProtection selectLockedCells="1" selectUnlockedCells="1"/>
  <mergeCells count="10">
    <mergeCell ref="A75:H75"/>
    <mergeCell ref="A76:I76"/>
    <mergeCell ref="A77:I77"/>
    <mergeCell ref="A78:I78"/>
    <mergeCell ref="A1:H1"/>
    <mergeCell ref="A45:H45"/>
    <mergeCell ref="E3:H3"/>
    <mergeCell ref="A3:D3"/>
    <mergeCell ref="E47:H47"/>
    <mergeCell ref="A47:D47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&amp;L2. melléklet a 1/2017.(II.24.) önkormányzati rendelethez
2. melléklet a 29/2015.(XII.18.) önkormányzati rendelethez</oddHeader>
  </headerFooter>
  <rowBreaks count="1" manualBreakCount="1">
    <brk id="43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34"/>
  <sheetViews>
    <sheetView tabSelected="1" view="pageBreakPreview" zoomScale="46" zoomScaleSheetLayoutView="46" workbookViewId="0" topLeftCell="A1">
      <selection activeCell="A35" sqref="A35"/>
    </sheetView>
  </sheetViews>
  <sheetFormatPr defaultColWidth="9.00390625" defaultRowHeight="12.75"/>
  <cols>
    <col min="1" max="1" width="64.00390625" style="124" customWidth="1"/>
    <col min="2" max="2" width="11.25390625" style="125" customWidth="1"/>
    <col min="3" max="3" width="14.125" style="126" customWidth="1"/>
    <col min="4" max="4" width="13.25390625" style="126" customWidth="1"/>
    <col min="5" max="5" width="17.25390625" style="126" customWidth="1"/>
    <col min="6" max="16384" width="9.125" style="126" customWidth="1"/>
  </cols>
  <sheetData>
    <row r="1" spans="1:2" ht="12.75">
      <c r="A1" s="127"/>
      <c r="B1" s="128"/>
    </row>
    <row r="2" spans="1:4" ht="12.75">
      <c r="A2" s="1208" t="s">
        <v>544</v>
      </c>
      <c r="B2" s="1208"/>
      <c r="C2" s="1208"/>
      <c r="D2" s="1208"/>
    </row>
    <row r="3" spans="1:2" ht="15.75" thickBot="1">
      <c r="A3" s="171"/>
      <c r="B3" s="172"/>
    </row>
    <row r="4" spans="1:5" ht="12.75">
      <c r="A4" s="129" t="s">
        <v>3</v>
      </c>
      <c r="B4" s="164" t="s">
        <v>5</v>
      </c>
      <c r="C4" s="164" t="s">
        <v>861</v>
      </c>
      <c r="D4" s="130" t="s">
        <v>1041</v>
      </c>
      <c r="E4" s="131"/>
    </row>
    <row r="5" spans="1:4" s="133" customFormat="1" ht="14.25">
      <c r="A5" s="132" t="s">
        <v>545</v>
      </c>
      <c r="B5" s="165">
        <f>SUM(B7,B10,B14,B18)</f>
        <v>146800</v>
      </c>
      <c r="C5" s="336">
        <f>SUM(C7,C10,C14,C18)</f>
        <v>5733</v>
      </c>
      <c r="D5" s="339">
        <f>SUM(D7,D10,D14,D18)</f>
        <v>3835</v>
      </c>
    </row>
    <row r="6" spans="1:4" s="133" customFormat="1" ht="14.25">
      <c r="A6" s="134"/>
      <c r="B6" s="166"/>
      <c r="C6" s="337"/>
      <c r="D6" s="340"/>
    </row>
    <row r="7" spans="1:4" s="135" customFormat="1" ht="14.25">
      <c r="A7" s="132" t="s">
        <v>546</v>
      </c>
      <c r="B7" s="165">
        <f>SUM(B8)</f>
        <v>15000</v>
      </c>
      <c r="C7" s="336">
        <f>SUM(C8)</f>
        <v>236</v>
      </c>
      <c r="D7" s="339">
        <f>SUM(D8)</f>
        <v>138</v>
      </c>
    </row>
    <row r="8" spans="1:4" ht="12.75">
      <c r="A8" s="136" t="s">
        <v>546</v>
      </c>
      <c r="B8" s="167">
        <v>15000</v>
      </c>
      <c r="C8" s="338">
        <v>236</v>
      </c>
      <c r="D8" s="341">
        <f>236-98</f>
        <v>138</v>
      </c>
    </row>
    <row r="9" spans="1:4" ht="12.75">
      <c r="A9" s="136"/>
      <c r="B9" s="167"/>
      <c r="C9" s="338"/>
      <c r="D9" s="341"/>
    </row>
    <row r="10" spans="1:4" s="135" customFormat="1" ht="14.25">
      <c r="A10" s="132" t="s">
        <v>547</v>
      </c>
      <c r="B10" s="165">
        <f>SUM(B11:B12)</f>
        <v>100000</v>
      </c>
      <c r="C10" s="336">
        <f>SUM(C11:C12)</f>
        <v>3697</v>
      </c>
      <c r="D10" s="339">
        <f>SUM(D11:D12)</f>
        <v>3697</v>
      </c>
    </row>
    <row r="11" spans="1:4" ht="12.75">
      <c r="A11" s="136" t="s">
        <v>547</v>
      </c>
      <c r="B11" s="167">
        <v>100000</v>
      </c>
      <c r="C11" s="338">
        <v>3697</v>
      </c>
      <c r="D11" s="341">
        <v>3697</v>
      </c>
    </row>
    <row r="12" spans="1:4" ht="12.75">
      <c r="A12" s="136"/>
      <c r="B12" s="167"/>
      <c r="C12" s="338"/>
      <c r="D12" s="341"/>
    </row>
    <row r="13" spans="1:4" ht="12.75">
      <c r="A13" s="136"/>
      <c r="B13" s="167"/>
      <c r="C13" s="338"/>
      <c r="D13" s="341"/>
    </row>
    <row r="14" spans="1:4" ht="12.75">
      <c r="A14" s="132" t="s">
        <v>548</v>
      </c>
      <c r="B14" s="165">
        <f>SUM(B15:B16)</f>
        <v>31800</v>
      </c>
      <c r="C14" s="336">
        <f>SUM(C15:C16)</f>
        <v>1800</v>
      </c>
      <c r="D14" s="339">
        <f>SUM(D15:D16)</f>
        <v>0</v>
      </c>
    </row>
    <row r="15" spans="1:4" ht="12.75">
      <c r="A15" s="136" t="s">
        <v>549</v>
      </c>
      <c r="B15" s="167">
        <v>30000</v>
      </c>
      <c r="C15" s="338">
        <v>0</v>
      </c>
      <c r="D15" s="341">
        <v>0</v>
      </c>
    </row>
    <row r="16" spans="1:4" ht="15" customHeight="1">
      <c r="A16" s="136" t="s">
        <v>550</v>
      </c>
      <c r="B16" s="167">
        <v>1800</v>
      </c>
      <c r="C16" s="338">
        <v>1800</v>
      </c>
      <c r="D16" s="341">
        <v>0</v>
      </c>
    </row>
    <row r="17" spans="1:4" ht="17.25" customHeight="1">
      <c r="A17" s="136"/>
      <c r="B17" s="167"/>
      <c r="C17" s="338"/>
      <c r="D17" s="341"/>
    </row>
    <row r="18" spans="1:4" ht="12.75">
      <c r="A18" s="132" t="s">
        <v>551</v>
      </c>
      <c r="B18" s="165">
        <f>SUM(B19)</f>
        <v>0</v>
      </c>
      <c r="C18" s="336">
        <f>SUM(C19)</f>
        <v>0</v>
      </c>
      <c r="D18" s="339">
        <f>SUM(D19)</f>
        <v>0</v>
      </c>
    </row>
    <row r="19" spans="1:4" ht="12.75">
      <c r="A19" s="136"/>
      <c r="B19" s="167"/>
      <c r="C19" s="338"/>
      <c r="D19" s="341"/>
    </row>
    <row r="20" spans="1:4" ht="12.75">
      <c r="A20" s="136"/>
      <c r="B20" s="167"/>
      <c r="C20" s="338"/>
      <c r="D20" s="341"/>
    </row>
    <row r="21" spans="1:4" s="133" customFormat="1" ht="14.25">
      <c r="A21" s="132" t="s">
        <v>552</v>
      </c>
      <c r="B21" s="165">
        <f>SUM(B23,B26)</f>
        <v>150000</v>
      </c>
      <c r="C21" s="336">
        <f>SUM(C23,C26)</f>
        <v>4316</v>
      </c>
      <c r="D21" s="339">
        <f>SUM(D23,D26)</f>
        <v>4316</v>
      </c>
    </row>
    <row r="22" spans="1:4" s="133" customFormat="1" ht="14.25">
      <c r="A22" s="132"/>
      <c r="B22" s="165"/>
      <c r="C22" s="336"/>
      <c r="D22" s="339"/>
    </row>
    <row r="23" spans="1:4" s="135" customFormat="1" ht="14.25">
      <c r="A23" s="132" t="s">
        <v>553</v>
      </c>
      <c r="B23" s="165">
        <f>SUM(B24)</f>
        <v>50000</v>
      </c>
      <c r="C23" s="336">
        <f>SUM(C24)</f>
        <v>4316</v>
      </c>
      <c r="D23" s="339">
        <f>SUM(D24)</f>
        <v>4316</v>
      </c>
    </row>
    <row r="24" spans="1:4" ht="12.75">
      <c r="A24" s="136" t="s">
        <v>553</v>
      </c>
      <c r="B24" s="167">
        <v>50000</v>
      </c>
      <c r="C24" s="338">
        <v>4316</v>
      </c>
      <c r="D24" s="341">
        <v>4316</v>
      </c>
    </row>
    <row r="25" spans="1:4" ht="12.75">
      <c r="A25" s="136"/>
      <c r="B25" s="167"/>
      <c r="C25" s="338"/>
      <c r="D25" s="341"/>
    </row>
    <row r="26" spans="1:4" ht="12.75">
      <c r="A26" s="132" t="s">
        <v>554</v>
      </c>
      <c r="B26" s="165">
        <f>SUM(B27:B27)</f>
        <v>100000</v>
      </c>
      <c r="C26" s="336">
        <f>SUM(C27:C27)</f>
        <v>0</v>
      </c>
      <c r="D26" s="339">
        <f>SUM(D27:D27)</f>
        <v>0</v>
      </c>
    </row>
    <row r="27" spans="1:4" ht="12.75">
      <c r="A27" s="136" t="s">
        <v>555</v>
      </c>
      <c r="B27" s="167">
        <v>100000</v>
      </c>
      <c r="C27" s="338">
        <v>0</v>
      </c>
      <c r="D27" s="341">
        <v>0</v>
      </c>
    </row>
    <row r="28" spans="1:4" ht="12.75">
      <c r="A28" s="136"/>
      <c r="B28" s="167"/>
      <c r="C28" s="338"/>
      <c r="D28" s="341"/>
    </row>
    <row r="29" spans="1:4" s="135" customFormat="1" ht="12.75" thickBot="1">
      <c r="A29" s="137" t="s">
        <v>556</v>
      </c>
      <c r="B29" s="168">
        <f>SUM(B5,B21)</f>
        <v>296800</v>
      </c>
      <c r="C29" s="199">
        <f>SUM(C5,C21)</f>
        <v>10049</v>
      </c>
      <c r="D29" s="342">
        <f>SUM(D5,D21)</f>
        <v>8151</v>
      </c>
    </row>
    <row r="31" spans="1:10" ht="12.75">
      <c r="A31" s="1035" t="s">
        <v>1195</v>
      </c>
      <c r="B31" s="1035"/>
      <c r="C31" s="1035"/>
      <c r="D31" s="1035"/>
      <c r="E31" s="1035"/>
      <c r="F31" s="1035"/>
      <c r="G31" s="1035"/>
      <c r="H31" s="1035"/>
      <c r="I31" s="1035"/>
      <c r="J31" s="1035"/>
    </row>
    <row r="32" spans="1:10" ht="12.75">
      <c r="A32" s="1035" t="s">
        <v>1196</v>
      </c>
      <c r="B32" s="1035"/>
      <c r="C32" s="1035"/>
      <c r="D32" s="1035"/>
      <c r="E32" s="1035"/>
      <c r="F32" s="1035"/>
      <c r="G32" s="1035"/>
      <c r="H32" s="1035"/>
      <c r="I32" s="1035"/>
      <c r="J32" s="1035"/>
    </row>
    <row r="33" spans="1:10" ht="12.75">
      <c r="A33" s="1035" t="s">
        <v>1197</v>
      </c>
      <c r="B33" s="1035"/>
      <c r="C33" s="1035"/>
      <c r="D33" s="1035"/>
      <c r="E33" s="1035"/>
      <c r="F33" s="1035"/>
      <c r="G33" s="1035"/>
      <c r="H33" s="1035"/>
      <c r="I33" s="1035"/>
      <c r="J33" s="1035"/>
    </row>
    <row r="34" spans="1:10" ht="12.75">
      <c r="A34" s="1035" t="s">
        <v>1198</v>
      </c>
      <c r="B34" s="1035"/>
      <c r="C34" s="1035"/>
      <c r="D34" s="1035"/>
      <c r="E34" s="1035"/>
      <c r="F34" s="1035"/>
      <c r="G34" s="1035"/>
      <c r="H34" s="1035"/>
      <c r="I34" s="1035"/>
      <c r="J34" s="1035"/>
    </row>
  </sheetData>
  <sheetProtection selectLockedCells="1" selectUnlockedCells="1"/>
  <mergeCells count="5">
    <mergeCell ref="A2:D2"/>
    <mergeCell ref="A31:J31"/>
    <mergeCell ref="A32:J32"/>
    <mergeCell ref="A33:J33"/>
    <mergeCell ref="A34:J34"/>
  </mergeCells>
  <printOptions horizontalCentered="1"/>
  <pageMargins left="0.4724409448818898" right="0.4724409448818898" top="1.0236220472440944" bottom="0.7874015748031497" header="0.4724409448818898" footer="0.5118110236220472"/>
  <pageSetup fitToHeight="1" fitToWidth="1" horizontalDpi="300" verticalDpi="300" orientation="portrait" paperSize="9" scale="91" r:id="rId1"/>
  <headerFooter alignWithMargins="0">
    <oddHeader>&amp;L18. melléklet a 1/2017.(II.24.) önkormányzati rendelethez
18. melléklet a 29/2015.(XII.18.)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62"/>
  <sheetViews>
    <sheetView view="pageBreakPreview" zoomScale="70" zoomScaleSheetLayoutView="70" workbookViewId="0" topLeftCell="A22">
      <selection activeCell="A59" sqref="A59:I62"/>
    </sheetView>
  </sheetViews>
  <sheetFormatPr defaultColWidth="9.00390625" defaultRowHeight="12.75"/>
  <cols>
    <col min="1" max="1" width="100.875" style="36" customWidth="1"/>
    <col min="2" max="2" width="16.125" style="36" customWidth="1"/>
    <col min="3" max="3" width="18.375" style="36" customWidth="1"/>
    <col min="4" max="4" width="15.625" style="36" customWidth="1"/>
    <col min="5" max="5" width="13.875" style="36" customWidth="1"/>
    <col min="6" max="6" width="17.25390625" style="36" customWidth="1"/>
    <col min="7" max="7" width="15.625" style="36" customWidth="1"/>
    <col min="8" max="8" width="15.25390625" style="36" customWidth="1"/>
    <col min="9" max="9" width="18.00390625" style="36" customWidth="1"/>
    <col min="10" max="10" width="15.875" style="36" customWidth="1"/>
    <col min="11" max="11" width="17.125" style="36" customWidth="1"/>
    <col min="12" max="12" width="17.75390625" style="36" customWidth="1"/>
    <col min="13" max="13" width="15.75390625" style="36" customWidth="1"/>
    <col min="14" max="16384" width="9.125" style="36" customWidth="1"/>
  </cols>
  <sheetData>
    <row r="1" ht="12.75">
      <c r="A1" s="37"/>
    </row>
    <row r="2" spans="1:13" ht="12.75">
      <c r="A2" s="1069" t="s">
        <v>80</v>
      </c>
      <c r="B2" s="1069"/>
      <c r="C2" s="1069"/>
      <c r="D2" s="1069"/>
      <c r="E2" s="1069"/>
      <c r="F2" s="1069"/>
      <c r="G2" s="1069"/>
      <c r="H2" s="1069"/>
      <c r="I2" s="1069"/>
      <c r="J2" s="1069"/>
      <c r="K2" s="1069"/>
      <c r="L2" s="1069"/>
      <c r="M2" s="1069"/>
    </row>
    <row r="3" ht="19.5" thickBot="1"/>
    <row r="4" spans="1:13" ht="57" customHeight="1" thickBot="1">
      <c r="A4" s="1070" t="s">
        <v>559</v>
      </c>
      <c r="B4" s="1071" t="s">
        <v>81</v>
      </c>
      <c r="C4" s="1072"/>
      <c r="D4" s="1073"/>
      <c r="E4" s="1071" t="s">
        <v>82</v>
      </c>
      <c r="F4" s="1072"/>
      <c r="G4" s="1073"/>
      <c r="H4" s="1071" t="s">
        <v>83</v>
      </c>
      <c r="I4" s="1072"/>
      <c r="J4" s="1073"/>
      <c r="K4" s="1070" t="s">
        <v>84</v>
      </c>
      <c r="L4" s="1074"/>
      <c r="M4" s="1075"/>
    </row>
    <row r="5" spans="1:13" ht="25.5" customHeight="1">
      <c r="A5" s="1070"/>
      <c r="B5" s="275" t="s">
        <v>4</v>
      </c>
      <c r="C5" s="467" t="s">
        <v>861</v>
      </c>
      <c r="D5" s="253" t="s">
        <v>1041</v>
      </c>
      <c r="E5" s="246" t="s">
        <v>4</v>
      </c>
      <c r="F5" s="472" t="s">
        <v>861</v>
      </c>
      <c r="G5" s="253" t="s">
        <v>1041</v>
      </c>
      <c r="H5" s="246" t="s">
        <v>4</v>
      </c>
      <c r="I5" s="472" t="s">
        <v>861</v>
      </c>
      <c r="J5" s="253" t="s">
        <v>1041</v>
      </c>
      <c r="K5" s="494" t="s">
        <v>5</v>
      </c>
      <c r="L5" s="245" t="s">
        <v>861</v>
      </c>
      <c r="M5" s="253" t="s">
        <v>1041</v>
      </c>
    </row>
    <row r="6" spans="1:13" s="37" customFormat="1" ht="18.6" customHeight="1">
      <c r="A6" s="261" t="s">
        <v>6</v>
      </c>
      <c r="B6" s="276">
        <v>1111271</v>
      </c>
      <c r="C6" s="208">
        <f>SUM(C7:C8)</f>
        <v>1179194</v>
      </c>
      <c r="D6" s="254">
        <f>SUM(D7:D8)</f>
        <v>1284391</v>
      </c>
      <c r="E6" s="247">
        <v>0</v>
      </c>
      <c r="F6" s="209"/>
      <c r="G6" s="254"/>
      <c r="H6" s="247">
        <v>0</v>
      </c>
      <c r="I6" s="209"/>
      <c r="J6" s="254"/>
      <c r="K6" s="210">
        <f>B6+E6+H6</f>
        <v>1111271</v>
      </c>
      <c r="L6" s="210">
        <f>C6+F6+I6</f>
        <v>1179194</v>
      </c>
      <c r="M6" s="210">
        <f>D6+G6+J6</f>
        <v>1284391</v>
      </c>
    </row>
    <row r="7" spans="1:13" s="37" customFormat="1" ht="18.6" customHeight="1">
      <c r="A7" s="261" t="s">
        <v>755</v>
      </c>
      <c r="B7" s="276"/>
      <c r="C7" s="460">
        <v>1174394</v>
      </c>
      <c r="D7" s="255">
        <v>1179591</v>
      </c>
      <c r="E7" s="247"/>
      <c r="F7" s="209"/>
      <c r="G7" s="254"/>
      <c r="H7" s="247"/>
      <c r="I7" s="209"/>
      <c r="J7" s="254"/>
      <c r="K7" s="210"/>
      <c r="L7" s="210">
        <f aca="true" t="shared" si="0" ref="L7:L38">C7+F7+I7</f>
        <v>1174394</v>
      </c>
      <c r="M7" s="210">
        <f aca="true" t="shared" si="1" ref="M7:M38">D7+G7+J7</f>
        <v>1179591</v>
      </c>
    </row>
    <row r="8" spans="1:13" s="37" customFormat="1" ht="18.6" customHeight="1">
      <c r="A8" s="261" t="s">
        <v>756</v>
      </c>
      <c r="B8" s="276"/>
      <c r="C8" s="460">
        <v>4800</v>
      </c>
      <c r="D8" s="255">
        <v>104800</v>
      </c>
      <c r="E8" s="247"/>
      <c r="F8" s="209"/>
      <c r="G8" s="254"/>
      <c r="H8" s="247"/>
      <c r="I8" s="209"/>
      <c r="J8" s="254"/>
      <c r="K8" s="210"/>
      <c r="L8" s="210">
        <f t="shared" si="0"/>
        <v>4800</v>
      </c>
      <c r="M8" s="210">
        <f t="shared" si="1"/>
        <v>104800</v>
      </c>
    </row>
    <row r="9" spans="1:13" s="37" customFormat="1" ht="18.6" customHeight="1">
      <c r="A9" s="261" t="s">
        <v>851</v>
      </c>
      <c r="B9" s="276"/>
      <c r="C9" s="208">
        <v>15000</v>
      </c>
      <c r="D9" s="254">
        <v>15000</v>
      </c>
      <c r="E9" s="247"/>
      <c r="F9" s="209"/>
      <c r="G9" s="254"/>
      <c r="H9" s="247"/>
      <c r="I9" s="209"/>
      <c r="J9" s="254"/>
      <c r="K9" s="210"/>
      <c r="L9" s="210">
        <f t="shared" si="0"/>
        <v>15000</v>
      </c>
      <c r="M9" s="210">
        <f t="shared" si="1"/>
        <v>15000</v>
      </c>
    </row>
    <row r="10" spans="1:13" ht="18.6" customHeight="1">
      <c r="A10" s="262" t="s">
        <v>85</v>
      </c>
      <c r="B10" s="276">
        <f aca="true" t="shared" si="2" ref="B10:J10">SUM(B11:B11)</f>
        <v>130967</v>
      </c>
      <c r="C10" s="208">
        <f>SUM(C11:C12)</f>
        <v>200500</v>
      </c>
      <c r="D10" s="254">
        <f>SUM(D11:D12)</f>
        <v>183259</v>
      </c>
      <c r="E10" s="247">
        <f t="shared" si="2"/>
        <v>18663</v>
      </c>
      <c r="F10" s="209">
        <f t="shared" si="2"/>
        <v>25000</v>
      </c>
      <c r="G10" s="254">
        <f t="shared" si="2"/>
        <v>25754</v>
      </c>
      <c r="H10" s="247">
        <f t="shared" si="2"/>
        <v>112570</v>
      </c>
      <c r="I10" s="209">
        <f t="shared" si="2"/>
        <v>124590</v>
      </c>
      <c r="J10" s="209">
        <f t="shared" si="2"/>
        <v>124591</v>
      </c>
      <c r="K10" s="210">
        <f>B10+E10+H10</f>
        <v>262200</v>
      </c>
      <c r="L10" s="210">
        <f t="shared" si="0"/>
        <v>350090</v>
      </c>
      <c r="M10" s="210">
        <f t="shared" si="1"/>
        <v>333604</v>
      </c>
    </row>
    <row r="11" spans="1:13" ht="18.6" customHeight="1">
      <c r="A11" s="263" t="s">
        <v>9</v>
      </c>
      <c r="B11" s="277">
        <v>130967</v>
      </c>
      <c r="C11" s="460">
        <v>198855</v>
      </c>
      <c r="D11" s="255">
        <v>181614</v>
      </c>
      <c r="E11" s="248">
        <v>18663</v>
      </c>
      <c r="F11" s="441">
        <v>25000</v>
      </c>
      <c r="G11" s="255">
        <v>25754</v>
      </c>
      <c r="H11" s="248">
        <v>112570</v>
      </c>
      <c r="I11" s="441">
        <v>124590</v>
      </c>
      <c r="J11" s="255">
        <v>124591</v>
      </c>
      <c r="K11" s="210">
        <f>B11+E11+H11</f>
        <v>262200</v>
      </c>
      <c r="L11" s="210">
        <f t="shared" si="0"/>
        <v>348445</v>
      </c>
      <c r="M11" s="210">
        <f t="shared" si="1"/>
        <v>331959</v>
      </c>
    </row>
    <row r="12" spans="1:13" ht="18.6" customHeight="1">
      <c r="A12" s="263" t="s">
        <v>1036</v>
      </c>
      <c r="B12" s="277"/>
      <c r="C12" s="460">
        <v>1645</v>
      </c>
      <c r="D12" s="255">
        <v>1645</v>
      </c>
      <c r="E12" s="248"/>
      <c r="F12" s="441"/>
      <c r="G12" s="255"/>
      <c r="H12" s="248"/>
      <c r="I12" s="441"/>
      <c r="J12" s="255"/>
      <c r="K12" s="210"/>
      <c r="L12" s="210">
        <f t="shared" si="0"/>
        <v>1645</v>
      </c>
      <c r="M12" s="210">
        <f t="shared" si="1"/>
        <v>1645</v>
      </c>
    </row>
    <row r="13" spans="1:13" ht="18.6" customHeight="1">
      <c r="A13" s="264" t="s">
        <v>681</v>
      </c>
      <c r="B13" s="277"/>
      <c r="C13" s="208">
        <f>SUM(C14)</f>
        <v>46266</v>
      </c>
      <c r="D13" s="254">
        <f>SUM(D14)</f>
        <v>46266</v>
      </c>
      <c r="E13" s="247"/>
      <c r="F13" s="209"/>
      <c r="G13" s="254"/>
      <c r="H13" s="247"/>
      <c r="I13" s="209">
        <f aca="true" t="shared" si="3" ref="I13:J13">SUM(I14)</f>
        <v>300</v>
      </c>
      <c r="J13" s="209">
        <f t="shared" si="3"/>
        <v>300</v>
      </c>
      <c r="K13" s="210">
        <f aca="true" t="shared" si="4" ref="K13:K40">B13+E13+H13</f>
        <v>0</v>
      </c>
      <c r="L13" s="210">
        <f t="shared" si="0"/>
        <v>46566</v>
      </c>
      <c r="M13" s="210">
        <f t="shared" si="1"/>
        <v>46566</v>
      </c>
    </row>
    <row r="14" spans="1:13" ht="18.6" customHeight="1">
      <c r="A14" s="263" t="s">
        <v>9</v>
      </c>
      <c r="B14" s="277"/>
      <c r="C14" s="460">
        <v>46266</v>
      </c>
      <c r="D14" s="255">
        <v>46266</v>
      </c>
      <c r="E14" s="248"/>
      <c r="F14" s="441"/>
      <c r="G14" s="255"/>
      <c r="H14" s="248"/>
      <c r="I14" s="441">
        <v>300</v>
      </c>
      <c r="J14" s="255">
        <v>300</v>
      </c>
      <c r="K14" s="210">
        <f t="shared" si="4"/>
        <v>0</v>
      </c>
      <c r="L14" s="210">
        <f t="shared" si="0"/>
        <v>46566</v>
      </c>
      <c r="M14" s="210">
        <f t="shared" si="1"/>
        <v>46566</v>
      </c>
    </row>
    <row r="15" spans="1:13" s="38" customFormat="1" ht="18.6" customHeight="1">
      <c r="A15" s="264" t="s">
        <v>86</v>
      </c>
      <c r="B15" s="276">
        <f>SUM(B16+B19+B26+B27+B24)</f>
        <v>2107748</v>
      </c>
      <c r="C15" s="208">
        <f>SUM(C16+C19+C26+C27+C24+C28)</f>
        <v>2149150</v>
      </c>
      <c r="D15" s="254">
        <f>SUM(D16+D19+D26+D27+D24+D28)</f>
        <v>1969030</v>
      </c>
      <c r="E15" s="247">
        <f aca="true" t="shared" si="5" ref="E15:J15">SUM(E16+E19+E26+E27)</f>
        <v>0</v>
      </c>
      <c r="F15" s="209">
        <f t="shared" si="5"/>
        <v>0</v>
      </c>
      <c r="G15" s="254">
        <f t="shared" si="5"/>
        <v>51</v>
      </c>
      <c r="H15" s="247">
        <f t="shared" si="5"/>
        <v>0</v>
      </c>
      <c r="I15" s="209">
        <f t="shared" si="5"/>
        <v>0</v>
      </c>
      <c r="J15" s="209">
        <f t="shared" si="5"/>
        <v>0</v>
      </c>
      <c r="K15" s="210">
        <f t="shared" si="4"/>
        <v>2107748</v>
      </c>
      <c r="L15" s="210">
        <f t="shared" si="0"/>
        <v>2149150</v>
      </c>
      <c r="M15" s="210">
        <f t="shared" si="1"/>
        <v>1969081</v>
      </c>
    </row>
    <row r="16" spans="1:13" s="38" customFormat="1" ht="18.6" customHeight="1">
      <c r="A16" s="263" t="s">
        <v>13</v>
      </c>
      <c r="B16" s="278">
        <f>SUM(B17:B18)</f>
        <v>460000</v>
      </c>
      <c r="C16" s="468">
        <v>460000</v>
      </c>
      <c r="D16" s="256">
        <f>SUM(D17:D18)</f>
        <v>456775</v>
      </c>
      <c r="E16" s="249"/>
      <c r="F16" s="442"/>
      <c r="G16" s="258"/>
      <c r="H16" s="249"/>
      <c r="I16" s="442"/>
      <c r="J16" s="258"/>
      <c r="K16" s="210">
        <f t="shared" si="4"/>
        <v>460000</v>
      </c>
      <c r="L16" s="210">
        <f t="shared" si="0"/>
        <v>460000</v>
      </c>
      <c r="M16" s="210">
        <f t="shared" si="1"/>
        <v>456775</v>
      </c>
    </row>
    <row r="17" spans="1:13" s="38" customFormat="1" ht="18.6" customHeight="1">
      <c r="A17" s="265" t="s">
        <v>87</v>
      </c>
      <c r="B17" s="279">
        <v>330000</v>
      </c>
      <c r="C17" s="469">
        <v>330000</v>
      </c>
      <c r="D17" s="257">
        <v>331881</v>
      </c>
      <c r="E17" s="250"/>
      <c r="F17" s="443"/>
      <c r="G17" s="257"/>
      <c r="H17" s="250"/>
      <c r="I17" s="443"/>
      <c r="J17" s="257"/>
      <c r="K17" s="210">
        <f t="shared" si="4"/>
        <v>330000</v>
      </c>
      <c r="L17" s="210">
        <f t="shared" si="0"/>
        <v>330000</v>
      </c>
      <c r="M17" s="210">
        <f t="shared" si="1"/>
        <v>331881</v>
      </c>
    </row>
    <row r="18" spans="1:13" s="38" customFormat="1" ht="18.6" customHeight="1">
      <c r="A18" s="266" t="s">
        <v>88</v>
      </c>
      <c r="B18" s="280">
        <v>130000</v>
      </c>
      <c r="C18" s="470">
        <v>130000</v>
      </c>
      <c r="D18" s="258">
        <v>124894</v>
      </c>
      <c r="E18" s="249"/>
      <c r="F18" s="442"/>
      <c r="G18" s="258"/>
      <c r="H18" s="249"/>
      <c r="I18" s="442"/>
      <c r="J18" s="258"/>
      <c r="K18" s="210">
        <f t="shared" si="4"/>
        <v>130000</v>
      </c>
      <c r="L18" s="210">
        <f t="shared" si="0"/>
        <v>130000</v>
      </c>
      <c r="M18" s="210">
        <f t="shared" si="1"/>
        <v>124894</v>
      </c>
    </row>
    <row r="19" spans="1:13" s="38" customFormat="1" ht="18.6" customHeight="1">
      <c r="A19" s="263" t="s">
        <v>89</v>
      </c>
      <c r="B19" s="278">
        <f>SUM(B20:B23)</f>
        <v>1630218</v>
      </c>
      <c r="C19" s="468">
        <f>SUM(C20:C23)</f>
        <v>1670061</v>
      </c>
      <c r="D19" s="256">
        <f>SUM(D20:D23)</f>
        <v>1501156</v>
      </c>
      <c r="E19" s="249"/>
      <c r="F19" s="442"/>
      <c r="G19" s="258"/>
      <c r="H19" s="249"/>
      <c r="I19" s="442"/>
      <c r="J19" s="258"/>
      <c r="K19" s="210">
        <f t="shared" si="4"/>
        <v>1630218</v>
      </c>
      <c r="L19" s="210">
        <f t="shared" si="0"/>
        <v>1670061</v>
      </c>
      <c r="M19" s="210">
        <f t="shared" si="1"/>
        <v>1501156</v>
      </c>
    </row>
    <row r="20" spans="1:13" s="38" customFormat="1" ht="18.6" customHeight="1">
      <c r="A20" s="265" t="s">
        <v>90</v>
      </c>
      <c r="B20" s="280">
        <v>1475000</v>
      </c>
      <c r="C20" s="470">
        <v>1514843</v>
      </c>
      <c r="D20" s="258">
        <v>1366219</v>
      </c>
      <c r="E20" s="249"/>
      <c r="F20" s="442"/>
      <c r="G20" s="258"/>
      <c r="H20" s="249"/>
      <c r="I20" s="442"/>
      <c r="J20" s="258"/>
      <c r="K20" s="210">
        <f t="shared" si="4"/>
        <v>1475000</v>
      </c>
      <c r="L20" s="210">
        <f t="shared" si="0"/>
        <v>1514843</v>
      </c>
      <c r="M20" s="210">
        <f t="shared" si="1"/>
        <v>1366219</v>
      </c>
    </row>
    <row r="21" spans="1:13" s="38" customFormat="1" ht="18.6" customHeight="1">
      <c r="A21" s="265" t="s">
        <v>91</v>
      </c>
      <c r="B21" s="280">
        <v>110000</v>
      </c>
      <c r="C21" s="470">
        <v>110000</v>
      </c>
      <c r="D21" s="258">
        <v>89513</v>
      </c>
      <c r="E21" s="249"/>
      <c r="F21" s="442"/>
      <c r="G21" s="258"/>
      <c r="H21" s="249"/>
      <c r="I21" s="442"/>
      <c r="J21" s="258"/>
      <c r="K21" s="210">
        <f t="shared" si="4"/>
        <v>110000</v>
      </c>
      <c r="L21" s="210">
        <f t="shared" si="0"/>
        <v>110000</v>
      </c>
      <c r="M21" s="210">
        <f t="shared" si="1"/>
        <v>89513</v>
      </c>
    </row>
    <row r="22" spans="1:13" s="38" customFormat="1" ht="18.6" customHeight="1">
      <c r="A22" s="265" t="s">
        <v>92</v>
      </c>
      <c r="B22" s="280">
        <v>43000</v>
      </c>
      <c r="C22" s="470">
        <v>43000</v>
      </c>
      <c r="D22" s="258">
        <v>43044</v>
      </c>
      <c r="E22" s="249"/>
      <c r="F22" s="442"/>
      <c r="G22" s="258"/>
      <c r="H22" s="249"/>
      <c r="I22" s="442"/>
      <c r="J22" s="258"/>
      <c r="K22" s="210">
        <f t="shared" si="4"/>
        <v>43000</v>
      </c>
      <c r="L22" s="210">
        <f t="shared" si="0"/>
        <v>43000</v>
      </c>
      <c r="M22" s="210">
        <f t="shared" si="1"/>
        <v>43044</v>
      </c>
    </row>
    <row r="23" spans="1:13" ht="18.6" customHeight="1">
      <c r="A23" s="265" t="s">
        <v>93</v>
      </c>
      <c r="B23" s="280">
        <v>2218</v>
      </c>
      <c r="C23" s="470">
        <v>2218</v>
      </c>
      <c r="D23" s="258">
        <v>2380</v>
      </c>
      <c r="E23" s="251"/>
      <c r="F23" s="444"/>
      <c r="G23" s="256"/>
      <c r="H23" s="251"/>
      <c r="I23" s="444"/>
      <c r="J23" s="256"/>
      <c r="K23" s="210">
        <f t="shared" si="4"/>
        <v>2218</v>
      </c>
      <c r="L23" s="210">
        <f t="shared" si="0"/>
        <v>2218</v>
      </c>
      <c r="M23" s="210">
        <f t="shared" si="1"/>
        <v>2380</v>
      </c>
    </row>
    <row r="24" spans="1:13" ht="18.6" customHeight="1">
      <c r="A24" s="267" t="s">
        <v>16</v>
      </c>
      <c r="B24" s="280">
        <f>SUM(B25)</f>
        <v>30</v>
      </c>
      <c r="C24" s="470">
        <f>SUM(C25)</f>
        <v>0</v>
      </c>
      <c r="D24" s="258">
        <f>SUM(D25)</f>
        <v>0</v>
      </c>
      <c r="E24" s="251"/>
      <c r="F24" s="444"/>
      <c r="G24" s="256"/>
      <c r="H24" s="251"/>
      <c r="I24" s="444"/>
      <c r="J24" s="256"/>
      <c r="K24" s="210">
        <f t="shared" si="4"/>
        <v>30</v>
      </c>
      <c r="L24" s="210">
        <f t="shared" si="0"/>
        <v>0</v>
      </c>
      <c r="M24" s="210">
        <f t="shared" si="1"/>
        <v>0</v>
      </c>
    </row>
    <row r="25" spans="1:13" ht="18.6" customHeight="1">
      <c r="A25" s="268" t="s">
        <v>94</v>
      </c>
      <c r="B25" s="280">
        <v>30</v>
      </c>
      <c r="C25" s="470">
        <v>0</v>
      </c>
      <c r="D25" s="258">
        <v>0</v>
      </c>
      <c r="E25" s="251"/>
      <c r="F25" s="444"/>
      <c r="G25" s="256"/>
      <c r="H25" s="251"/>
      <c r="I25" s="444"/>
      <c r="J25" s="256"/>
      <c r="K25" s="210">
        <f t="shared" si="4"/>
        <v>30</v>
      </c>
      <c r="L25" s="210">
        <f t="shared" si="0"/>
        <v>0</v>
      </c>
      <c r="M25" s="210">
        <f t="shared" si="1"/>
        <v>0</v>
      </c>
    </row>
    <row r="26" spans="1:13" s="38" customFormat="1" ht="18.6" customHeight="1">
      <c r="A26" s="269" t="s">
        <v>17</v>
      </c>
      <c r="B26" s="278">
        <v>13900</v>
      </c>
      <c r="C26" s="468">
        <v>13900</v>
      </c>
      <c r="D26" s="256">
        <v>6248</v>
      </c>
      <c r="E26" s="251"/>
      <c r="F26" s="444"/>
      <c r="G26" s="256"/>
      <c r="H26" s="251"/>
      <c r="I26" s="444"/>
      <c r="J26" s="256"/>
      <c r="K26" s="210">
        <f t="shared" si="4"/>
        <v>13900</v>
      </c>
      <c r="L26" s="210">
        <f t="shared" si="0"/>
        <v>13900</v>
      </c>
      <c r="M26" s="210">
        <f t="shared" si="1"/>
        <v>6248</v>
      </c>
    </row>
    <row r="27" spans="1:13" s="38" customFormat="1" ht="18.6" customHeight="1">
      <c r="A27" s="269" t="s">
        <v>95</v>
      </c>
      <c r="B27" s="278">
        <v>3600</v>
      </c>
      <c r="C27" s="468">
        <v>5159</v>
      </c>
      <c r="D27" s="256">
        <v>4820</v>
      </c>
      <c r="E27" s="252"/>
      <c r="F27" s="445"/>
      <c r="G27" s="256">
        <v>51</v>
      </c>
      <c r="H27" s="252"/>
      <c r="I27" s="445"/>
      <c r="J27" s="259"/>
      <c r="K27" s="210">
        <f t="shared" si="4"/>
        <v>3600</v>
      </c>
      <c r="L27" s="210">
        <f t="shared" si="0"/>
        <v>5159</v>
      </c>
      <c r="M27" s="210">
        <f t="shared" si="1"/>
        <v>4871</v>
      </c>
    </row>
    <row r="28" spans="1:13" s="38" customFormat="1" ht="18.6" customHeight="1">
      <c r="A28" s="269" t="s">
        <v>682</v>
      </c>
      <c r="B28" s="278"/>
      <c r="C28" s="468">
        <v>30</v>
      </c>
      <c r="D28" s="256">
        <v>31</v>
      </c>
      <c r="E28" s="252"/>
      <c r="F28" s="445"/>
      <c r="G28" s="259"/>
      <c r="H28" s="252"/>
      <c r="I28" s="445"/>
      <c r="J28" s="259"/>
      <c r="K28" s="210">
        <f t="shared" si="4"/>
        <v>0</v>
      </c>
      <c r="L28" s="210">
        <f t="shared" si="0"/>
        <v>30</v>
      </c>
      <c r="M28" s="210">
        <f t="shared" si="1"/>
        <v>31</v>
      </c>
    </row>
    <row r="29" spans="1:13" ht="18.6" customHeight="1">
      <c r="A29" s="262" t="s">
        <v>22</v>
      </c>
      <c r="B29" s="281">
        <f>SUM(B30+B31+B32+B33+B36+B37)</f>
        <v>519043</v>
      </c>
      <c r="C29" s="449">
        <f>SUM(C30+C31+C32+C33+C36+C37+C38)</f>
        <v>525228</v>
      </c>
      <c r="D29" s="259">
        <f>SUM(D30+D31+D32+D33+D36+D37+D38)</f>
        <v>434087</v>
      </c>
      <c r="E29" s="252">
        <f>SUM(E30+E31+E32+E33+E36+E37)</f>
        <v>5550</v>
      </c>
      <c r="F29" s="445">
        <f>SUM(F30:F38)</f>
        <v>6498</v>
      </c>
      <c r="G29" s="259">
        <f>SUM(G30:G38)</f>
        <v>9673</v>
      </c>
      <c r="H29" s="252">
        <f>SUM(H30+H31+H32+H33+H36+H35)</f>
        <v>236401</v>
      </c>
      <c r="I29" s="445">
        <v>231090</v>
      </c>
      <c r="J29" s="259">
        <f>SUM(J30:J38)</f>
        <v>223617</v>
      </c>
      <c r="K29" s="210">
        <f t="shared" si="4"/>
        <v>760994</v>
      </c>
      <c r="L29" s="210">
        <f t="shared" si="0"/>
        <v>762816</v>
      </c>
      <c r="M29" s="210">
        <f t="shared" si="1"/>
        <v>667377</v>
      </c>
    </row>
    <row r="30" spans="1:13" ht="18.6" customHeight="1">
      <c r="A30" s="263" t="s">
        <v>24</v>
      </c>
      <c r="B30" s="278">
        <v>238395</v>
      </c>
      <c r="C30" s="468">
        <v>230373</v>
      </c>
      <c r="D30" s="256">
        <v>106772</v>
      </c>
      <c r="E30" s="251"/>
      <c r="F30" s="444"/>
      <c r="G30" s="256"/>
      <c r="H30" s="251"/>
      <c r="I30" s="444">
        <v>2100</v>
      </c>
      <c r="J30" s="256">
        <v>2523</v>
      </c>
      <c r="K30" s="210">
        <f t="shared" si="4"/>
        <v>238395</v>
      </c>
      <c r="L30" s="210">
        <f t="shared" si="0"/>
        <v>232473</v>
      </c>
      <c r="M30" s="210">
        <f t="shared" si="1"/>
        <v>109295</v>
      </c>
    </row>
    <row r="31" spans="1:13" ht="18.6" customHeight="1">
      <c r="A31" s="263" t="s">
        <v>96</v>
      </c>
      <c r="B31" s="278">
        <v>6870</v>
      </c>
      <c r="C31" s="468">
        <v>6897</v>
      </c>
      <c r="D31" s="256">
        <v>9414</v>
      </c>
      <c r="E31" s="251">
        <v>5550</v>
      </c>
      <c r="F31" s="444">
        <v>5550</v>
      </c>
      <c r="G31" s="256">
        <v>8350</v>
      </c>
      <c r="H31" s="251">
        <v>93527</v>
      </c>
      <c r="I31" s="444">
        <v>67549</v>
      </c>
      <c r="J31" s="256">
        <v>60059</v>
      </c>
      <c r="K31" s="210">
        <f t="shared" si="4"/>
        <v>105947</v>
      </c>
      <c r="L31" s="210">
        <f t="shared" si="0"/>
        <v>79996</v>
      </c>
      <c r="M31" s="210">
        <f t="shared" si="1"/>
        <v>77823</v>
      </c>
    </row>
    <row r="32" spans="1:13" ht="18.6" customHeight="1">
      <c r="A32" s="263" t="s">
        <v>27</v>
      </c>
      <c r="B32" s="278">
        <v>34000</v>
      </c>
      <c r="C32" s="468">
        <v>34000</v>
      </c>
      <c r="D32" s="256">
        <v>34000</v>
      </c>
      <c r="E32" s="251"/>
      <c r="F32" s="444">
        <v>601</v>
      </c>
      <c r="G32" s="256">
        <v>976</v>
      </c>
      <c r="H32" s="251"/>
      <c r="I32" s="444">
        <v>130</v>
      </c>
      <c r="J32" s="256">
        <v>760</v>
      </c>
      <c r="K32" s="210">
        <f t="shared" si="4"/>
        <v>34000</v>
      </c>
      <c r="L32" s="210">
        <f t="shared" si="0"/>
        <v>34731</v>
      </c>
      <c r="M32" s="210">
        <f t="shared" si="1"/>
        <v>35736</v>
      </c>
    </row>
    <row r="33" spans="1:13" ht="21" customHeight="1">
      <c r="A33" s="263" t="s">
        <v>97</v>
      </c>
      <c r="B33" s="278">
        <v>75515</v>
      </c>
      <c r="C33" s="468">
        <v>79086</v>
      </c>
      <c r="D33" s="256">
        <v>120642</v>
      </c>
      <c r="E33" s="251"/>
      <c r="F33" s="444"/>
      <c r="G33" s="256"/>
      <c r="H33" s="251"/>
      <c r="I33" s="444"/>
      <c r="J33" s="256"/>
      <c r="K33" s="210">
        <f t="shared" si="4"/>
        <v>75515</v>
      </c>
      <c r="L33" s="210">
        <f t="shared" si="0"/>
        <v>79086</v>
      </c>
      <c r="M33" s="210">
        <f t="shared" si="1"/>
        <v>120642</v>
      </c>
    </row>
    <row r="34" spans="1:13" ht="18.6" customHeight="1">
      <c r="A34" s="263" t="s">
        <v>98</v>
      </c>
      <c r="B34" s="278">
        <v>42000</v>
      </c>
      <c r="C34" s="468">
        <v>42000</v>
      </c>
      <c r="D34" s="256">
        <v>57000</v>
      </c>
      <c r="E34" s="251"/>
      <c r="F34" s="444"/>
      <c r="G34" s="256"/>
      <c r="H34" s="251"/>
      <c r="I34" s="444"/>
      <c r="J34" s="256"/>
      <c r="K34" s="210">
        <f t="shared" si="4"/>
        <v>42000</v>
      </c>
      <c r="L34" s="210">
        <f t="shared" si="0"/>
        <v>42000</v>
      </c>
      <c r="M34" s="210">
        <f t="shared" si="1"/>
        <v>57000</v>
      </c>
    </row>
    <row r="35" spans="1:13" ht="18.6" customHeight="1">
      <c r="A35" s="263" t="s">
        <v>30</v>
      </c>
      <c r="B35" s="278"/>
      <c r="C35" s="468"/>
      <c r="D35" s="256"/>
      <c r="E35" s="251"/>
      <c r="F35" s="444"/>
      <c r="G35" s="256"/>
      <c r="H35" s="251">
        <v>81492</v>
      </c>
      <c r="I35" s="444">
        <v>89492</v>
      </c>
      <c r="J35" s="256">
        <v>88815</v>
      </c>
      <c r="K35" s="210">
        <f t="shared" si="4"/>
        <v>81492</v>
      </c>
      <c r="L35" s="210">
        <f t="shared" si="0"/>
        <v>89492</v>
      </c>
      <c r="M35" s="210">
        <f t="shared" si="1"/>
        <v>88815</v>
      </c>
    </row>
    <row r="36" spans="1:13" ht="18.6" customHeight="1">
      <c r="A36" s="270" t="s">
        <v>31</v>
      </c>
      <c r="B36" s="278">
        <v>153103</v>
      </c>
      <c r="C36" s="468">
        <v>152061</v>
      </c>
      <c r="D36" s="256">
        <v>153791</v>
      </c>
      <c r="E36" s="251"/>
      <c r="F36" s="444"/>
      <c r="G36" s="256"/>
      <c r="H36" s="251">
        <v>61382</v>
      </c>
      <c r="I36" s="444">
        <v>71819</v>
      </c>
      <c r="J36" s="256">
        <v>71265</v>
      </c>
      <c r="K36" s="210">
        <f t="shared" si="4"/>
        <v>214485</v>
      </c>
      <c r="L36" s="210">
        <f t="shared" si="0"/>
        <v>223880</v>
      </c>
      <c r="M36" s="210">
        <f t="shared" si="1"/>
        <v>225056</v>
      </c>
    </row>
    <row r="37" spans="1:13" s="37" customFormat="1" ht="18.6" customHeight="1">
      <c r="A37" s="263" t="s">
        <v>33</v>
      </c>
      <c r="B37" s="278">
        <v>11160</v>
      </c>
      <c r="C37" s="468">
        <v>18125</v>
      </c>
      <c r="D37" s="256">
        <v>4782</v>
      </c>
      <c r="E37" s="252"/>
      <c r="F37" s="445"/>
      <c r="G37" s="259"/>
      <c r="H37" s="252"/>
      <c r="I37" s="445"/>
      <c r="J37" s="256">
        <v>57</v>
      </c>
      <c r="K37" s="210">
        <f t="shared" si="4"/>
        <v>11160</v>
      </c>
      <c r="L37" s="210">
        <f t="shared" si="0"/>
        <v>18125</v>
      </c>
      <c r="M37" s="210">
        <f t="shared" si="1"/>
        <v>4839</v>
      </c>
    </row>
    <row r="38" spans="1:13" s="37" customFormat="1" ht="18.6" customHeight="1">
      <c r="A38" s="263" t="s">
        <v>683</v>
      </c>
      <c r="B38" s="278"/>
      <c r="C38" s="468">
        <v>4686</v>
      </c>
      <c r="D38" s="256">
        <v>4686</v>
      </c>
      <c r="E38" s="252"/>
      <c r="F38" s="444">
        <v>347</v>
      </c>
      <c r="G38" s="256">
        <v>347</v>
      </c>
      <c r="H38" s="252"/>
      <c r="I38" s="445"/>
      <c r="J38" s="256">
        <v>138</v>
      </c>
      <c r="K38" s="210">
        <f t="shared" si="4"/>
        <v>0</v>
      </c>
      <c r="L38" s="210">
        <f t="shared" si="0"/>
        <v>5033</v>
      </c>
      <c r="M38" s="210">
        <f t="shared" si="1"/>
        <v>5171</v>
      </c>
    </row>
    <row r="39" spans="1:13" ht="18.6" customHeight="1">
      <c r="A39" s="264" t="s">
        <v>35</v>
      </c>
      <c r="B39" s="281">
        <f>SUM(B40:B40)</f>
        <v>392724</v>
      </c>
      <c r="C39" s="449">
        <f>SUM(C40:C41)</f>
        <v>363002</v>
      </c>
      <c r="D39" s="259">
        <f>SUM(D40:D41)</f>
        <v>363002</v>
      </c>
      <c r="E39" s="252">
        <f>SUM(E40:E40)</f>
        <v>0</v>
      </c>
      <c r="F39" s="445">
        <v>0</v>
      </c>
      <c r="G39" s="259">
        <f>SUM(G40:G41)</f>
        <v>31</v>
      </c>
      <c r="H39" s="252">
        <f>SUM(H40:H40)</f>
        <v>0</v>
      </c>
      <c r="I39" s="252">
        <f aca="true" t="shared" si="6" ref="I39:J39">SUM(I40:I40)</f>
        <v>0</v>
      </c>
      <c r="J39" s="252">
        <f t="shared" si="6"/>
        <v>0</v>
      </c>
      <c r="K39" s="210">
        <f t="shared" si="4"/>
        <v>392724</v>
      </c>
      <c r="L39" s="210">
        <f aca="true" t="shared" si="7" ref="L39:L57">C39+F39+I39</f>
        <v>363002</v>
      </c>
      <c r="M39" s="210">
        <f aca="true" t="shared" si="8" ref="M39:M57">D39+G39+J39</f>
        <v>363033</v>
      </c>
    </row>
    <row r="40" spans="1:13" s="37" customFormat="1" ht="18.6" customHeight="1">
      <c r="A40" s="263" t="s">
        <v>36</v>
      </c>
      <c r="B40" s="278">
        <v>392724</v>
      </c>
      <c r="C40" s="468">
        <v>362751</v>
      </c>
      <c r="D40" s="256">
        <v>362751</v>
      </c>
      <c r="E40" s="252"/>
      <c r="F40" s="445"/>
      <c r="G40" s="259"/>
      <c r="H40" s="252"/>
      <c r="I40" s="445"/>
      <c r="J40" s="259"/>
      <c r="K40" s="210">
        <f t="shared" si="4"/>
        <v>392724</v>
      </c>
      <c r="L40" s="210">
        <f t="shared" si="7"/>
        <v>362751</v>
      </c>
      <c r="M40" s="210">
        <f t="shared" si="8"/>
        <v>362751</v>
      </c>
    </row>
    <row r="41" spans="1:13" s="37" customFormat="1" ht="18.6" customHeight="1">
      <c r="A41" s="263" t="s">
        <v>757</v>
      </c>
      <c r="B41" s="278"/>
      <c r="C41" s="468">
        <v>251</v>
      </c>
      <c r="D41" s="256">
        <v>251</v>
      </c>
      <c r="E41" s="252"/>
      <c r="F41" s="445"/>
      <c r="G41" s="259">
        <v>31</v>
      </c>
      <c r="H41" s="252"/>
      <c r="I41" s="445"/>
      <c r="J41" s="259"/>
      <c r="K41" s="210"/>
      <c r="L41" s="210">
        <f t="shared" si="7"/>
        <v>251</v>
      </c>
      <c r="M41" s="210">
        <f t="shared" si="8"/>
        <v>282</v>
      </c>
    </row>
    <row r="42" spans="1:13" s="37" customFormat="1" ht="18.6" customHeight="1">
      <c r="A42" s="264" t="s">
        <v>38</v>
      </c>
      <c r="B42" s="281">
        <f>SUM(B43)</f>
        <v>65989</v>
      </c>
      <c r="C42" s="449">
        <f>SUM(C43+C44)</f>
        <v>91671</v>
      </c>
      <c r="D42" s="259">
        <f>SUM(D43+D44)</f>
        <v>27682</v>
      </c>
      <c r="E42" s="252">
        <v>0</v>
      </c>
      <c r="F42" s="445">
        <v>0</v>
      </c>
      <c r="G42" s="259">
        <v>0</v>
      </c>
      <c r="H42" s="252"/>
      <c r="I42" s="445">
        <f>SUM(I43:I44)</f>
        <v>4860</v>
      </c>
      <c r="J42" s="445">
        <f>SUM(J43:J44)</f>
        <v>4860</v>
      </c>
      <c r="K42" s="210">
        <f>B42+E42+H42</f>
        <v>65989</v>
      </c>
      <c r="L42" s="210">
        <f t="shared" si="7"/>
        <v>96531</v>
      </c>
      <c r="M42" s="210">
        <f t="shared" si="8"/>
        <v>32542</v>
      </c>
    </row>
    <row r="43" spans="1:13" s="37" customFormat="1" ht="18.6" customHeight="1">
      <c r="A43" s="263" t="s">
        <v>99</v>
      </c>
      <c r="B43" s="278">
        <v>65989</v>
      </c>
      <c r="C43" s="468">
        <v>80179</v>
      </c>
      <c r="D43" s="256">
        <v>16190</v>
      </c>
      <c r="E43" s="252"/>
      <c r="F43" s="445"/>
      <c r="G43" s="259"/>
      <c r="H43" s="252"/>
      <c r="I43" s="445"/>
      <c r="J43" s="259"/>
      <c r="K43" s="210">
        <f>B43+E43+H43</f>
        <v>65989</v>
      </c>
      <c r="L43" s="210">
        <f t="shared" si="7"/>
        <v>80179</v>
      </c>
      <c r="M43" s="210">
        <f t="shared" si="8"/>
        <v>16190</v>
      </c>
    </row>
    <row r="44" spans="1:13" s="37" customFormat="1" ht="18.6" customHeight="1">
      <c r="A44" s="263" t="s">
        <v>9</v>
      </c>
      <c r="B44" s="278"/>
      <c r="C44" s="468">
        <v>11492</v>
      </c>
      <c r="D44" s="256">
        <v>11492</v>
      </c>
      <c r="E44" s="252"/>
      <c r="F44" s="445"/>
      <c r="G44" s="259"/>
      <c r="H44" s="252"/>
      <c r="I44" s="444">
        <v>4860</v>
      </c>
      <c r="J44" s="256">
        <v>4860</v>
      </c>
      <c r="K44" s="210"/>
      <c r="L44" s="210">
        <f t="shared" si="7"/>
        <v>16352</v>
      </c>
      <c r="M44" s="210">
        <f t="shared" si="8"/>
        <v>16352</v>
      </c>
    </row>
    <row r="45" spans="1:13" ht="18.6" customHeight="1">
      <c r="A45" s="271" t="s">
        <v>100</v>
      </c>
      <c r="B45" s="281">
        <f aca="true" t="shared" si="9" ref="B45:H45">SUM(B46)</f>
        <v>1196</v>
      </c>
      <c r="C45" s="449">
        <f>SUM(C46,C47)</f>
        <v>3908</v>
      </c>
      <c r="D45" s="259">
        <f>SUM(D46,D47)</f>
        <v>3908</v>
      </c>
      <c r="E45" s="252">
        <f t="shared" si="9"/>
        <v>800</v>
      </c>
      <c r="F45" s="445">
        <f t="shared" si="9"/>
        <v>800</v>
      </c>
      <c r="G45" s="259">
        <f t="shared" si="9"/>
        <v>800</v>
      </c>
      <c r="H45" s="252">
        <f t="shared" si="9"/>
        <v>0</v>
      </c>
      <c r="I45" s="445">
        <f>SUM(I46:I47)</f>
        <v>1000</v>
      </c>
      <c r="J45" s="259">
        <f>SUM(J46:J47)</f>
        <v>1000</v>
      </c>
      <c r="K45" s="210">
        <f>B45+E45+H45</f>
        <v>1996</v>
      </c>
      <c r="L45" s="210">
        <f t="shared" si="7"/>
        <v>5708</v>
      </c>
      <c r="M45" s="210">
        <f t="shared" si="8"/>
        <v>5708</v>
      </c>
    </row>
    <row r="46" spans="1:13" ht="18.6" customHeight="1">
      <c r="A46" s="272" t="s">
        <v>99</v>
      </c>
      <c r="B46" s="278">
        <v>1196</v>
      </c>
      <c r="C46" s="468">
        <v>3748</v>
      </c>
      <c r="D46" s="256">
        <v>3748</v>
      </c>
      <c r="E46" s="251">
        <v>800</v>
      </c>
      <c r="F46" s="444">
        <v>800</v>
      </c>
      <c r="G46" s="256">
        <v>800</v>
      </c>
      <c r="H46" s="251"/>
      <c r="I46" s="444"/>
      <c r="J46" s="256"/>
      <c r="K46" s="210">
        <f>B46+E46+H46</f>
        <v>1996</v>
      </c>
      <c r="L46" s="210">
        <f t="shared" si="7"/>
        <v>4548</v>
      </c>
      <c r="M46" s="210">
        <f t="shared" si="8"/>
        <v>4548</v>
      </c>
    </row>
    <row r="47" spans="1:13" ht="18.6" customHeight="1">
      <c r="A47" s="272" t="s">
        <v>9</v>
      </c>
      <c r="B47" s="278"/>
      <c r="C47" s="468">
        <v>160</v>
      </c>
      <c r="D47" s="256">
        <v>160</v>
      </c>
      <c r="E47" s="251"/>
      <c r="F47" s="444"/>
      <c r="G47" s="256"/>
      <c r="H47" s="251"/>
      <c r="I47" s="444">
        <v>1000</v>
      </c>
      <c r="J47" s="256">
        <v>1000</v>
      </c>
      <c r="K47" s="210"/>
      <c r="L47" s="210">
        <f t="shared" si="7"/>
        <v>1160</v>
      </c>
      <c r="M47" s="210">
        <f t="shared" si="8"/>
        <v>1160</v>
      </c>
    </row>
    <row r="48" spans="1:13" s="38" customFormat="1" ht="18.6" customHeight="1">
      <c r="A48" s="271" t="s">
        <v>101</v>
      </c>
      <c r="B48" s="282">
        <f>SUM(B6+B10+B15+B29+B39+B45+B42)</f>
        <v>4328938</v>
      </c>
      <c r="C48" s="471">
        <f>SUM(C6+C10+C13+C15+C29+C39+C45+C42+C9)</f>
        <v>4573919</v>
      </c>
      <c r="D48" s="260">
        <f>SUM(D6+D10+D13+D15+D29+D39+D45+D42+D9)</f>
        <v>4326625</v>
      </c>
      <c r="E48" s="445">
        <f>SUM(E6+E10+E13+E15+E29+E39+E42+E45)</f>
        <v>25013</v>
      </c>
      <c r="F48" s="445">
        <f aca="true" t="shared" si="10" ref="F48:G48">SUM(F6+F10+F13+F15+F29+F39+F42+F45)</f>
        <v>32298</v>
      </c>
      <c r="G48" s="259">
        <f t="shared" si="10"/>
        <v>36309</v>
      </c>
      <c r="H48" s="252">
        <f aca="true" t="shared" si="11" ref="H48">SUM(H6+H10+H13+H15+H29+H39+H42+H45)</f>
        <v>348971</v>
      </c>
      <c r="I48" s="445">
        <f aca="true" t="shared" si="12" ref="I48">SUM(I6+I10+I13+I15+I29+I39+I42+I45)</f>
        <v>361840</v>
      </c>
      <c r="J48" s="445">
        <f aca="true" t="shared" si="13" ref="J48:K48">SUM(J6+J10+J13+J15+J29+J39+J42+J45)</f>
        <v>354368</v>
      </c>
      <c r="K48" s="210">
        <f t="shared" si="13"/>
        <v>4702922</v>
      </c>
      <c r="L48" s="210">
        <f aca="true" t="shared" si="14" ref="L48:M48">C48+F48+I48</f>
        <v>4968057</v>
      </c>
      <c r="M48" s="210">
        <f t="shared" si="14"/>
        <v>4717302</v>
      </c>
    </row>
    <row r="49" spans="1:13" s="39" customFormat="1" ht="18.6" customHeight="1">
      <c r="A49" s="273" t="s">
        <v>47</v>
      </c>
      <c r="B49" s="281">
        <v>63314</v>
      </c>
      <c r="C49" s="449">
        <v>58772</v>
      </c>
      <c r="D49" s="259">
        <v>52854</v>
      </c>
      <c r="E49" s="252"/>
      <c r="F49" s="445"/>
      <c r="G49" s="259"/>
      <c r="H49" s="252"/>
      <c r="I49" s="445"/>
      <c r="J49" s="259"/>
      <c r="K49" s="210">
        <f>B49+E49+H49</f>
        <v>63314</v>
      </c>
      <c r="L49" s="210">
        <f t="shared" si="7"/>
        <v>58772</v>
      </c>
      <c r="M49" s="210">
        <f t="shared" si="8"/>
        <v>52854</v>
      </c>
    </row>
    <row r="50" spans="1:13" s="39" customFormat="1" ht="18.6" customHeight="1">
      <c r="A50" s="273" t="s">
        <v>758</v>
      </c>
      <c r="B50" s="281"/>
      <c r="C50" s="449">
        <v>1156</v>
      </c>
      <c r="D50" s="259">
        <v>39017</v>
      </c>
      <c r="E50" s="252"/>
      <c r="F50" s="445"/>
      <c r="G50" s="259"/>
      <c r="H50" s="252"/>
      <c r="I50" s="445"/>
      <c r="J50" s="259"/>
      <c r="K50" s="210"/>
      <c r="L50" s="210">
        <f t="shared" si="7"/>
        <v>1156</v>
      </c>
      <c r="M50" s="210">
        <f t="shared" si="8"/>
        <v>39017</v>
      </c>
    </row>
    <row r="51" spans="1:13" s="39" customFormat="1" ht="18.6" customHeight="1">
      <c r="A51" s="273" t="s">
        <v>961</v>
      </c>
      <c r="B51" s="281"/>
      <c r="C51" s="449">
        <v>112898</v>
      </c>
      <c r="D51" s="259">
        <v>112898</v>
      </c>
      <c r="E51" s="252"/>
      <c r="F51" s="445"/>
      <c r="G51" s="259"/>
      <c r="H51" s="252"/>
      <c r="I51" s="445"/>
      <c r="J51" s="259"/>
      <c r="K51" s="210"/>
      <c r="L51" s="210">
        <f t="shared" si="7"/>
        <v>112898</v>
      </c>
      <c r="M51" s="210">
        <f t="shared" si="8"/>
        <v>112898</v>
      </c>
    </row>
    <row r="52" spans="1:13" ht="12.75">
      <c r="A52" s="271" t="s">
        <v>48</v>
      </c>
      <c r="B52" s="281">
        <v>250000</v>
      </c>
      <c r="C52" s="449">
        <v>183862</v>
      </c>
      <c r="D52" s="259">
        <v>183862</v>
      </c>
      <c r="E52" s="251"/>
      <c r="F52" s="444">
        <v>28127</v>
      </c>
      <c r="G52" s="256">
        <v>28127</v>
      </c>
      <c r="H52" s="251"/>
      <c r="I52" s="444">
        <v>44943</v>
      </c>
      <c r="J52" s="256">
        <v>44943</v>
      </c>
      <c r="K52" s="210">
        <f aca="true" t="shared" si="15" ref="K52:K57">B52+E52+H52</f>
        <v>250000</v>
      </c>
      <c r="L52" s="210">
        <f t="shared" si="7"/>
        <v>256932</v>
      </c>
      <c r="M52" s="210">
        <f t="shared" si="8"/>
        <v>256932</v>
      </c>
    </row>
    <row r="53" spans="1:13" ht="12.75">
      <c r="A53" s="271" t="s">
        <v>102</v>
      </c>
      <c r="B53" s="278"/>
      <c r="C53" s="468"/>
      <c r="D53" s="256"/>
      <c r="E53" s="251">
        <v>680901</v>
      </c>
      <c r="F53" s="444">
        <v>686763</v>
      </c>
      <c r="G53" s="256">
        <v>575651</v>
      </c>
      <c r="H53" s="251">
        <v>1045817</v>
      </c>
      <c r="I53" s="444">
        <v>1092521</v>
      </c>
      <c r="J53" s="256">
        <v>1060130</v>
      </c>
      <c r="K53" s="210">
        <f t="shared" si="15"/>
        <v>1726718</v>
      </c>
      <c r="L53" s="210">
        <f t="shared" si="7"/>
        <v>1779284</v>
      </c>
      <c r="M53" s="210">
        <f t="shared" si="8"/>
        <v>1635781</v>
      </c>
    </row>
    <row r="54" spans="1:13" ht="12.75">
      <c r="A54" s="271" t="s">
        <v>685</v>
      </c>
      <c r="B54" s="278"/>
      <c r="C54" s="449">
        <v>1250000</v>
      </c>
      <c r="D54" s="259">
        <v>1250000</v>
      </c>
      <c r="E54" s="251"/>
      <c r="F54" s="444"/>
      <c r="G54" s="256"/>
      <c r="H54" s="251"/>
      <c r="I54" s="444"/>
      <c r="J54" s="256"/>
      <c r="K54" s="210">
        <f t="shared" si="15"/>
        <v>0</v>
      </c>
      <c r="L54" s="210">
        <f t="shared" si="7"/>
        <v>1250000</v>
      </c>
      <c r="M54" s="210">
        <f t="shared" si="8"/>
        <v>1250000</v>
      </c>
    </row>
    <row r="55" spans="1:13" ht="12.75">
      <c r="A55" s="271" t="s">
        <v>723</v>
      </c>
      <c r="B55" s="278"/>
      <c r="C55" s="449">
        <v>1070830</v>
      </c>
      <c r="D55" s="259">
        <v>1070830</v>
      </c>
      <c r="E55" s="251"/>
      <c r="F55" s="444"/>
      <c r="G55" s="256"/>
      <c r="H55" s="251"/>
      <c r="I55" s="444"/>
      <c r="J55" s="256"/>
      <c r="K55" s="210">
        <f t="shared" si="15"/>
        <v>0</v>
      </c>
      <c r="L55" s="210">
        <f t="shared" si="7"/>
        <v>1070830</v>
      </c>
      <c r="M55" s="210">
        <f t="shared" si="8"/>
        <v>1070830</v>
      </c>
    </row>
    <row r="56" spans="1:13" ht="19.5">
      <c r="A56" s="274" t="s">
        <v>103</v>
      </c>
      <c r="B56" s="282">
        <f aca="true" t="shared" si="16" ref="B56:H56">SUM(B49+B52+B53)</f>
        <v>313314</v>
      </c>
      <c r="C56" s="471">
        <f>SUM(C49:C55)</f>
        <v>2677518</v>
      </c>
      <c r="D56" s="260">
        <f>SUM(D49:D55)</f>
        <v>2709461</v>
      </c>
      <c r="E56" s="252">
        <f t="shared" si="16"/>
        <v>680901</v>
      </c>
      <c r="F56" s="445">
        <f aca="true" t="shared" si="17" ref="F56:G56">SUM(F49+F52+F53)</f>
        <v>714890</v>
      </c>
      <c r="G56" s="259">
        <f t="shared" si="17"/>
        <v>603778</v>
      </c>
      <c r="H56" s="252">
        <f t="shared" si="16"/>
        <v>1045817</v>
      </c>
      <c r="I56" s="445">
        <f aca="true" t="shared" si="18" ref="I56:J56">SUM(I49+I52+I53)</f>
        <v>1137464</v>
      </c>
      <c r="J56" s="445">
        <f t="shared" si="18"/>
        <v>1105073</v>
      </c>
      <c r="K56" s="210">
        <f t="shared" si="15"/>
        <v>2040032</v>
      </c>
      <c r="L56" s="210">
        <f t="shared" si="7"/>
        <v>4529872</v>
      </c>
      <c r="M56" s="210">
        <f t="shared" si="8"/>
        <v>4418312</v>
      </c>
    </row>
    <row r="57" spans="1:13" s="37" customFormat="1" ht="19.5" thickBot="1">
      <c r="A57" s="882" t="s">
        <v>53</v>
      </c>
      <c r="B57" s="883">
        <f aca="true" t="shared" si="19" ref="B57:H57">SUM(B48+B56)</f>
        <v>4642252</v>
      </c>
      <c r="C57" s="884">
        <f t="shared" si="19"/>
        <v>7251437</v>
      </c>
      <c r="D57" s="885">
        <f t="shared" si="19"/>
        <v>7036086</v>
      </c>
      <c r="E57" s="886">
        <f t="shared" si="19"/>
        <v>705914</v>
      </c>
      <c r="F57" s="887">
        <f aca="true" t="shared" si="20" ref="F57:G57">SUM(F48+F56)</f>
        <v>747188</v>
      </c>
      <c r="G57" s="885">
        <f t="shared" si="20"/>
        <v>640087</v>
      </c>
      <c r="H57" s="886">
        <f t="shared" si="19"/>
        <v>1394788</v>
      </c>
      <c r="I57" s="887">
        <f aca="true" t="shared" si="21" ref="I57:J57">SUM(I48+I56)</f>
        <v>1499304</v>
      </c>
      <c r="J57" s="887">
        <f t="shared" si="21"/>
        <v>1459441</v>
      </c>
      <c r="K57" s="197">
        <f t="shared" si="15"/>
        <v>6742954</v>
      </c>
      <c r="L57" s="197">
        <f t="shared" si="7"/>
        <v>9497929</v>
      </c>
      <c r="M57" s="197">
        <f t="shared" si="8"/>
        <v>9135614</v>
      </c>
    </row>
    <row r="59" spans="1:9" ht="12.75">
      <c r="A59" s="1035" t="s">
        <v>1135</v>
      </c>
      <c r="B59" s="1035"/>
      <c r="C59" s="1035"/>
      <c r="D59" s="1035"/>
      <c r="E59" s="1035"/>
      <c r="F59" s="1035"/>
      <c r="G59" s="1035"/>
      <c r="H59" s="1035"/>
      <c r="I59" s="1033"/>
    </row>
    <row r="60" spans="1:9" ht="12.75">
      <c r="A60" s="1035" t="s">
        <v>1136</v>
      </c>
      <c r="B60" s="1035"/>
      <c r="C60" s="1035"/>
      <c r="D60" s="1035"/>
      <c r="E60" s="1035"/>
      <c r="F60" s="1035"/>
      <c r="G60" s="1035"/>
      <c r="H60" s="1035"/>
      <c r="I60" s="1035"/>
    </row>
    <row r="61" spans="1:9" ht="12.75">
      <c r="A61" s="1035" t="s">
        <v>1137</v>
      </c>
      <c r="B61" s="1035"/>
      <c r="C61" s="1035"/>
      <c r="D61" s="1035"/>
      <c r="E61" s="1035"/>
      <c r="F61" s="1035"/>
      <c r="G61" s="1035"/>
      <c r="H61" s="1035"/>
      <c r="I61" s="1035"/>
    </row>
    <row r="62" spans="1:9" ht="12.75">
      <c r="A62" s="1035" t="s">
        <v>1138</v>
      </c>
      <c r="B62" s="1035"/>
      <c r="C62" s="1035"/>
      <c r="D62" s="1035"/>
      <c r="E62" s="1035"/>
      <c r="F62" s="1035"/>
      <c r="G62" s="1035"/>
      <c r="H62" s="1035"/>
      <c r="I62" s="1035"/>
    </row>
  </sheetData>
  <sheetProtection selectLockedCells="1" selectUnlockedCells="1"/>
  <mergeCells count="10">
    <mergeCell ref="A59:H59"/>
    <mergeCell ref="A60:I60"/>
    <mergeCell ref="A61:I61"/>
    <mergeCell ref="A62:I62"/>
    <mergeCell ref="A2:M2"/>
    <mergeCell ref="A4:A5"/>
    <mergeCell ref="E4:G4"/>
    <mergeCell ref="B4:D4"/>
    <mergeCell ref="H4:J4"/>
    <mergeCell ref="K4:M4"/>
  </mergeCells>
  <printOptions horizontalCentered="1"/>
  <pageMargins left="0.3937007874015748" right="0.3937007874015748" top="0.8661417322834646" bottom="0.4330708661417323" header="0.6299212598425197" footer="0.5118110236220472"/>
  <pageSetup fitToHeight="1" fitToWidth="1" horizontalDpi="300" verticalDpi="300" orientation="landscape" paperSize="9" scale="42" r:id="rId1"/>
  <headerFooter alignWithMargins="0">
    <oddHeader>&amp;L&amp;11 3. melléklet a 1/2017.(II.24.) önkormányzati rendelethez
 3. melléklet a 29/2015.(XII.18.)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39"/>
  <sheetViews>
    <sheetView view="pageBreakPreview" zoomScale="70" zoomScaleSheetLayoutView="70" workbookViewId="0" topLeftCell="C19">
      <selection activeCell="C36" sqref="C36:K39"/>
    </sheetView>
  </sheetViews>
  <sheetFormatPr defaultColWidth="9.00390625" defaultRowHeight="25.5" customHeight="1"/>
  <cols>
    <col min="1" max="2" width="9.00390625" style="40" hidden="1" customWidth="1"/>
    <col min="3" max="3" width="77.625" style="40" customWidth="1"/>
    <col min="4" max="4" width="12.625" style="40" customWidth="1"/>
    <col min="5" max="6" width="15.25390625" style="40" customWidth="1"/>
    <col min="7" max="7" width="13.875" style="40" customWidth="1"/>
    <col min="8" max="8" width="16.75390625" style="40" customWidth="1"/>
    <col min="9" max="9" width="16.125" style="40" customWidth="1"/>
    <col min="10" max="10" width="14.00390625" style="40" customWidth="1"/>
    <col min="11" max="12" width="14.875" style="40" customWidth="1"/>
    <col min="13" max="13" width="12.375" style="40" customWidth="1"/>
    <col min="14" max="14" width="15.125" style="40" customWidth="1"/>
    <col min="15" max="15" width="13.875" style="40" customWidth="1"/>
    <col min="16" max="16" width="13.75390625" style="40" customWidth="1"/>
    <col min="17" max="16384" width="9.125" style="40" customWidth="1"/>
  </cols>
  <sheetData>
    <row r="1" spans="3:16" s="41" customFormat="1" ht="18" customHeight="1">
      <c r="C1" s="1076" t="s">
        <v>104</v>
      </c>
      <c r="D1" s="1076"/>
      <c r="E1" s="1076"/>
      <c r="F1" s="1076"/>
      <c r="G1" s="1076"/>
      <c r="H1" s="1076"/>
      <c r="I1" s="1076"/>
      <c r="J1" s="1076"/>
      <c r="K1" s="1076"/>
      <c r="L1" s="1076"/>
      <c r="M1" s="1076"/>
      <c r="N1" s="1076"/>
      <c r="O1" s="1076"/>
      <c r="P1" s="1076"/>
    </row>
    <row r="2" spans="3:16" s="41" customFormat="1" ht="18" customHeight="1">
      <c r="C2" s="1076" t="s">
        <v>936</v>
      </c>
      <c r="D2" s="1076"/>
      <c r="E2" s="1076"/>
      <c r="F2" s="1076"/>
      <c r="G2" s="1076"/>
      <c r="H2" s="1076"/>
      <c r="I2" s="1076"/>
      <c r="J2" s="1076"/>
      <c r="K2" s="1076"/>
      <c r="L2" s="1076"/>
      <c r="M2" s="1076"/>
      <c r="N2" s="1076"/>
      <c r="O2" s="1076"/>
      <c r="P2" s="1076"/>
    </row>
    <row r="3" spans="3:12" s="41" customFormat="1" ht="18" customHeight="1" thickBot="1"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20" ht="69.75" customHeight="1" thickBot="1">
      <c r="A4" s="43"/>
      <c r="B4" s="41"/>
      <c r="C4" s="1077" t="s">
        <v>105</v>
      </c>
      <c r="D4" s="1078" t="s">
        <v>81</v>
      </c>
      <c r="E4" s="1079"/>
      <c r="F4" s="1080"/>
      <c r="G4" s="1078" t="s">
        <v>82</v>
      </c>
      <c r="H4" s="1079"/>
      <c r="I4" s="1080"/>
      <c r="J4" s="1078" t="s">
        <v>83</v>
      </c>
      <c r="K4" s="1079"/>
      <c r="L4" s="1080"/>
      <c r="M4" s="1081" t="s">
        <v>84</v>
      </c>
      <c r="N4" s="1082"/>
      <c r="O4" s="1083"/>
      <c r="P4" s="41"/>
      <c r="Q4" s="41"/>
      <c r="R4" s="41"/>
      <c r="S4" s="41"/>
      <c r="T4" s="41"/>
    </row>
    <row r="5" spans="1:22" ht="18.75" customHeight="1">
      <c r="A5" s="44"/>
      <c r="B5" s="45"/>
      <c r="C5" s="1077"/>
      <c r="D5" s="310" t="s">
        <v>4</v>
      </c>
      <c r="E5" s="283" t="s">
        <v>861</v>
      </c>
      <c r="F5" s="283" t="s">
        <v>1041</v>
      </c>
      <c r="G5" s="293" t="s">
        <v>4</v>
      </c>
      <c r="H5" s="283" t="s">
        <v>861</v>
      </c>
      <c r="I5" s="283" t="s">
        <v>1041</v>
      </c>
      <c r="J5" s="301" t="s">
        <v>4</v>
      </c>
      <c r="K5" s="283" t="s">
        <v>861</v>
      </c>
      <c r="L5" s="283" t="s">
        <v>1041</v>
      </c>
      <c r="M5" s="309" t="s">
        <v>5</v>
      </c>
      <c r="N5" s="309" t="s">
        <v>861</v>
      </c>
      <c r="O5" s="871" t="s">
        <v>1041</v>
      </c>
      <c r="P5" s="41"/>
      <c r="Q5" s="41"/>
      <c r="R5" s="41"/>
      <c r="S5" s="41"/>
      <c r="T5" s="41"/>
      <c r="U5" s="41"/>
      <c r="V5" s="41"/>
    </row>
    <row r="6" spans="1:22" s="48" customFormat="1" ht="19.5" customHeight="1">
      <c r="A6" s="46"/>
      <c r="B6" s="47"/>
      <c r="C6" s="872" t="s">
        <v>7</v>
      </c>
      <c r="D6" s="311">
        <f>225164+646+275</f>
        <v>226085</v>
      </c>
      <c r="E6" s="284">
        <v>238770</v>
      </c>
      <c r="F6" s="321">
        <v>188044</v>
      </c>
      <c r="G6" s="294">
        <v>402115</v>
      </c>
      <c r="H6" s="284">
        <v>418397</v>
      </c>
      <c r="I6" s="321">
        <v>374128</v>
      </c>
      <c r="J6" s="302">
        <v>540829</v>
      </c>
      <c r="K6" s="284">
        <v>597226</v>
      </c>
      <c r="L6" s="321">
        <v>596655</v>
      </c>
      <c r="M6" s="450">
        <f aca="true" t="shared" si="0" ref="M6:O10">SUM(D6+G6+J6)</f>
        <v>1169029</v>
      </c>
      <c r="N6" s="450">
        <f t="shared" si="0"/>
        <v>1254393</v>
      </c>
      <c r="O6" s="450">
        <f>SUM(F6+I6+L6)</f>
        <v>1158827</v>
      </c>
      <c r="P6" s="47"/>
      <c r="Q6" s="47"/>
      <c r="R6" s="47"/>
      <c r="S6" s="47"/>
      <c r="T6" s="47"/>
      <c r="U6" s="47"/>
      <c r="V6" s="47"/>
    </row>
    <row r="7" spans="1:22" s="48" customFormat="1" ht="20.1" customHeight="1">
      <c r="A7" s="46"/>
      <c r="B7" s="47"/>
      <c r="C7" s="872" t="s">
        <v>106</v>
      </c>
      <c r="D7" s="311">
        <f>55438+330+141</f>
        <v>55909</v>
      </c>
      <c r="E7" s="284">
        <v>58805</v>
      </c>
      <c r="F7" s="321">
        <v>53111</v>
      </c>
      <c r="G7" s="294">
        <v>124087</v>
      </c>
      <c r="H7" s="284">
        <v>130655</v>
      </c>
      <c r="I7" s="321">
        <v>116225</v>
      </c>
      <c r="J7" s="302">
        <v>143252</v>
      </c>
      <c r="K7" s="284">
        <v>161012</v>
      </c>
      <c r="L7" s="321">
        <v>161479</v>
      </c>
      <c r="M7" s="450">
        <f t="shared" si="0"/>
        <v>323248</v>
      </c>
      <c r="N7" s="450">
        <f t="shared" si="0"/>
        <v>350472</v>
      </c>
      <c r="O7" s="450">
        <f t="shared" si="0"/>
        <v>330815</v>
      </c>
      <c r="P7" s="47"/>
      <c r="Q7" s="47"/>
      <c r="R7" s="47"/>
      <c r="S7" s="47"/>
      <c r="T7" s="47"/>
      <c r="U7" s="47"/>
      <c r="V7" s="47"/>
    </row>
    <row r="8" spans="1:22" s="48" customFormat="1" ht="20.1" customHeight="1">
      <c r="A8" s="46"/>
      <c r="B8" s="47"/>
      <c r="C8" s="873" t="s">
        <v>12</v>
      </c>
      <c r="D8" s="312">
        <v>909023</v>
      </c>
      <c r="E8" s="285">
        <v>848848</v>
      </c>
      <c r="F8" s="322">
        <v>730404</v>
      </c>
      <c r="G8" s="295">
        <v>144815</v>
      </c>
      <c r="H8" s="285">
        <v>145102</v>
      </c>
      <c r="I8" s="322">
        <v>112688</v>
      </c>
      <c r="J8" s="303">
        <v>646397</v>
      </c>
      <c r="K8" s="285">
        <v>666117</v>
      </c>
      <c r="L8" s="322">
        <v>626677</v>
      </c>
      <c r="M8" s="450">
        <f t="shared" si="0"/>
        <v>1700235</v>
      </c>
      <c r="N8" s="450">
        <f t="shared" si="0"/>
        <v>1660067</v>
      </c>
      <c r="O8" s="450">
        <f t="shared" si="0"/>
        <v>1469769</v>
      </c>
      <c r="P8" s="47"/>
      <c r="Q8" s="47"/>
      <c r="R8" s="47"/>
      <c r="S8" s="47"/>
      <c r="T8" s="47"/>
      <c r="U8" s="47"/>
      <c r="V8" s="47"/>
    </row>
    <row r="9" spans="1:22" s="48" customFormat="1" ht="20.1" customHeight="1">
      <c r="A9" s="46"/>
      <c r="B9" s="47"/>
      <c r="C9" s="872" t="s">
        <v>15</v>
      </c>
      <c r="D9" s="312">
        <v>71950</v>
      </c>
      <c r="E9" s="285">
        <v>74610</v>
      </c>
      <c r="F9" s="322">
        <v>75865</v>
      </c>
      <c r="G9" s="295"/>
      <c r="H9" s="285">
        <v>16</v>
      </c>
      <c r="I9" s="322">
        <v>16</v>
      </c>
      <c r="J9" s="303"/>
      <c r="K9" s="285"/>
      <c r="L9" s="322"/>
      <c r="M9" s="450">
        <f t="shared" si="0"/>
        <v>71950</v>
      </c>
      <c r="N9" s="450">
        <f t="shared" si="0"/>
        <v>74626</v>
      </c>
      <c r="O9" s="450">
        <f t="shared" si="0"/>
        <v>75881</v>
      </c>
      <c r="P9" s="47"/>
      <c r="Q9" s="47"/>
      <c r="R9" s="47"/>
      <c r="S9" s="47"/>
      <c r="T9" s="47"/>
      <c r="U9" s="47"/>
      <c r="V9" s="47"/>
    </row>
    <row r="10" spans="1:22" s="48" customFormat="1" ht="19.5" customHeight="1">
      <c r="A10" s="46"/>
      <c r="B10" s="47"/>
      <c r="C10" s="873" t="s">
        <v>57</v>
      </c>
      <c r="D10" s="312">
        <f aca="true" t="shared" si="1" ref="D10:J10">(D12+D13+D14)</f>
        <v>983430</v>
      </c>
      <c r="E10" s="285">
        <f>SUM(E11:E14)</f>
        <v>935267</v>
      </c>
      <c r="F10" s="285">
        <f>SUM(F11:F14)</f>
        <v>955575</v>
      </c>
      <c r="G10" s="295">
        <f t="shared" si="1"/>
        <v>0</v>
      </c>
      <c r="H10" s="285">
        <f>(H11+H12+H13+H14)</f>
        <v>15019</v>
      </c>
      <c r="I10" s="285">
        <f>(I11+I12+I13+I14)</f>
        <v>15030</v>
      </c>
      <c r="J10" s="303">
        <f t="shared" si="1"/>
        <v>0</v>
      </c>
      <c r="K10" s="285"/>
      <c r="L10" s="322"/>
      <c r="M10" s="450">
        <f t="shared" si="0"/>
        <v>983430</v>
      </c>
      <c r="N10" s="450">
        <f t="shared" si="0"/>
        <v>950286</v>
      </c>
      <c r="O10" s="450">
        <f t="shared" si="0"/>
        <v>970605</v>
      </c>
      <c r="P10" s="47"/>
      <c r="Q10" s="47"/>
      <c r="R10" s="47"/>
      <c r="S10" s="47"/>
      <c r="T10" s="47"/>
      <c r="U10" s="47"/>
      <c r="V10" s="47"/>
    </row>
    <row r="11" spans="1:22" s="48" customFormat="1" ht="20.1" customHeight="1">
      <c r="A11" s="46"/>
      <c r="B11" s="47"/>
      <c r="C11" s="874" t="s">
        <v>759</v>
      </c>
      <c r="D11" s="312"/>
      <c r="E11" s="286">
        <v>3978</v>
      </c>
      <c r="F11" s="475">
        <v>4184</v>
      </c>
      <c r="G11" s="295"/>
      <c r="H11" s="286">
        <v>15000</v>
      </c>
      <c r="I11" s="475">
        <v>15000</v>
      </c>
      <c r="J11" s="303"/>
      <c r="K11" s="285"/>
      <c r="L11" s="322"/>
      <c r="M11" s="450"/>
      <c r="N11" s="450">
        <f aca="true" t="shared" si="2" ref="N11:N30">SUM(E11+H11+K11)</f>
        <v>18978</v>
      </c>
      <c r="O11" s="450">
        <f aca="true" t="shared" si="3" ref="O11:O30">SUM(F11+I11+L11)</f>
        <v>19184</v>
      </c>
      <c r="P11" s="47"/>
      <c r="Q11" s="47"/>
      <c r="R11" s="47"/>
      <c r="S11" s="47"/>
      <c r="T11" s="47"/>
      <c r="U11" s="47"/>
      <c r="V11" s="47"/>
    </row>
    <row r="12" spans="1:22" ht="19.5" customHeight="1">
      <c r="A12" s="43"/>
      <c r="B12" s="41"/>
      <c r="C12" s="875" t="s">
        <v>20</v>
      </c>
      <c r="D12" s="313">
        <v>2000</v>
      </c>
      <c r="E12" s="287">
        <v>5015</v>
      </c>
      <c r="F12" s="323">
        <v>5015</v>
      </c>
      <c r="G12" s="296"/>
      <c r="H12" s="287"/>
      <c r="I12" s="323"/>
      <c r="J12" s="304"/>
      <c r="K12" s="287"/>
      <c r="L12" s="323"/>
      <c r="M12" s="450">
        <f aca="true" t="shared" si="4" ref="M12:M28">SUM(D12+G12+J12)</f>
        <v>2000</v>
      </c>
      <c r="N12" s="450">
        <f t="shared" si="2"/>
        <v>5015</v>
      </c>
      <c r="O12" s="450">
        <f t="shared" si="3"/>
        <v>5015</v>
      </c>
      <c r="P12" s="41"/>
      <c r="Q12" s="41"/>
      <c r="R12" s="41"/>
      <c r="S12" s="41"/>
      <c r="T12" s="41"/>
      <c r="U12" s="41"/>
      <c r="V12" s="41"/>
    </row>
    <row r="13" spans="1:22" ht="19.5" customHeight="1">
      <c r="A13" s="43"/>
      <c r="B13" s="41"/>
      <c r="C13" s="875" t="s">
        <v>21</v>
      </c>
      <c r="D13" s="313">
        <v>834630</v>
      </c>
      <c r="E13" s="287">
        <v>920541</v>
      </c>
      <c r="F13" s="323">
        <v>942541</v>
      </c>
      <c r="G13" s="296"/>
      <c r="H13" s="287">
        <v>19</v>
      </c>
      <c r="I13" s="323">
        <v>30</v>
      </c>
      <c r="J13" s="304"/>
      <c r="K13" s="287"/>
      <c r="L13" s="323"/>
      <c r="M13" s="450">
        <f t="shared" si="4"/>
        <v>834630</v>
      </c>
      <c r="N13" s="450">
        <f t="shared" si="2"/>
        <v>920560</v>
      </c>
      <c r="O13" s="450">
        <f t="shared" si="3"/>
        <v>942571</v>
      </c>
      <c r="P13" s="41"/>
      <c r="Q13" s="41"/>
      <c r="R13" s="41"/>
      <c r="S13" s="41"/>
      <c r="T13" s="41"/>
      <c r="U13" s="41"/>
      <c r="V13" s="41"/>
    </row>
    <row r="14" spans="1:22" s="48" customFormat="1" ht="20.1" customHeight="1">
      <c r="A14" s="46"/>
      <c r="B14" s="47"/>
      <c r="C14" s="876" t="s">
        <v>23</v>
      </c>
      <c r="D14" s="313">
        <f>SUM(D15:D17)</f>
        <v>146800</v>
      </c>
      <c r="E14" s="287">
        <v>5733</v>
      </c>
      <c r="F14" s="287">
        <f>SUM(F15:F17)</f>
        <v>3835</v>
      </c>
      <c r="G14" s="296"/>
      <c r="H14" s="287"/>
      <c r="I14" s="323"/>
      <c r="J14" s="304"/>
      <c r="K14" s="287"/>
      <c r="L14" s="323"/>
      <c r="M14" s="450">
        <f t="shared" si="4"/>
        <v>146800</v>
      </c>
      <c r="N14" s="450">
        <f t="shared" si="2"/>
        <v>5733</v>
      </c>
      <c r="O14" s="450">
        <f t="shared" si="3"/>
        <v>3835</v>
      </c>
      <c r="P14" s="47"/>
      <c r="Q14" s="47"/>
      <c r="R14" s="47"/>
      <c r="S14" s="47"/>
      <c r="T14" s="47"/>
      <c r="U14" s="47"/>
      <c r="V14" s="47"/>
    </row>
    <row r="15" spans="1:22" s="51" customFormat="1" ht="20.1" customHeight="1">
      <c r="A15" s="49"/>
      <c r="B15" s="50"/>
      <c r="C15" s="877" t="s">
        <v>25</v>
      </c>
      <c r="D15" s="314">
        <v>15000</v>
      </c>
      <c r="E15" s="288">
        <v>236</v>
      </c>
      <c r="F15" s="324">
        <v>138</v>
      </c>
      <c r="G15" s="297"/>
      <c r="H15" s="288"/>
      <c r="I15" s="324"/>
      <c r="J15" s="305"/>
      <c r="K15" s="288"/>
      <c r="L15" s="324"/>
      <c r="M15" s="450">
        <f t="shared" si="4"/>
        <v>15000</v>
      </c>
      <c r="N15" s="450">
        <f t="shared" si="2"/>
        <v>236</v>
      </c>
      <c r="O15" s="450">
        <f t="shared" si="3"/>
        <v>138</v>
      </c>
      <c r="P15" s="50"/>
      <c r="Q15" s="50"/>
      <c r="R15" s="50"/>
      <c r="S15" s="50"/>
      <c r="T15" s="50"/>
      <c r="U15" s="50"/>
      <c r="V15" s="50"/>
    </row>
    <row r="16" spans="1:22" s="51" customFormat="1" ht="20.1" customHeight="1">
      <c r="A16" s="49"/>
      <c r="B16" s="50"/>
      <c r="C16" s="877" t="s">
        <v>684</v>
      </c>
      <c r="D16" s="314">
        <v>100000</v>
      </c>
      <c r="E16" s="288">
        <v>3697</v>
      </c>
      <c r="F16" s="324">
        <v>3697</v>
      </c>
      <c r="G16" s="297"/>
      <c r="H16" s="288"/>
      <c r="I16" s="324"/>
      <c r="J16" s="305"/>
      <c r="K16" s="288"/>
      <c r="L16" s="324"/>
      <c r="M16" s="450">
        <f t="shared" si="4"/>
        <v>100000</v>
      </c>
      <c r="N16" s="450">
        <f t="shared" si="2"/>
        <v>3697</v>
      </c>
      <c r="O16" s="450">
        <f t="shared" si="3"/>
        <v>3697</v>
      </c>
      <c r="P16" s="50"/>
      <c r="Q16" s="50"/>
      <c r="R16" s="50"/>
      <c r="S16" s="50"/>
      <c r="T16" s="50"/>
      <c r="U16" s="50"/>
      <c r="V16" s="50"/>
    </row>
    <row r="17" spans="1:22" s="51" customFormat="1" ht="20.1" customHeight="1">
      <c r="A17" s="49"/>
      <c r="B17" s="50"/>
      <c r="C17" s="877" t="s">
        <v>28</v>
      </c>
      <c r="D17" s="314">
        <f>41800-10000</f>
        <v>31800</v>
      </c>
      <c r="E17" s="288">
        <v>1800</v>
      </c>
      <c r="F17" s="324">
        <v>0</v>
      </c>
      <c r="G17" s="297"/>
      <c r="H17" s="288"/>
      <c r="I17" s="324"/>
      <c r="J17" s="305"/>
      <c r="K17" s="288"/>
      <c r="L17" s="324"/>
      <c r="M17" s="450">
        <f t="shared" si="4"/>
        <v>31800</v>
      </c>
      <c r="N17" s="450">
        <f t="shared" si="2"/>
        <v>1800</v>
      </c>
      <c r="O17" s="450">
        <f t="shared" si="3"/>
        <v>0</v>
      </c>
      <c r="P17" s="50"/>
      <c r="Q17" s="50"/>
      <c r="R17" s="50"/>
      <c r="S17" s="50"/>
      <c r="T17" s="50"/>
      <c r="U17" s="50"/>
      <c r="V17" s="50"/>
    </row>
    <row r="18" spans="1:22" s="48" customFormat="1" ht="20.1" customHeight="1">
      <c r="A18" s="47"/>
      <c r="B18" s="47"/>
      <c r="C18" s="872" t="s">
        <v>107</v>
      </c>
      <c r="D18" s="311">
        <v>143265</v>
      </c>
      <c r="E18" s="284">
        <v>215189</v>
      </c>
      <c r="F18" s="321">
        <v>333294</v>
      </c>
      <c r="G18" s="294">
        <v>33697</v>
      </c>
      <c r="H18" s="284">
        <v>36614</v>
      </c>
      <c r="I18" s="321">
        <v>20614</v>
      </c>
      <c r="J18" s="302">
        <v>16297</v>
      </c>
      <c r="K18" s="284">
        <v>26142</v>
      </c>
      <c r="L18" s="321">
        <v>31295</v>
      </c>
      <c r="M18" s="450">
        <f t="shared" si="4"/>
        <v>193259</v>
      </c>
      <c r="N18" s="450">
        <f t="shared" si="2"/>
        <v>277945</v>
      </c>
      <c r="O18" s="450">
        <f t="shared" si="3"/>
        <v>385203</v>
      </c>
      <c r="P18" s="47"/>
      <c r="Q18" s="47"/>
      <c r="R18" s="47"/>
      <c r="S18" s="47"/>
      <c r="T18" s="47"/>
      <c r="U18" s="47"/>
      <c r="V18" s="47"/>
    </row>
    <row r="19" spans="1:22" s="48" customFormat="1" ht="20.1" customHeight="1">
      <c r="A19" s="47"/>
      <c r="B19" s="47"/>
      <c r="C19" s="872" t="s">
        <v>108</v>
      </c>
      <c r="D19" s="311">
        <v>114633</v>
      </c>
      <c r="E19" s="284">
        <v>156455</v>
      </c>
      <c r="F19" s="321">
        <v>146065</v>
      </c>
      <c r="G19" s="294">
        <v>0</v>
      </c>
      <c r="H19" s="284">
        <v>185</v>
      </c>
      <c r="I19" s="321">
        <v>186</v>
      </c>
      <c r="J19" s="302">
        <v>48013</v>
      </c>
      <c r="K19" s="284">
        <v>48807</v>
      </c>
      <c r="L19" s="321">
        <v>43335</v>
      </c>
      <c r="M19" s="450">
        <f t="shared" si="4"/>
        <v>162646</v>
      </c>
      <c r="N19" s="450">
        <f t="shared" si="2"/>
        <v>205447</v>
      </c>
      <c r="O19" s="450">
        <f t="shared" si="3"/>
        <v>189586</v>
      </c>
      <c r="P19" s="47"/>
      <c r="Q19" s="47"/>
      <c r="R19" s="47"/>
      <c r="S19" s="47"/>
      <c r="T19" s="47"/>
      <c r="U19" s="47"/>
      <c r="V19" s="47"/>
    </row>
    <row r="20" spans="1:22" s="48" customFormat="1" ht="20.1" customHeight="1">
      <c r="A20" s="47"/>
      <c r="B20" s="47"/>
      <c r="C20" s="872" t="s">
        <v>37</v>
      </c>
      <c r="D20" s="311">
        <f aca="true" t="shared" si="5" ref="D20:J20">SUM(D21:D23)</f>
        <v>337974</v>
      </c>
      <c r="E20" s="284">
        <f t="shared" si="5"/>
        <v>395950</v>
      </c>
      <c r="F20" s="284">
        <f>SUM(F21:F23)</f>
        <v>372136</v>
      </c>
      <c r="G20" s="294">
        <f t="shared" si="5"/>
        <v>1200</v>
      </c>
      <c r="H20" s="284">
        <f>SUM(H21)</f>
        <v>1200</v>
      </c>
      <c r="I20" s="284">
        <f>SUM(I21)</f>
        <v>1200</v>
      </c>
      <c r="J20" s="302">
        <f t="shared" si="5"/>
        <v>0</v>
      </c>
      <c r="K20" s="284"/>
      <c r="L20" s="321"/>
      <c r="M20" s="450">
        <f t="shared" si="4"/>
        <v>339174</v>
      </c>
      <c r="N20" s="450">
        <f t="shared" si="2"/>
        <v>397150</v>
      </c>
      <c r="O20" s="450">
        <f t="shared" si="3"/>
        <v>373336</v>
      </c>
      <c r="P20" s="47"/>
      <c r="Q20" s="47"/>
      <c r="R20" s="47"/>
      <c r="S20" s="47"/>
      <c r="T20" s="47"/>
      <c r="U20" s="47"/>
      <c r="V20" s="47"/>
    </row>
    <row r="21" spans="1:22" s="48" customFormat="1" ht="20.1" customHeight="1">
      <c r="A21" s="47"/>
      <c r="B21" s="47"/>
      <c r="C21" s="876" t="s">
        <v>20</v>
      </c>
      <c r="D21" s="311"/>
      <c r="E21" s="284"/>
      <c r="F21" s="321"/>
      <c r="G21" s="296">
        <v>1200</v>
      </c>
      <c r="H21" s="287">
        <v>1200</v>
      </c>
      <c r="I21" s="323">
        <v>1200</v>
      </c>
      <c r="J21" s="302"/>
      <c r="K21" s="287"/>
      <c r="L21" s="323"/>
      <c r="M21" s="450">
        <f t="shared" si="4"/>
        <v>1200</v>
      </c>
      <c r="N21" s="450">
        <f t="shared" si="2"/>
        <v>1200</v>
      </c>
      <c r="O21" s="450">
        <f t="shared" si="3"/>
        <v>1200</v>
      </c>
      <c r="P21" s="47"/>
      <c r="Q21" s="47"/>
      <c r="R21" s="47"/>
      <c r="S21" s="47"/>
      <c r="T21" s="47"/>
      <c r="U21" s="47"/>
      <c r="V21" s="47"/>
    </row>
    <row r="22" spans="1:22" s="48" customFormat="1" ht="20.1" customHeight="1">
      <c r="A22" s="47"/>
      <c r="B22" s="47"/>
      <c r="C22" s="875" t="s">
        <v>39</v>
      </c>
      <c r="D22" s="313">
        <f>40674+147300</f>
        <v>187974</v>
      </c>
      <c r="E22" s="287">
        <v>391634</v>
      </c>
      <c r="F22" s="323">
        <v>367820</v>
      </c>
      <c r="G22" s="296"/>
      <c r="H22" s="287"/>
      <c r="I22" s="323"/>
      <c r="J22" s="302"/>
      <c r="K22" s="287"/>
      <c r="L22" s="323"/>
      <c r="M22" s="450">
        <f t="shared" si="4"/>
        <v>187974</v>
      </c>
      <c r="N22" s="450">
        <f t="shared" si="2"/>
        <v>391634</v>
      </c>
      <c r="O22" s="450">
        <f t="shared" si="3"/>
        <v>367820</v>
      </c>
      <c r="P22" s="47"/>
      <c r="Q22" s="47"/>
      <c r="R22" s="47"/>
      <c r="S22" s="47"/>
      <c r="T22" s="47"/>
      <c r="U22" s="47"/>
      <c r="V22" s="47"/>
    </row>
    <row r="23" spans="1:22" s="53" customFormat="1" ht="20.1" customHeight="1">
      <c r="A23" s="52"/>
      <c r="B23" s="52"/>
      <c r="C23" s="875" t="s">
        <v>109</v>
      </c>
      <c r="D23" s="313">
        <f>SUM(D24:D25)</f>
        <v>150000</v>
      </c>
      <c r="E23" s="287">
        <f>SUM(E24:E25)</f>
        <v>4316</v>
      </c>
      <c r="F23" s="287">
        <f>SUM(F24:F25)</f>
        <v>4316</v>
      </c>
      <c r="G23" s="297">
        <f aca="true" t="shared" si="6" ref="G23:J23">SUM(G24:G24)</f>
        <v>0</v>
      </c>
      <c r="H23" s="288">
        <f t="shared" si="6"/>
        <v>0</v>
      </c>
      <c r="I23" s="324">
        <v>0</v>
      </c>
      <c r="J23" s="305">
        <f t="shared" si="6"/>
        <v>0</v>
      </c>
      <c r="K23" s="288"/>
      <c r="L23" s="324"/>
      <c r="M23" s="450">
        <f t="shared" si="4"/>
        <v>150000</v>
      </c>
      <c r="N23" s="450">
        <f t="shared" si="2"/>
        <v>4316</v>
      </c>
      <c r="O23" s="450">
        <f t="shared" si="3"/>
        <v>4316</v>
      </c>
      <c r="P23" s="52"/>
      <c r="Q23" s="52"/>
      <c r="R23" s="52"/>
      <c r="S23" s="52"/>
      <c r="T23" s="52"/>
      <c r="U23" s="52"/>
      <c r="V23" s="52"/>
    </row>
    <row r="24" spans="1:22" s="53" customFormat="1" ht="21.75" customHeight="1">
      <c r="A24" s="52"/>
      <c r="B24" s="52"/>
      <c r="C24" s="878" t="s">
        <v>41</v>
      </c>
      <c r="D24" s="314">
        <v>50000</v>
      </c>
      <c r="E24" s="288">
        <v>4316</v>
      </c>
      <c r="F24" s="324">
        <v>4316</v>
      </c>
      <c r="G24" s="297"/>
      <c r="H24" s="288"/>
      <c r="I24" s="324"/>
      <c r="J24" s="305"/>
      <c r="K24" s="288"/>
      <c r="L24" s="324"/>
      <c r="M24" s="450">
        <f t="shared" si="4"/>
        <v>50000</v>
      </c>
      <c r="N24" s="450">
        <f t="shared" si="2"/>
        <v>4316</v>
      </c>
      <c r="O24" s="450">
        <f t="shared" si="3"/>
        <v>4316</v>
      </c>
      <c r="P24" s="52"/>
      <c r="Q24" s="52"/>
      <c r="R24" s="52"/>
      <c r="S24" s="52"/>
      <c r="T24" s="52"/>
      <c r="U24" s="52"/>
      <c r="V24" s="52"/>
    </row>
    <row r="25" spans="1:22" s="53" customFormat="1" ht="21.75" customHeight="1">
      <c r="A25" s="52"/>
      <c r="B25" s="52"/>
      <c r="C25" s="879" t="s">
        <v>42</v>
      </c>
      <c r="D25" s="314">
        <f>200000-100000</f>
        <v>100000</v>
      </c>
      <c r="E25" s="288">
        <v>0</v>
      </c>
      <c r="F25" s="324">
        <v>0</v>
      </c>
      <c r="G25" s="297"/>
      <c r="H25" s="288"/>
      <c r="I25" s="324"/>
      <c r="J25" s="305"/>
      <c r="K25" s="288"/>
      <c r="L25" s="324"/>
      <c r="M25" s="450">
        <f t="shared" si="4"/>
        <v>100000</v>
      </c>
      <c r="N25" s="450">
        <f t="shared" si="2"/>
        <v>0</v>
      </c>
      <c r="O25" s="450">
        <f t="shared" si="3"/>
        <v>0</v>
      </c>
      <c r="P25" s="52"/>
      <c r="Q25" s="52"/>
      <c r="R25" s="52"/>
      <c r="S25" s="52"/>
      <c r="T25" s="52"/>
      <c r="U25" s="52"/>
      <c r="V25" s="52"/>
    </row>
    <row r="26" spans="3:22" s="48" customFormat="1" ht="20.1" customHeight="1">
      <c r="C26" s="872" t="s">
        <v>110</v>
      </c>
      <c r="D26" s="315">
        <f aca="true" t="shared" si="7" ref="D26:K26">SUM(D6+D7+D8+D9+D10+D18+D19+D20)</f>
        <v>2842269</v>
      </c>
      <c r="E26" s="473">
        <f t="shared" si="7"/>
        <v>2923894</v>
      </c>
      <c r="F26" s="473">
        <f>SUM(F6+F7+F8+F9+F10+F18+F19+F20)</f>
        <v>2854494</v>
      </c>
      <c r="G26" s="294">
        <f t="shared" si="7"/>
        <v>705914</v>
      </c>
      <c r="H26" s="284">
        <f>SUM(H6+H7+H8+H9+H10+H18+H19+H20)</f>
        <v>747188</v>
      </c>
      <c r="I26" s="284">
        <f>SUM(I6+I7+I8+I9+I10+I18+I19+I20)</f>
        <v>640087</v>
      </c>
      <c r="J26" s="302">
        <f t="shared" si="7"/>
        <v>1394788</v>
      </c>
      <c r="K26" s="284">
        <f t="shared" si="7"/>
        <v>1499304</v>
      </c>
      <c r="L26" s="284">
        <f>SUM(L6+L7+L8+L9+L10+L18+L19+L20)</f>
        <v>1459441</v>
      </c>
      <c r="M26" s="450">
        <f t="shared" si="4"/>
        <v>4942971</v>
      </c>
      <c r="N26" s="450">
        <f t="shared" si="2"/>
        <v>5170386</v>
      </c>
      <c r="O26" s="450">
        <f>SUM(F26+I26+L26)</f>
        <v>4954022</v>
      </c>
      <c r="P26" s="47"/>
      <c r="Q26" s="47"/>
      <c r="R26" s="47"/>
      <c r="S26" s="47"/>
      <c r="T26" s="47"/>
      <c r="U26" s="47"/>
      <c r="V26" s="47"/>
    </row>
    <row r="27" spans="3:22" s="48" customFormat="1" ht="20.1" customHeight="1">
      <c r="C27" s="872" t="s">
        <v>46</v>
      </c>
      <c r="D27" s="311">
        <v>73265</v>
      </c>
      <c r="E27" s="284">
        <v>73265</v>
      </c>
      <c r="F27" s="321">
        <v>70817</v>
      </c>
      <c r="G27" s="294"/>
      <c r="H27" s="284"/>
      <c r="I27" s="321"/>
      <c r="J27" s="302"/>
      <c r="K27" s="284"/>
      <c r="L27" s="321"/>
      <c r="M27" s="450">
        <f t="shared" si="4"/>
        <v>73265</v>
      </c>
      <c r="N27" s="450">
        <f t="shared" si="2"/>
        <v>73265</v>
      </c>
      <c r="O27" s="450">
        <f t="shared" si="3"/>
        <v>70817</v>
      </c>
      <c r="P27" s="47"/>
      <c r="Q27" s="47"/>
      <c r="R27" s="47"/>
      <c r="S27" s="47"/>
      <c r="T27" s="47"/>
      <c r="U27" s="47"/>
      <c r="V27" s="47"/>
    </row>
    <row r="28" spans="3:22" s="48" customFormat="1" ht="20.1" customHeight="1">
      <c r="C28" s="872" t="s">
        <v>686</v>
      </c>
      <c r="D28" s="311"/>
      <c r="E28" s="284">
        <v>41266</v>
      </c>
      <c r="F28" s="321">
        <v>41266</v>
      </c>
      <c r="G28" s="294"/>
      <c r="H28" s="284"/>
      <c r="I28" s="321"/>
      <c r="J28" s="302"/>
      <c r="K28" s="284"/>
      <c r="L28" s="321"/>
      <c r="M28" s="450">
        <f t="shared" si="4"/>
        <v>0</v>
      </c>
      <c r="N28" s="450">
        <f t="shared" si="2"/>
        <v>41266</v>
      </c>
      <c r="O28" s="450">
        <f t="shared" si="3"/>
        <v>41266</v>
      </c>
      <c r="P28" s="47"/>
      <c r="Q28" s="47"/>
      <c r="R28" s="47"/>
      <c r="S28" s="47"/>
      <c r="T28" s="47"/>
      <c r="U28" s="47"/>
      <c r="V28" s="47"/>
    </row>
    <row r="29" spans="3:22" s="48" customFormat="1" ht="20.1" customHeight="1">
      <c r="C29" s="872" t="s">
        <v>962</v>
      </c>
      <c r="D29" s="311"/>
      <c r="E29" s="284">
        <v>112898</v>
      </c>
      <c r="F29" s="321">
        <v>112898</v>
      </c>
      <c r="G29" s="294"/>
      <c r="H29" s="284"/>
      <c r="I29" s="321"/>
      <c r="J29" s="302"/>
      <c r="K29" s="284"/>
      <c r="L29" s="321"/>
      <c r="M29" s="450"/>
      <c r="N29" s="450">
        <f t="shared" si="2"/>
        <v>112898</v>
      </c>
      <c r="O29" s="450">
        <f t="shared" si="3"/>
        <v>112898</v>
      </c>
      <c r="P29" s="47"/>
      <c r="Q29" s="47"/>
      <c r="R29" s="47"/>
      <c r="S29" s="47"/>
      <c r="T29" s="47"/>
      <c r="U29" s="47"/>
      <c r="V29" s="47"/>
    </row>
    <row r="30" spans="3:15" s="41" customFormat="1" ht="25.5" customHeight="1">
      <c r="C30" s="872" t="s">
        <v>50</v>
      </c>
      <c r="D30" s="316">
        <v>1726718</v>
      </c>
      <c r="E30" s="292">
        <v>1779284</v>
      </c>
      <c r="F30" s="476">
        <v>1635781</v>
      </c>
      <c r="G30" s="298"/>
      <c r="H30" s="289"/>
      <c r="I30" s="320"/>
      <c r="J30" s="306"/>
      <c r="K30" s="289"/>
      <c r="L30" s="320"/>
      <c r="M30" s="450">
        <f>SUM(D30+G30+J30)</f>
        <v>1726718</v>
      </c>
      <c r="N30" s="450">
        <f t="shared" si="2"/>
        <v>1779284</v>
      </c>
      <c r="O30" s="450">
        <f t="shared" si="3"/>
        <v>1635781</v>
      </c>
    </row>
    <row r="31" spans="3:15" s="41" customFormat="1" ht="25.5" customHeight="1">
      <c r="C31" s="872" t="s">
        <v>687</v>
      </c>
      <c r="D31" s="317"/>
      <c r="E31" s="292">
        <v>1250000</v>
      </c>
      <c r="F31" s="476">
        <v>1250000</v>
      </c>
      <c r="G31" s="298"/>
      <c r="H31" s="289"/>
      <c r="I31" s="320"/>
      <c r="J31" s="306"/>
      <c r="K31" s="289"/>
      <c r="L31" s="320"/>
      <c r="M31" s="450">
        <f>SUM(D31+G31+J31)</f>
        <v>0</v>
      </c>
      <c r="N31" s="880">
        <f>SUM(E31)</f>
        <v>1250000</v>
      </c>
      <c r="O31" s="880">
        <f>SUM(F31)</f>
        <v>1250000</v>
      </c>
    </row>
    <row r="32" spans="3:15" s="41" customFormat="1" ht="25.5" customHeight="1">
      <c r="C32" s="872" t="s">
        <v>724</v>
      </c>
      <c r="D32" s="317"/>
      <c r="E32" s="292">
        <v>1070830</v>
      </c>
      <c r="F32" s="476">
        <v>1070830</v>
      </c>
      <c r="G32" s="298"/>
      <c r="H32" s="289"/>
      <c r="I32" s="320"/>
      <c r="J32" s="306"/>
      <c r="K32" s="289"/>
      <c r="L32" s="320"/>
      <c r="M32" s="450">
        <f>SUM(D32+G32+J32)</f>
        <v>0</v>
      </c>
      <c r="N32" s="880">
        <f>SUM(E32)</f>
        <v>1070830</v>
      </c>
      <c r="O32" s="880">
        <f>SUM(F32)</f>
        <v>1070830</v>
      </c>
    </row>
    <row r="33" spans="3:15" s="41" customFormat="1" ht="25.5" customHeight="1">
      <c r="C33" s="872" t="s">
        <v>111</v>
      </c>
      <c r="D33" s="318">
        <f aca="true" t="shared" si="8" ref="D33">(D30+D27)</f>
        <v>1799983</v>
      </c>
      <c r="E33" s="474">
        <f>(E27+E28+E29+E30+E31+E32)</f>
        <v>4327543</v>
      </c>
      <c r="F33" s="474">
        <f aca="true" t="shared" si="9" ref="F33:L33">(F27+F28+F29+F30+F31+F32)</f>
        <v>4181592</v>
      </c>
      <c r="G33" s="299">
        <f t="shared" si="9"/>
        <v>0</v>
      </c>
      <c r="H33" s="290">
        <f t="shared" si="9"/>
        <v>0</v>
      </c>
      <c r="I33" s="290">
        <f t="shared" si="9"/>
        <v>0</v>
      </c>
      <c r="J33" s="307">
        <f t="shared" si="9"/>
        <v>0</v>
      </c>
      <c r="K33" s="290">
        <f t="shared" si="9"/>
        <v>0</v>
      </c>
      <c r="L33" s="325">
        <f t="shared" si="9"/>
        <v>0</v>
      </c>
      <c r="M33" s="450">
        <f>(M30+M27)</f>
        <v>1799983</v>
      </c>
      <c r="N33" s="450">
        <f>(N32+N31+N30+N27+N28+N29)</f>
        <v>4327543</v>
      </c>
      <c r="O33" s="450">
        <f>(O32+O31+O30+O27+O28+O29)</f>
        <v>4181592</v>
      </c>
    </row>
    <row r="34" spans="3:22" ht="25.5" customHeight="1" thickBot="1">
      <c r="C34" s="881" t="s">
        <v>54</v>
      </c>
      <c r="D34" s="319">
        <f aca="true" t="shared" si="10" ref="D34:M34">SUM(D26+D33)</f>
        <v>4642252</v>
      </c>
      <c r="E34" s="291">
        <f t="shared" si="10"/>
        <v>7251437</v>
      </c>
      <c r="F34" s="291">
        <f t="shared" si="10"/>
        <v>7036086</v>
      </c>
      <c r="G34" s="300">
        <f t="shared" si="10"/>
        <v>705914</v>
      </c>
      <c r="H34" s="291">
        <f t="shared" si="10"/>
        <v>747188</v>
      </c>
      <c r="I34" s="291">
        <f t="shared" si="10"/>
        <v>640087</v>
      </c>
      <c r="J34" s="308">
        <f t="shared" si="10"/>
        <v>1394788</v>
      </c>
      <c r="K34" s="291">
        <f aca="true" t="shared" si="11" ref="K34:L34">SUM(K26+K33)</f>
        <v>1499304</v>
      </c>
      <c r="L34" s="291">
        <f t="shared" si="11"/>
        <v>1459441</v>
      </c>
      <c r="M34" s="54">
        <f t="shared" si="10"/>
        <v>6742954</v>
      </c>
      <c r="N34" s="54">
        <f>SUM(N26+N33)</f>
        <v>9497929</v>
      </c>
      <c r="O34" s="54">
        <f>SUM(O26+O33)</f>
        <v>9135614</v>
      </c>
      <c r="P34" s="41"/>
      <c r="Q34" s="41"/>
      <c r="R34" s="41"/>
      <c r="S34" s="41"/>
      <c r="T34" s="41"/>
      <c r="U34" s="41"/>
      <c r="V34" s="41"/>
    </row>
    <row r="36" spans="3:11" ht="25.5" customHeight="1">
      <c r="C36" s="1035" t="s">
        <v>1139</v>
      </c>
      <c r="D36" s="1035"/>
      <c r="E36" s="1035"/>
      <c r="F36" s="1035"/>
      <c r="G36" s="1035"/>
      <c r="H36" s="1035"/>
      <c r="I36" s="1035"/>
      <c r="J36" s="1035"/>
      <c r="K36" s="1033"/>
    </row>
    <row r="37" spans="3:11" ht="25.5" customHeight="1">
      <c r="C37" s="1035" t="s">
        <v>1140</v>
      </c>
      <c r="D37" s="1035"/>
      <c r="E37" s="1035"/>
      <c r="F37" s="1035"/>
      <c r="G37" s="1035"/>
      <c r="H37" s="1035"/>
      <c r="I37" s="1035"/>
      <c r="J37" s="1035"/>
      <c r="K37" s="1035"/>
    </row>
    <row r="38" spans="3:11" ht="25.5" customHeight="1">
      <c r="C38" s="1035" t="s">
        <v>1141</v>
      </c>
      <c r="D38" s="1035"/>
      <c r="E38" s="1035"/>
      <c r="F38" s="1035"/>
      <c r="G38" s="1035"/>
      <c r="H38" s="1035"/>
      <c r="I38" s="1035"/>
      <c r="J38" s="1035"/>
      <c r="K38" s="1035"/>
    </row>
    <row r="39" spans="3:11" ht="25.5" customHeight="1">
      <c r="C39" s="1035" t="s">
        <v>1142</v>
      </c>
      <c r="D39" s="1035"/>
      <c r="E39" s="1035"/>
      <c r="F39" s="1035"/>
      <c r="G39" s="1035"/>
      <c r="H39" s="1035"/>
      <c r="I39" s="1035"/>
      <c r="J39" s="1035"/>
      <c r="K39" s="1035"/>
    </row>
  </sheetData>
  <sheetProtection selectLockedCells="1" selectUnlockedCells="1"/>
  <mergeCells count="11">
    <mergeCell ref="C1:P1"/>
    <mergeCell ref="C4:C5"/>
    <mergeCell ref="D4:F4"/>
    <mergeCell ref="G4:I4"/>
    <mergeCell ref="J4:L4"/>
    <mergeCell ref="M4:O4"/>
    <mergeCell ref="C36:J36"/>
    <mergeCell ref="C37:K37"/>
    <mergeCell ref="C38:K38"/>
    <mergeCell ref="C39:K39"/>
    <mergeCell ref="C2:P2"/>
  </mergeCells>
  <printOptions horizontalCentered="1"/>
  <pageMargins left="0.3937007874015748" right="0" top="1.0236220472440944" bottom="0.31496062992125984" header="0.6692913385826772" footer="0.5118110236220472"/>
  <pageSetup fitToHeight="1" fitToWidth="1" horizontalDpi="300" verticalDpi="300" orientation="landscape" paperSize="9" scale="56" r:id="rId1"/>
  <headerFooter alignWithMargins="0">
    <oddHeader>&amp;L&amp;11 4. melléklet a 1/2017.(II.24.) önkormányzati rendelethez
 4. melléklet a 29/2015.(XII.18.)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407"/>
  <sheetViews>
    <sheetView view="pageBreakPreview" zoomScale="41" zoomScaleSheetLayoutView="41" workbookViewId="0" topLeftCell="A334">
      <selection activeCell="A404" sqref="A404:I407"/>
    </sheetView>
  </sheetViews>
  <sheetFormatPr defaultColWidth="9.00390625" defaultRowHeight="12.75"/>
  <cols>
    <col min="1" max="1" width="23.875" style="892" customWidth="1"/>
    <col min="2" max="2" width="12.25390625" style="892" customWidth="1"/>
    <col min="3" max="3" width="63.375" style="893" customWidth="1"/>
    <col min="4" max="4" width="20.125" style="892" customWidth="1"/>
    <col min="5" max="5" width="18.125" style="892" customWidth="1"/>
    <col min="6" max="6" width="15.875" style="892" bestFit="1" customWidth="1"/>
    <col min="7" max="7" width="19.00390625" style="892" customWidth="1"/>
    <col min="8" max="8" width="14.875" style="892" customWidth="1"/>
    <col min="9" max="9" width="15.375" style="892" customWidth="1"/>
    <col min="10" max="10" width="19.25390625" style="892" customWidth="1"/>
    <col min="11" max="11" width="16.75390625" style="892" customWidth="1"/>
    <col min="12" max="12" width="18.25390625" style="892" customWidth="1"/>
    <col min="13" max="13" width="15.00390625" style="892" customWidth="1"/>
    <col min="14" max="14" width="15.75390625" style="892" customWidth="1"/>
    <col min="15" max="15" width="21.25390625" style="892" customWidth="1"/>
    <col min="16" max="16" width="21.00390625" style="892" customWidth="1"/>
    <col min="17" max="17" width="16.875" style="892" customWidth="1"/>
    <col min="18" max="18" width="22.00390625" style="892" customWidth="1"/>
    <col min="19" max="19" width="16.25390625" style="892" customWidth="1"/>
    <col min="20" max="16384" width="9.125" style="892" customWidth="1"/>
  </cols>
  <sheetData>
    <row r="1" spans="4:19" ht="20.25" hidden="1">
      <c r="D1" s="946" t="s">
        <v>4</v>
      </c>
      <c r="E1" s="909">
        <f>(E10+E15+E21+E26+E31+E36+E42+E47+E53+E58+E63+E69+E74+E79+E84+E89+E94+E99+E110+E115+E120+E126+E131+E136+E141+E146+E151++E156+E161+E166+E171+E176+E181+E186+E191+E196+E202+E207+E212+E217+E222+E227+E232+E237+E243+E248+E253+E258+E263+E268+E273+E278+E283+E288+E293+E299)</f>
        <v>4642252</v>
      </c>
      <c r="F1" s="909">
        <f aca="true" t="shared" si="0" ref="F1:S1">(F10+F15+F21+F26+F31+F36+F42+F47+F53+F58+F63+F69+F74+F79+F84+F89+F94+F99+F110+F115+F120+F126+F131+F136+F141+F146+F151++F156+F161+F166+F171+F176+F181+F186+F191+F196+F202+F207+F212+F217+F222+F227+F232+F237+F243+F248+F253+F258+F263+F268+F273+F278+F283+F288+F293+F299)</f>
        <v>4642252</v>
      </c>
      <c r="G1" s="909">
        <f t="shared" si="0"/>
        <v>226085</v>
      </c>
      <c r="H1" s="909">
        <f t="shared" si="0"/>
        <v>55909</v>
      </c>
      <c r="I1" s="909">
        <f t="shared" si="0"/>
        <v>909023</v>
      </c>
      <c r="J1" s="909">
        <f t="shared" si="0"/>
        <v>834630</v>
      </c>
      <c r="K1" s="909">
        <f t="shared" si="0"/>
        <v>71950</v>
      </c>
      <c r="L1" s="909">
        <f t="shared" si="0"/>
        <v>146800</v>
      </c>
      <c r="M1" s="909">
        <f t="shared" si="0"/>
        <v>114633</v>
      </c>
      <c r="N1" s="909">
        <f t="shared" si="0"/>
        <v>143265</v>
      </c>
      <c r="O1" s="909">
        <f t="shared" si="0"/>
        <v>187974</v>
      </c>
      <c r="P1" s="909">
        <f t="shared" si="0"/>
        <v>150000</v>
      </c>
      <c r="Q1" s="909">
        <f t="shared" si="0"/>
        <v>75265</v>
      </c>
      <c r="R1" s="909">
        <f t="shared" si="0"/>
        <v>1726718</v>
      </c>
      <c r="S1" s="909">
        <f t="shared" si="0"/>
        <v>0</v>
      </c>
    </row>
    <row r="2" spans="4:19" ht="20.25" hidden="1">
      <c r="D2" s="905" t="s">
        <v>861</v>
      </c>
      <c r="E2" s="909">
        <f>(E11+E17+E22+E27+E32+E38+E43+E49+E54+E59+E65+E70+E75+E80+E85+E90+E95+E101+E111+E116+E122+E127+E132+E137+E142+E147+E152+E157+E162+E167+E172+E177+E182+E187+E192+E198+E203+E208+E213+E218+E223+E228+E233+E239+E244+E249+E254+E259+E264+E269+E274++E279+E284+E289+E295+E300+E306+E311+E316+E321+E326+E332+E338+E344+E350+E355+E360+E365+E370+E375+E106)</f>
        <v>7251437</v>
      </c>
      <c r="F2" s="909">
        <f aca="true" t="shared" si="1" ref="F2:S2">(F11+F17+F22+F27+F32+F38+F43+F49+F54+F59+F65+F70+F75+F80+F85+F90+F95+F101+F111+F116+F122+F127+F132+F137+F142+F147+F152+F157+F162+F167+F172+F177+F182+F187+F192+F198+F203+F208+F213+F218+F223+F228+F233+F239+F244+F249+F254+F259+F264+F269+F274++F279+F284+F289+F295+F300+F306+F311+F316+F321+F326+F332+F338+F344+F350+F355+F360+F365+F370+F375+F106)</f>
        <v>7251437</v>
      </c>
      <c r="G2" s="909">
        <f t="shared" si="1"/>
        <v>238770</v>
      </c>
      <c r="H2" s="909">
        <f t="shared" si="1"/>
        <v>58805</v>
      </c>
      <c r="I2" s="909">
        <f t="shared" si="1"/>
        <v>848848</v>
      </c>
      <c r="J2" s="909">
        <f t="shared" si="1"/>
        <v>929534</v>
      </c>
      <c r="K2" s="909">
        <f t="shared" si="1"/>
        <v>74610</v>
      </c>
      <c r="L2" s="909">
        <f t="shared" si="1"/>
        <v>5733</v>
      </c>
      <c r="M2" s="909">
        <f t="shared" si="1"/>
        <v>156455</v>
      </c>
      <c r="N2" s="909">
        <f t="shared" si="1"/>
        <v>215189</v>
      </c>
      <c r="O2" s="909">
        <f t="shared" si="1"/>
        <v>391634</v>
      </c>
      <c r="P2" s="909">
        <f t="shared" si="1"/>
        <v>4316</v>
      </c>
      <c r="Q2" s="909">
        <f t="shared" si="1"/>
        <v>577429</v>
      </c>
      <c r="R2" s="909">
        <f t="shared" si="1"/>
        <v>1779284</v>
      </c>
      <c r="S2" s="909">
        <f t="shared" si="1"/>
        <v>1970830</v>
      </c>
    </row>
    <row r="3" spans="3:19" ht="21.75" customHeight="1" hidden="1">
      <c r="C3" s="894">
        <f>E4-F4</f>
        <v>0</v>
      </c>
      <c r="D3" s="905" t="s">
        <v>1069</v>
      </c>
      <c r="E3" s="909">
        <f aca="true" t="shared" si="2" ref="E3:S4">(E12+E18+E23+E28+E33+E39+E44+E50+E55+E60+E66+E71+E76+E81+E86+E91+E96+E102+E112+E117+E123+E128+E133+E138+E143+E148+E153+E158+E163+E168+E173+E178+E183+E188+E193+E199+E204+E209+E214+E219+E224+E229+E234+E240+E245+E250+E255+E260+E265+E270+E275++E280+E285+E290+E296+E301+E307+E312+E317+E322+E327+E333+E339+E345+E351+E356+E361+E366+E371+E376+E107)</f>
        <v>6442338</v>
      </c>
      <c r="F3" s="909">
        <f t="shared" si="2"/>
        <v>6656240</v>
      </c>
      <c r="G3" s="909">
        <f t="shared" si="2"/>
        <v>177402</v>
      </c>
      <c r="H3" s="909">
        <f t="shared" si="2"/>
        <v>46772</v>
      </c>
      <c r="I3" s="909">
        <f t="shared" si="2"/>
        <v>641272</v>
      </c>
      <c r="J3" s="909">
        <f t="shared" si="2"/>
        <v>944391</v>
      </c>
      <c r="K3" s="909">
        <f t="shared" si="2"/>
        <v>70407</v>
      </c>
      <c r="L3" s="909">
        <f t="shared" si="2"/>
        <v>0</v>
      </c>
      <c r="M3" s="909">
        <f t="shared" si="2"/>
        <v>120022</v>
      </c>
      <c r="N3" s="909">
        <f t="shared" si="2"/>
        <v>185375</v>
      </c>
      <c r="O3" s="909">
        <f t="shared" si="2"/>
        <v>347786</v>
      </c>
      <c r="P3" s="909">
        <f t="shared" si="2"/>
        <v>0</v>
      </c>
      <c r="Q3" s="909">
        <f t="shared" si="2"/>
        <v>224979</v>
      </c>
      <c r="R3" s="909">
        <f t="shared" si="2"/>
        <v>1577004</v>
      </c>
      <c r="S3" s="909">
        <f t="shared" si="2"/>
        <v>2320830</v>
      </c>
    </row>
    <row r="4" spans="4:19" ht="34.5" customHeight="1" hidden="1">
      <c r="D4" s="905" t="s">
        <v>1070</v>
      </c>
      <c r="E4" s="909">
        <f t="shared" si="2"/>
        <v>7036086</v>
      </c>
      <c r="F4" s="909">
        <f t="shared" si="2"/>
        <v>7036086</v>
      </c>
      <c r="G4" s="909">
        <f t="shared" si="2"/>
        <v>188044</v>
      </c>
      <c r="H4" s="909">
        <f t="shared" si="2"/>
        <v>53111</v>
      </c>
      <c r="I4" s="909">
        <f t="shared" si="2"/>
        <v>730404</v>
      </c>
      <c r="J4" s="909">
        <f t="shared" si="2"/>
        <v>951740</v>
      </c>
      <c r="K4" s="909">
        <f t="shared" si="2"/>
        <v>75865</v>
      </c>
      <c r="L4" s="909">
        <f t="shared" si="2"/>
        <v>3835</v>
      </c>
      <c r="M4" s="909">
        <f t="shared" si="2"/>
        <v>146065</v>
      </c>
      <c r="N4" s="909">
        <f t="shared" si="2"/>
        <v>333294</v>
      </c>
      <c r="O4" s="909">
        <f t="shared" si="2"/>
        <v>367820</v>
      </c>
      <c r="P4" s="909">
        <f t="shared" si="2"/>
        <v>4316</v>
      </c>
      <c r="Q4" s="909">
        <f t="shared" si="2"/>
        <v>224981</v>
      </c>
      <c r="R4" s="909">
        <f t="shared" si="2"/>
        <v>1635781</v>
      </c>
      <c r="S4" s="909">
        <f t="shared" si="2"/>
        <v>2320830</v>
      </c>
    </row>
    <row r="5" spans="1:19" ht="25.5" customHeight="1">
      <c r="A5" s="895"/>
      <c r="B5" s="1088" t="s">
        <v>580</v>
      </c>
      <c r="C5" s="1088"/>
      <c r="D5" s="1088"/>
      <c r="E5" s="1088"/>
      <c r="F5" s="1088"/>
      <c r="G5" s="1088"/>
      <c r="H5" s="1088"/>
      <c r="I5" s="1088"/>
      <c r="J5" s="1088"/>
      <c r="K5" s="1088"/>
      <c r="L5" s="1088"/>
      <c r="M5" s="1088"/>
      <c r="N5" s="1088"/>
      <c r="O5" s="1088"/>
      <c r="P5" s="1088"/>
      <c r="Q5" s="1088"/>
      <c r="R5" s="1088"/>
      <c r="S5" s="1088"/>
    </row>
    <row r="6" spans="1:19" ht="32.25" customHeight="1">
      <c r="A6" s="895"/>
      <c r="B6" s="895"/>
      <c r="C6" s="896"/>
      <c r="D6" s="895"/>
      <c r="E6" s="895"/>
      <c r="F6" s="895"/>
      <c r="G6" s="895"/>
      <c r="H6" s="895"/>
      <c r="I6" s="895"/>
      <c r="J6" s="895"/>
      <c r="K6" s="895"/>
      <c r="L6" s="895"/>
      <c r="M6" s="895"/>
      <c r="N6" s="910"/>
      <c r="O6" s="911"/>
      <c r="P6" s="911"/>
      <c r="Q6" s="911"/>
      <c r="R6" s="911"/>
      <c r="S6" s="912"/>
    </row>
    <row r="7" spans="1:19" ht="20.25" customHeight="1">
      <c r="A7" s="1089" t="s">
        <v>3</v>
      </c>
      <c r="B7" s="1089"/>
      <c r="C7" s="1089"/>
      <c r="D7" s="1089"/>
      <c r="E7" s="1090" t="s">
        <v>112</v>
      </c>
      <c r="F7" s="1090" t="s">
        <v>113</v>
      </c>
      <c r="G7" s="1090" t="s">
        <v>114</v>
      </c>
      <c r="H7" s="1090"/>
      <c r="I7" s="1090"/>
      <c r="J7" s="1090"/>
      <c r="K7" s="1090"/>
      <c r="L7" s="1090"/>
      <c r="M7" s="1090" t="s">
        <v>115</v>
      </c>
      <c r="N7" s="1090"/>
      <c r="O7" s="1090"/>
      <c r="P7" s="1090"/>
      <c r="Q7" s="1090" t="s">
        <v>67</v>
      </c>
      <c r="R7" s="1090"/>
      <c r="S7" s="1087" t="s">
        <v>581</v>
      </c>
    </row>
    <row r="8" spans="1:19" ht="12.75" customHeight="1">
      <c r="A8" s="1089"/>
      <c r="B8" s="1089"/>
      <c r="C8" s="1089"/>
      <c r="D8" s="1089"/>
      <c r="E8" s="1090"/>
      <c r="F8" s="1090"/>
      <c r="G8" s="1086" t="s">
        <v>7</v>
      </c>
      <c r="H8" s="1086" t="s">
        <v>129</v>
      </c>
      <c r="I8" s="1086" t="s">
        <v>116</v>
      </c>
      <c r="J8" s="1086" t="s">
        <v>57</v>
      </c>
      <c r="K8" s="1086" t="s">
        <v>117</v>
      </c>
      <c r="L8" s="1086" t="s">
        <v>23</v>
      </c>
      <c r="M8" s="1090" t="s">
        <v>72</v>
      </c>
      <c r="N8" s="1090" t="s">
        <v>70</v>
      </c>
      <c r="O8" s="1086" t="s">
        <v>37</v>
      </c>
      <c r="P8" s="1087" t="s">
        <v>40</v>
      </c>
      <c r="Q8" s="1087" t="s">
        <v>118</v>
      </c>
      <c r="R8" s="1086" t="s">
        <v>119</v>
      </c>
      <c r="S8" s="1087"/>
    </row>
    <row r="9" spans="1:19" ht="69.75" customHeight="1">
      <c r="A9" s="1089"/>
      <c r="B9" s="1089"/>
      <c r="C9" s="1089"/>
      <c r="D9" s="1089"/>
      <c r="E9" s="1090"/>
      <c r="F9" s="1090"/>
      <c r="G9" s="1086"/>
      <c r="H9" s="1086"/>
      <c r="I9" s="1086"/>
      <c r="J9" s="1086"/>
      <c r="K9" s="1086"/>
      <c r="L9" s="1086"/>
      <c r="M9" s="1090"/>
      <c r="N9" s="1090"/>
      <c r="O9" s="1086"/>
      <c r="P9" s="1087"/>
      <c r="Q9" s="1087"/>
      <c r="R9" s="1086"/>
      <c r="S9" s="1087"/>
    </row>
    <row r="10" spans="1:19" ht="60.75">
      <c r="A10" s="888" t="s">
        <v>120</v>
      </c>
      <c r="B10" s="242" t="s">
        <v>582</v>
      </c>
      <c r="C10" s="897" t="s">
        <v>583</v>
      </c>
      <c r="D10" s="905" t="s">
        <v>4</v>
      </c>
      <c r="E10" s="909">
        <v>250000</v>
      </c>
      <c r="F10" s="909">
        <f aca="true" t="shared" si="3" ref="F10:F13">G10+H10+I10+J10+K10+L10+M10+N10+O10+P10+Q10+R10+S10</f>
        <v>0</v>
      </c>
      <c r="G10" s="913"/>
      <c r="H10" s="913"/>
      <c r="I10" s="913"/>
      <c r="J10" s="913"/>
      <c r="K10" s="913"/>
      <c r="L10" s="913"/>
      <c r="M10" s="913"/>
      <c r="N10" s="913"/>
      <c r="O10" s="913"/>
      <c r="P10" s="913"/>
      <c r="Q10" s="913"/>
      <c r="R10" s="888"/>
      <c r="S10" s="913"/>
    </row>
    <row r="11" spans="1:19" ht="20.25">
      <c r="A11" s="888"/>
      <c r="B11" s="242"/>
      <c r="C11" s="897"/>
      <c r="D11" s="905" t="s">
        <v>861</v>
      </c>
      <c r="E11" s="909">
        <v>0</v>
      </c>
      <c r="F11" s="909">
        <f t="shared" si="3"/>
        <v>0</v>
      </c>
      <c r="G11" s="913"/>
      <c r="H11" s="913"/>
      <c r="I11" s="913"/>
      <c r="J11" s="913"/>
      <c r="K11" s="913"/>
      <c r="L11" s="913"/>
      <c r="M11" s="913"/>
      <c r="N11" s="913"/>
      <c r="O11" s="913"/>
      <c r="P11" s="913"/>
      <c r="Q11" s="913"/>
      <c r="R11" s="888"/>
      <c r="S11" s="913"/>
    </row>
    <row r="12" spans="1:19" ht="20.25" hidden="1">
      <c r="A12" s="888"/>
      <c r="B12" s="242"/>
      <c r="C12" s="897"/>
      <c r="D12" s="905" t="s">
        <v>1071</v>
      </c>
      <c r="E12" s="909">
        <v>0</v>
      </c>
      <c r="F12" s="909">
        <f t="shared" si="3"/>
        <v>0</v>
      </c>
      <c r="G12" s="913"/>
      <c r="H12" s="913"/>
      <c r="I12" s="913"/>
      <c r="J12" s="913"/>
      <c r="K12" s="913"/>
      <c r="L12" s="913"/>
      <c r="M12" s="913"/>
      <c r="N12" s="913"/>
      <c r="O12" s="913"/>
      <c r="P12" s="913"/>
      <c r="Q12" s="913"/>
      <c r="R12" s="888"/>
      <c r="S12" s="913"/>
    </row>
    <row r="13" spans="1:19" ht="20.25">
      <c r="A13" s="888"/>
      <c r="B13" s="242"/>
      <c r="C13" s="897"/>
      <c r="D13" s="905" t="s">
        <v>1072</v>
      </c>
      <c r="E13" s="909">
        <v>0</v>
      </c>
      <c r="F13" s="909">
        <f t="shared" si="3"/>
        <v>0</v>
      </c>
      <c r="G13" s="913">
        <f aca="true" t="shared" si="4" ref="G13:S13">G11</f>
        <v>0</v>
      </c>
      <c r="H13" s="913">
        <f t="shared" si="4"/>
        <v>0</v>
      </c>
      <c r="I13" s="913">
        <f t="shared" si="4"/>
        <v>0</v>
      </c>
      <c r="J13" s="913">
        <f t="shared" si="4"/>
        <v>0</v>
      </c>
      <c r="K13" s="913">
        <f t="shared" si="4"/>
        <v>0</v>
      </c>
      <c r="L13" s="913">
        <f t="shared" si="4"/>
        <v>0</v>
      </c>
      <c r="M13" s="913">
        <f t="shared" si="4"/>
        <v>0</v>
      </c>
      <c r="N13" s="913">
        <f t="shared" si="4"/>
        <v>0</v>
      </c>
      <c r="O13" s="913">
        <f t="shared" si="4"/>
        <v>0</v>
      </c>
      <c r="P13" s="913">
        <f t="shared" si="4"/>
        <v>0</v>
      </c>
      <c r="Q13" s="913">
        <f t="shared" si="4"/>
        <v>0</v>
      </c>
      <c r="R13" s="888">
        <f t="shared" si="4"/>
        <v>0</v>
      </c>
      <c r="S13" s="913">
        <f t="shared" si="4"/>
        <v>0</v>
      </c>
    </row>
    <row r="14" spans="1:19" ht="20.25" hidden="1">
      <c r="A14" s="888"/>
      <c r="B14" s="242"/>
      <c r="C14" s="897"/>
      <c r="D14" s="905" t="s">
        <v>1073</v>
      </c>
      <c r="E14" s="913">
        <f aca="true" t="shared" si="5" ref="E14:F14">E13-E12</f>
        <v>0</v>
      </c>
      <c r="F14" s="913">
        <f t="shared" si="5"/>
        <v>0</v>
      </c>
      <c r="G14" s="913">
        <f>G13-G12</f>
        <v>0</v>
      </c>
      <c r="H14" s="913">
        <f aca="true" t="shared" si="6" ref="H14:S14">H13-H12</f>
        <v>0</v>
      </c>
      <c r="I14" s="913">
        <f t="shared" si="6"/>
        <v>0</v>
      </c>
      <c r="J14" s="913">
        <f t="shared" si="6"/>
        <v>0</v>
      </c>
      <c r="K14" s="913">
        <f t="shared" si="6"/>
        <v>0</v>
      </c>
      <c r="L14" s="913">
        <f t="shared" si="6"/>
        <v>0</v>
      </c>
      <c r="M14" s="913">
        <f t="shared" si="6"/>
        <v>0</v>
      </c>
      <c r="N14" s="913">
        <f t="shared" si="6"/>
        <v>0</v>
      </c>
      <c r="O14" s="913">
        <f t="shared" si="6"/>
        <v>0</v>
      </c>
      <c r="P14" s="913">
        <f t="shared" si="6"/>
        <v>0</v>
      </c>
      <c r="Q14" s="913">
        <f t="shared" si="6"/>
        <v>0</v>
      </c>
      <c r="R14" s="913">
        <f t="shared" si="6"/>
        <v>0</v>
      </c>
      <c r="S14" s="913">
        <f t="shared" si="6"/>
        <v>0</v>
      </c>
    </row>
    <row r="15" spans="1:19" ht="40.5">
      <c r="A15" s="888" t="s">
        <v>120</v>
      </c>
      <c r="B15" s="242" t="s">
        <v>582</v>
      </c>
      <c r="C15" s="897" t="s">
        <v>584</v>
      </c>
      <c r="D15" s="905" t="s">
        <v>4</v>
      </c>
      <c r="E15" s="909">
        <v>16752</v>
      </c>
      <c r="F15" s="909">
        <f aca="true" t="shared" si="7" ref="F15:F126">G15+H15+I15+J15+K15+L15+M15+N15+O15+P15+Q15+R15+S15</f>
        <v>612497</v>
      </c>
      <c r="G15" s="913">
        <v>57602</v>
      </c>
      <c r="H15" s="913">
        <v>19507</v>
      </c>
      <c r="I15" s="913">
        <v>215053</v>
      </c>
      <c r="J15" s="913">
        <v>319700</v>
      </c>
      <c r="K15" s="913"/>
      <c r="L15" s="913"/>
      <c r="M15" s="913"/>
      <c r="N15" s="913">
        <v>635</v>
      </c>
      <c r="O15" s="913"/>
      <c r="P15" s="913"/>
      <c r="Q15" s="913"/>
      <c r="R15" s="888"/>
      <c r="S15" s="913"/>
    </row>
    <row r="16" spans="1:19" ht="20.25" hidden="1">
      <c r="A16" s="888"/>
      <c r="B16" s="242"/>
      <c r="C16" s="897"/>
      <c r="D16" s="905" t="s">
        <v>859</v>
      </c>
      <c r="E16" s="909">
        <v>61990</v>
      </c>
      <c r="F16" s="909">
        <f t="shared" si="7"/>
        <v>267622</v>
      </c>
      <c r="G16" s="913">
        <v>59176</v>
      </c>
      <c r="H16" s="913">
        <v>20369</v>
      </c>
      <c r="I16" s="913">
        <v>177798</v>
      </c>
      <c r="J16" s="913">
        <v>9644</v>
      </c>
      <c r="K16" s="913"/>
      <c r="L16" s="913"/>
      <c r="M16" s="913"/>
      <c r="N16" s="913">
        <v>635</v>
      </c>
      <c r="O16" s="913"/>
      <c r="P16" s="913"/>
      <c r="Q16" s="913"/>
      <c r="R16" s="888"/>
      <c r="S16" s="913"/>
    </row>
    <row r="17" spans="1:19" ht="20.25">
      <c r="A17" s="888"/>
      <c r="B17" s="242"/>
      <c r="C17" s="897"/>
      <c r="D17" s="905" t="s">
        <v>861</v>
      </c>
      <c r="E17" s="909">
        <f>E16+4004</f>
        <v>65994</v>
      </c>
      <c r="F17" s="909">
        <f t="shared" si="7"/>
        <v>242540</v>
      </c>
      <c r="G17" s="913">
        <f>G16+1440</f>
        <v>60616</v>
      </c>
      <c r="H17" s="913">
        <f>H16+329</f>
        <v>20698</v>
      </c>
      <c r="I17" s="913">
        <f>I16-18106</f>
        <v>159692</v>
      </c>
      <c r="J17" s="913">
        <f>J16-8769</f>
        <v>875</v>
      </c>
      <c r="K17" s="913"/>
      <c r="L17" s="913"/>
      <c r="M17" s="913">
        <v>499</v>
      </c>
      <c r="N17" s="913">
        <f>N16-475</f>
        <v>160</v>
      </c>
      <c r="O17" s="913"/>
      <c r="P17" s="913"/>
      <c r="Q17" s="913"/>
      <c r="R17" s="888"/>
      <c r="S17" s="913"/>
    </row>
    <row r="18" spans="1:19" ht="20.25" hidden="1">
      <c r="A18" s="888"/>
      <c r="B18" s="242"/>
      <c r="C18" s="897"/>
      <c r="D18" s="905" t="s">
        <v>1071</v>
      </c>
      <c r="E18" s="909">
        <v>58638</v>
      </c>
      <c r="F18" s="909">
        <f t="shared" si="7"/>
        <v>146159</v>
      </c>
      <c r="G18" s="913">
        <v>56860</v>
      </c>
      <c r="H18" s="913">
        <v>18701</v>
      </c>
      <c r="I18" s="913">
        <v>69625</v>
      </c>
      <c r="J18" s="913">
        <v>415</v>
      </c>
      <c r="K18" s="913"/>
      <c r="L18" s="913"/>
      <c r="M18" s="913">
        <v>499</v>
      </c>
      <c r="N18" s="913">
        <v>59</v>
      </c>
      <c r="O18" s="913"/>
      <c r="P18" s="913"/>
      <c r="Q18" s="913"/>
      <c r="R18" s="888"/>
      <c r="S18" s="913"/>
    </row>
    <row r="19" spans="1:19" ht="20.25">
      <c r="A19" s="888"/>
      <c r="B19" s="242"/>
      <c r="C19" s="897"/>
      <c r="D19" s="905" t="s">
        <v>1072</v>
      </c>
      <c r="E19" s="909">
        <f>E17+129+157</f>
        <v>66280</v>
      </c>
      <c r="F19" s="909">
        <f t="shared" si="7"/>
        <v>160342</v>
      </c>
      <c r="G19" s="913">
        <f>G17-1560+30+224</f>
        <v>59310</v>
      </c>
      <c r="H19" s="913">
        <f>H17</f>
        <v>20698</v>
      </c>
      <c r="I19" s="913">
        <f>I17-68-80000+68-250-224+42</f>
        <v>79260</v>
      </c>
      <c r="J19" s="913">
        <f>J17-460</f>
        <v>415</v>
      </c>
      <c r="K19" s="913">
        <f>K17</f>
        <v>0</v>
      </c>
      <c r="L19" s="913">
        <f aca="true" t="shared" si="8" ref="L19:S19">L17</f>
        <v>0</v>
      </c>
      <c r="M19" s="913">
        <f t="shared" si="8"/>
        <v>499</v>
      </c>
      <c r="N19" s="913">
        <f>N17</f>
        <v>160</v>
      </c>
      <c r="O19" s="913">
        <f t="shared" si="8"/>
        <v>0</v>
      </c>
      <c r="P19" s="913">
        <f t="shared" si="8"/>
        <v>0</v>
      </c>
      <c r="Q19" s="913">
        <f t="shared" si="8"/>
        <v>0</v>
      </c>
      <c r="R19" s="913">
        <f t="shared" si="8"/>
        <v>0</v>
      </c>
      <c r="S19" s="913">
        <f t="shared" si="8"/>
        <v>0</v>
      </c>
    </row>
    <row r="20" spans="1:19" ht="20.25" hidden="1">
      <c r="A20" s="888"/>
      <c r="B20" s="242"/>
      <c r="C20" s="897"/>
      <c r="D20" s="905" t="s">
        <v>1073</v>
      </c>
      <c r="E20" s="913">
        <f aca="true" t="shared" si="9" ref="E20:F20">E19-E18</f>
        <v>7642</v>
      </c>
      <c r="F20" s="913">
        <f t="shared" si="9"/>
        <v>14183</v>
      </c>
      <c r="G20" s="913">
        <f>G19-G18</f>
        <v>2450</v>
      </c>
      <c r="H20" s="913">
        <f aca="true" t="shared" si="10" ref="H20:S20">H19-H18</f>
        <v>1997</v>
      </c>
      <c r="I20" s="913">
        <f t="shared" si="10"/>
        <v>9635</v>
      </c>
      <c r="J20" s="913">
        <f t="shared" si="10"/>
        <v>0</v>
      </c>
      <c r="K20" s="913">
        <f t="shared" si="10"/>
        <v>0</v>
      </c>
      <c r="L20" s="913">
        <f t="shared" si="10"/>
        <v>0</v>
      </c>
      <c r="M20" s="913">
        <f t="shared" si="10"/>
        <v>0</v>
      </c>
      <c r="N20" s="913">
        <f t="shared" si="10"/>
        <v>101</v>
      </c>
      <c r="O20" s="913">
        <f t="shared" si="10"/>
        <v>0</v>
      </c>
      <c r="P20" s="913">
        <f t="shared" si="10"/>
        <v>0</v>
      </c>
      <c r="Q20" s="913">
        <f t="shared" si="10"/>
        <v>0</v>
      </c>
      <c r="R20" s="913">
        <f t="shared" si="10"/>
        <v>0</v>
      </c>
      <c r="S20" s="913">
        <f t="shared" si="10"/>
        <v>0</v>
      </c>
    </row>
    <row r="21" spans="1:19" ht="27" customHeight="1">
      <c r="A21" s="888" t="s">
        <v>121</v>
      </c>
      <c r="B21" s="242" t="s">
        <v>585</v>
      </c>
      <c r="C21" s="897" t="s">
        <v>586</v>
      </c>
      <c r="D21" s="905" t="s">
        <v>4</v>
      </c>
      <c r="E21" s="909">
        <v>2107748</v>
      </c>
      <c r="F21" s="909">
        <f t="shared" si="7"/>
        <v>0</v>
      </c>
      <c r="G21" s="914"/>
      <c r="H21" s="914"/>
      <c r="I21" s="914"/>
      <c r="J21" s="914"/>
      <c r="K21" s="914"/>
      <c r="L21" s="914"/>
      <c r="M21" s="914"/>
      <c r="N21" s="914"/>
      <c r="O21" s="914"/>
      <c r="P21" s="914"/>
      <c r="Q21" s="914"/>
      <c r="R21" s="888"/>
      <c r="S21" s="913"/>
    </row>
    <row r="22" spans="1:19" ht="20.25">
      <c r="A22" s="888"/>
      <c r="B22" s="242"/>
      <c r="C22" s="897"/>
      <c r="D22" s="905" t="s">
        <v>861</v>
      </c>
      <c r="E22" s="909">
        <v>0</v>
      </c>
      <c r="F22" s="909">
        <f t="shared" si="7"/>
        <v>0</v>
      </c>
      <c r="G22" s="914"/>
      <c r="H22" s="914"/>
      <c r="I22" s="914"/>
      <c r="J22" s="914"/>
      <c r="K22" s="914"/>
      <c r="L22" s="914"/>
      <c r="M22" s="914"/>
      <c r="N22" s="914"/>
      <c r="O22" s="914"/>
      <c r="P22" s="914"/>
      <c r="Q22" s="914"/>
      <c r="R22" s="888"/>
      <c r="S22" s="913"/>
    </row>
    <row r="23" spans="1:19" ht="20.25" hidden="1">
      <c r="A23" s="888"/>
      <c r="B23" s="242"/>
      <c r="C23" s="897"/>
      <c r="D23" s="905" t="s">
        <v>1071</v>
      </c>
      <c r="E23" s="909">
        <v>0</v>
      </c>
      <c r="F23" s="909">
        <f t="shared" si="7"/>
        <v>0</v>
      </c>
      <c r="G23" s="914"/>
      <c r="H23" s="914"/>
      <c r="I23" s="914"/>
      <c r="J23" s="914"/>
      <c r="K23" s="914"/>
      <c r="L23" s="914"/>
      <c r="M23" s="914"/>
      <c r="N23" s="914"/>
      <c r="O23" s="914"/>
      <c r="P23" s="914"/>
      <c r="Q23" s="914"/>
      <c r="R23" s="888"/>
      <c r="S23" s="913"/>
    </row>
    <row r="24" spans="1:19" ht="20.25">
      <c r="A24" s="888"/>
      <c r="B24" s="242"/>
      <c r="C24" s="897"/>
      <c r="D24" s="905" t="s">
        <v>1072</v>
      </c>
      <c r="E24" s="909">
        <f aca="true" t="shared" si="11" ref="E24:S24">E22</f>
        <v>0</v>
      </c>
      <c r="F24" s="909">
        <f t="shared" si="11"/>
        <v>0</v>
      </c>
      <c r="G24" s="913">
        <f t="shared" si="11"/>
        <v>0</v>
      </c>
      <c r="H24" s="913">
        <f t="shared" si="11"/>
        <v>0</v>
      </c>
      <c r="I24" s="913">
        <f t="shared" si="11"/>
        <v>0</v>
      </c>
      <c r="J24" s="913">
        <f t="shared" si="11"/>
        <v>0</v>
      </c>
      <c r="K24" s="913">
        <f t="shared" si="11"/>
        <v>0</v>
      </c>
      <c r="L24" s="913">
        <f t="shared" si="11"/>
        <v>0</v>
      </c>
      <c r="M24" s="913">
        <f t="shared" si="11"/>
        <v>0</v>
      </c>
      <c r="N24" s="913">
        <f t="shared" si="11"/>
        <v>0</v>
      </c>
      <c r="O24" s="913">
        <f t="shared" si="11"/>
        <v>0</v>
      </c>
      <c r="P24" s="913">
        <f t="shared" si="11"/>
        <v>0</v>
      </c>
      <c r="Q24" s="913">
        <f t="shared" si="11"/>
        <v>0</v>
      </c>
      <c r="R24" s="888">
        <f t="shared" si="11"/>
        <v>0</v>
      </c>
      <c r="S24" s="913">
        <f t="shared" si="11"/>
        <v>0</v>
      </c>
    </row>
    <row r="25" spans="1:19" ht="20.25" hidden="1">
      <c r="A25" s="888"/>
      <c r="B25" s="242"/>
      <c r="C25" s="897"/>
      <c r="D25" s="905" t="s">
        <v>1073</v>
      </c>
      <c r="E25" s="913">
        <f aca="true" t="shared" si="12" ref="E25:F25">E24-E23</f>
        <v>0</v>
      </c>
      <c r="F25" s="913">
        <f t="shared" si="12"/>
        <v>0</v>
      </c>
      <c r="G25" s="913">
        <f>G24-G23</f>
        <v>0</v>
      </c>
      <c r="H25" s="913">
        <f aca="true" t="shared" si="13" ref="H25:S25">H24-H23</f>
        <v>0</v>
      </c>
      <c r="I25" s="913">
        <f t="shared" si="13"/>
        <v>0</v>
      </c>
      <c r="J25" s="913">
        <f t="shared" si="13"/>
        <v>0</v>
      </c>
      <c r="K25" s="913">
        <f t="shared" si="13"/>
        <v>0</v>
      </c>
      <c r="L25" s="913">
        <f t="shared" si="13"/>
        <v>0</v>
      </c>
      <c r="M25" s="913">
        <f t="shared" si="13"/>
        <v>0</v>
      </c>
      <c r="N25" s="913">
        <f t="shared" si="13"/>
        <v>0</v>
      </c>
      <c r="O25" s="913">
        <f t="shared" si="13"/>
        <v>0</v>
      </c>
      <c r="P25" s="913">
        <f t="shared" si="13"/>
        <v>0</v>
      </c>
      <c r="Q25" s="913">
        <f t="shared" si="13"/>
        <v>0</v>
      </c>
      <c r="R25" s="913">
        <f t="shared" si="13"/>
        <v>0</v>
      </c>
      <c r="S25" s="913">
        <f t="shared" si="13"/>
        <v>0</v>
      </c>
    </row>
    <row r="26" spans="1:19" ht="28.5" customHeight="1">
      <c r="A26" s="888" t="s">
        <v>122</v>
      </c>
      <c r="B26" s="242" t="s">
        <v>587</v>
      </c>
      <c r="C26" s="897" t="s">
        <v>588</v>
      </c>
      <c r="D26" s="905" t="s">
        <v>4</v>
      </c>
      <c r="E26" s="909"/>
      <c r="F26" s="909">
        <f t="shared" si="7"/>
        <v>3600</v>
      </c>
      <c r="G26" s="914"/>
      <c r="H26" s="914"/>
      <c r="I26" s="914">
        <v>3600</v>
      </c>
      <c r="J26" s="914"/>
      <c r="K26" s="914"/>
      <c r="L26" s="914"/>
      <c r="M26" s="914"/>
      <c r="N26" s="914"/>
      <c r="O26" s="914"/>
      <c r="P26" s="914"/>
      <c r="Q26" s="914"/>
      <c r="R26" s="888"/>
      <c r="S26" s="913"/>
    </row>
    <row r="27" spans="1:19" ht="20.25">
      <c r="A27" s="888"/>
      <c r="B27" s="242"/>
      <c r="C27" s="897"/>
      <c r="D27" s="905" t="s">
        <v>861</v>
      </c>
      <c r="E27" s="909">
        <v>1492</v>
      </c>
      <c r="F27" s="909">
        <f t="shared" si="7"/>
        <v>3767</v>
      </c>
      <c r="G27" s="914"/>
      <c r="H27" s="914"/>
      <c r="I27" s="914">
        <v>3767</v>
      </c>
      <c r="J27" s="914"/>
      <c r="K27" s="914"/>
      <c r="L27" s="914"/>
      <c r="M27" s="914"/>
      <c r="N27" s="914"/>
      <c r="O27" s="914"/>
      <c r="P27" s="914"/>
      <c r="Q27" s="914"/>
      <c r="R27" s="888"/>
      <c r="S27" s="913"/>
    </row>
    <row r="28" spans="1:19" ht="20.25" hidden="1">
      <c r="A28" s="888"/>
      <c r="B28" s="242"/>
      <c r="C28" s="897"/>
      <c r="D28" s="905" t="s">
        <v>1069</v>
      </c>
      <c r="E28" s="909">
        <v>1492</v>
      </c>
      <c r="F28" s="909">
        <f t="shared" si="7"/>
        <v>3767</v>
      </c>
      <c r="G28" s="914"/>
      <c r="H28" s="914"/>
      <c r="I28" s="914">
        <v>3767</v>
      </c>
      <c r="J28" s="914"/>
      <c r="K28" s="914"/>
      <c r="L28" s="914"/>
      <c r="M28" s="914"/>
      <c r="N28" s="914"/>
      <c r="O28" s="914"/>
      <c r="P28" s="914"/>
      <c r="Q28" s="914"/>
      <c r="R28" s="888"/>
      <c r="S28" s="913"/>
    </row>
    <row r="29" spans="1:19" ht="20.25">
      <c r="A29" s="888"/>
      <c r="B29" s="242"/>
      <c r="C29" s="897"/>
      <c r="D29" s="905" t="s">
        <v>1072</v>
      </c>
      <c r="E29" s="909">
        <f>E27</f>
        <v>1492</v>
      </c>
      <c r="F29" s="909">
        <f t="shared" si="7"/>
        <v>3767</v>
      </c>
      <c r="G29" s="913">
        <f>G27</f>
        <v>0</v>
      </c>
      <c r="H29" s="913">
        <f aca="true" t="shared" si="14" ref="H29:S29">H27</f>
        <v>0</v>
      </c>
      <c r="I29" s="913">
        <f t="shared" si="14"/>
        <v>3767</v>
      </c>
      <c r="J29" s="913">
        <f t="shared" si="14"/>
        <v>0</v>
      </c>
      <c r="K29" s="913">
        <f t="shared" si="14"/>
        <v>0</v>
      </c>
      <c r="L29" s="913">
        <f t="shared" si="14"/>
        <v>0</v>
      </c>
      <c r="M29" s="913">
        <f t="shared" si="14"/>
        <v>0</v>
      </c>
      <c r="N29" s="913">
        <f t="shared" si="14"/>
        <v>0</v>
      </c>
      <c r="O29" s="913">
        <f t="shared" si="14"/>
        <v>0</v>
      </c>
      <c r="P29" s="913">
        <f t="shared" si="14"/>
        <v>0</v>
      </c>
      <c r="Q29" s="913">
        <f t="shared" si="14"/>
        <v>0</v>
      </c>
      <c r="R29" s="913">
        <f t="shared" si="14"/>
        <v>0</v>
      </c>
      <c r="S29" s="913">
        <f t="shared" si="14"/>
        <v>0</v>
      </c>
    </row>
    <row r="30" spans="1:19" ht="20.25" hidden="1">
      <c r="A30" s="888"/>
      <c r="B30" s="242"/>
      <c r="C30" s="897"/>
      <c r="D30" s="905" t="s">
        <v>1073</v>
      </c>
      <c r="E30" s="913">
        <f aca="true" t="shared" si="15" ref="E30:F30">E29-E28</f>
        <v>0</v>
      </c>
      <c r="F30" s="913">
        <f t="shared" si="15"/>
        <v>0</v>
      </c>
      <c r="G30" s="913">
        <f>G29-G28</f>
        <v>0</v>
      </c>
      <c r="H30" s="913">
        <f aca="true" t="shared" si="16" ref="H30:S30">H29-H28</f>
        <v>0</v>
      </c>
      <c r="I30" s="913">
        <f t="shared" si="16"/>
        <v>0</v>
      </c>
      <c r="J30" s="913">
        <f t="shared" si="16"/>
        <v>0</v>
      </c>
      <c r="K30" s="913">
        <f t="shared" si="16"/>
        <v>0</v>
      </c>
      <c r="L30" s="913">
        <f t="shared" si="16"/>
        <v>0</v>
      </c>
      <c r="M30" s="913">
        <f t="shared" si="16"/>
        <v>0</v>
      </c>
      <c r="N30" s="913">
        <f t="shared" si="16"/>
        <v>0</v>
      </c>
      <c r="O30" s="913">
        <f t="shared" si="16"/>
        <v>0</v>
      </c>
      <c r="P30" s="913">
        <f t="shared" si="16"/>
        <v>0</v>
      </c>
      <c r="Q30" s="913">
        <f t="shared" si="16"/>
        <v>0</v>
      </c>
      <c r="R30" s="913">
        <f t="shared" si="16"/>
        <v>0</v>
      </c>
      <c r="S30" s="913">
        <f t="shared" si="16"/>
        <v>0</v>
      </c>
    </row>
    <row r="31" spans="1:19" ht="20.25">
      <c r="A31" s="888" t="s">
        <v>121</v>
      </c>
      <c r="B31" s="242" t="s">
        <v>589</v>
      </c>
      <c r="C31" s="897" t="s">
        <v>590</v>
      </c>
      <c r="D31" s="905" t="s">
        <v>4</v>
      </c>
      <c r="E31" s="909">
        <v>7112</v>
      </c>
      <c r="F31" s="909">
        <f t="shared" si="7"/>
        <v>16510</v>
      </c>
      <c r="G31" s="913"/>
      <c r="H31" s="913"/>
      <c r="I31" s="913">
        <v>16510</v>
      </c>
      <c r="J31" s="913"/>
      <c r="K31" s="913"/>
      <c r="L31" s="913"/>
      <c r="M31" s="913"/>
      <c r="N31" s="913"/>
      <c r="O31" s="913"/>
      <c r="P31" s="913"/>
      <c r="Q31" s="913"/>
      <c r="R31" s="888"/>
      <c r="S31" s="913"/>
    </row>
    <row r="32" spans="1:19" ht="20.25">
      <c r="A32" s="888"/>
      <c r="B32" s="242"/>
      <c r="C32" s="897"/>
      <c r="D32" s="905" t="s">
        <v>861</v>
      </c>
      <c r="E32" s="909">
        <v>7112</v>
      </c>
      <c r="F32" s="909">
        <f t="shared" si="7"/>
        <v>17843</v>
      </c>
      <c r="G32" s="913"/>
      <c r="H32" s="913"/>
      <c r="I32" s="913">
        <v>17843</v>
      </c>
      <c r="J32" s="913"/>
      <c r="K32" s="913"/>
      <c r="L32" s="913"/>
      <c r="M32" s="913"/>
      <c r="N32" s="913"/>
      <c r="O32" s="913"/>
      <c r="P32" s="913"/>
      <c r="Q32" s="913"/>
      <c r="R32" s="888"/>
      <c r="S32" s="913"/>
    </row>
    <row r="33" spans="1:19" ht="20.25" hidden="1">
      <c r="A33" s="888"/>
      <c r="B33" s="242"/>
      <c r="C33" s="897"/>
      <c r="D33" s="905" t="s">
        <v>1069</v>
      </c>
      <c r="E33" s="909">
        <v>8254</v>
      </c>
      <c r="F33" s="909">
        <f t="shared" si="7"/>
        <v>17260</v>
      </c>
      <c r="G33" s="913"/>
      <c r="H33" s="913"/>
      <c r="I33" s="913">
        <v>17260</v>
      </c>
      <c r="J33" s="913"/>
      <c r="K33" s="913"/>
      <c r="L33" s="913"/>
      <c r="M33" s="913"/>
      <c r="N33" s="913"/>
      <c r="O33" s="913"/>
      <c r="P33" s="913"/>
      <c r="Q33" s="913"/>
      <c r="R33" s="888"/>
      <c r="S33" s="913"/>
    </row>
    <row r="34" spans="1:19" ht="20.25">
      <c r="A34" s="888"/>
      <c r="B34" s="242"/>
      <c r="C34" s="897"/>
      <c r="D34" s="905" t="s">
        <v>1072</v>
      </c>
      <c r="E34" s="909">
        <f>E32+900</f>
        <v>8012</v>
      </c>
      <c r="F34" s="909">
        <f>F32</f>
        <v>17843</v>
      </c>
      <c r="G34" s="913">
        <f aca="true" t="shared" si="17" ref="G34:H34">G32</f>
        <v>0</v>
      </c>
      <c r="H34" s="913">
        <f t="shared" si="17"/>
        <v>0</v>
      </c>
      <c r="I34" s="913">
        <f>I32</f>
        <v>17843</v>
      </c>
      <c r="J34" s="913">
        <f aca="true" t="shared" si="18" ref="J34:S34">J32</f>
        <v>0</v>
      </c>
      <c r="K34" s="913">
        <f t="shared" si="18"/>
        <v>0</v>
      </c>
      <c r="L34" s="913">
        <f t="shared" si="18"/>
        <v>0</v>
      </c>
      <c r="M34" s="913">
        <f t="shared" si="18"/>
        <v>0</v>
      </c>
      <c r="N34" s="913">
        <f t="shared" si="18"/>
        <v>0</v>
      </c>
      <c r="O34" s="913">
        <f t="shared" si="18"/>
        <v>0</v>
      </c>
      <c r="P34" s="913">
        <f t="shared" si="18"/>
        <v>0</v>
      </c>
      <c r="Q34" s="913">
        <f t="shared" si="18"/>
        <v>0</v>
      </c>
      <c r="R34" s="913">
        <f t="shared" si="18"/>
        <v>0</v>
      </c>
      <c r="S34" s="913">
        <f t="shared" si="18"/>
        <v>0</v>
      </c>
    </row>
    <row r="35" spans="1:19" ht="20.25" hidden="1">
      <c r="A35" s="888"/>
      <c r="B35" s="242"/>
      <c r="C35" s="897"/>
      <c r="D35" s="905" t="s">
        <v>1073</v>
      </c>
      <c r="E35" s="913">
        <f aca="true" t="shared" si="19" ref="E35:F35">E34-E33</f>
        <v>-242</v>
      </c>
      <c r="F35" s="913">
        <f t="shared" si="19"/>
        <v>583</v>
      </c>
      <c r="G35" s="913">
        <f>G34-G33</f>
        <v>0</v>
      </c>
      <c r="H35" s="913">
        <f aca="true" t="shared" si="20" ref="H35:S35">H34-H33</f>
        <v>0</v>
      </c>
      <c r="I35" s="913">
        <f t="shared" si="20"/>
        <v>583</v>
      </c>
      <c r="J35" s="913">
        <f t="shared" si="20"/>
        <v>0</v>
      </c>
      <c r="K35" s="913">
        <f t="shared" si="20"/>
        <v>0</v>
      </c>
      <c r="L35" s="913">
        <f t="shared" si="20"/>
        <v>0</v>
      </c>
      <c r="M35" s="913">
        <f t="shared" si="20"/>
        <v>0</v>
      </c>
      <c r="N35" s="913">
        <f t="shared" si="20"/>
        <v>0</v>
      </c>
      <c r="O35" s="913">
        <f t="shared" si="20"/>
        <v>0</v>
      </c>
      <c r="P35" s="913">
        <f t="shared" si="20"/>
        <v>0</v>
      </c>
      <c r="Q35" s="913">
        <f t="shared" si="20"/>
        <v>0</v>
      </c>
      <c r="R35" s="913">
        <f t="shared" si="20"/>
        <v>0</v>
      </c>
      <c r="S35" s="913">
        <f t="shared" si="20"/>
        <v>0</v>
      </c>
    </row>
    <row r="36" spans="1:19" ht="40.5">
      <c r="A36" s="888" t="s">
        <v>121</v>
      </c>
      <c r="B36" s="242" t="s">
        <v>591</v>
      </c>
      <c r="C36" s="897" t="s">
        <v>592</v>
      </c>
      <c r="D36" s="905" t="s">
        <v>4</v>
      </c>
      <c r="E36" s="909">
        <v>912729</v>
      </c>
      <c r="F36" s="909">
        <f t="shared" si="7"/>
        <v>264528</v>
      </c>
      <c r="G36" s="913"/>
      <c r="H36" s="913"/>
      <c r="I36" s="913">
        <v>191810</v>
      </c>
      <c r="J36" s="913"/>
      <c r="K36" s="913"/>
      <c r="L36" s="913"/>
      <c r="M36" s="913">
        <v>38110</v>
      </c>
      <c r="N36" s="913">
        <v>34608</v>
      </c>
      <c r="O36" s="913"/>
      <c r="P36" s="913"/>
      <c r="Q36" s="913"/>
      <c r="R36" s="888"/>
      <c r="S36" s="913"/>
    </row>
    <row r="37" spans="1:19" ht="20.25" hidden="1">
      <c r="A37" s="888"/>
      <c r="B37" s="242"/>
      <c r="C37" s="897"/>
      <c r="D37" s="905" t="s">
        <v>859</v>
      </c>
      <c r="E37" s="909">
        <v>1001409</v>
      </c>
      <c r="F37" s="909">
        <f t="shared" si="7"/>
        <v>147148</v>
      </c>
      <c r="G37" s="913">
        <v>1931</v>
      </c>
      <c r="H37" s="913">
        <v>469</v>
      </c>
      <c r="I37" s="913">
        <v>64950</v>
      </c>
      <c r="J37" s="913"/>
      <c r="K37" s="913"/>
      <c r="L37" s="913"/>
      <c r="M37" s="913">
        <v>23835</v>
      </c>
      <c r="N37" s="913">
        <v>52670</v>
      </c>
      <c r="O37" s="913">
        <v>3293</v>
      </c>
      <c r="P37" s="913"/>
      <c r="Q37" s="913"/>
      <c r="R37" s="888"/>
      <c r="S37" s="913"/>
    </row>
    <row r="38" spans="1:19" ht="20.25">
      <c r="A38" s="888"/>
      <c r="B38" s="242"/>
      <c r="C38" s="897"/>
      <c r="D38" s="905" t="s">
        <v>861</v>
      </c>
      <c r="E38" s="909">
        <f>E37-39152</f>
        <v>962257</v>
      </c>
      <c r="F38" s="909">
        <f t="shared" si="7"/>
        <v>146370</v>
      </c>
      <c r="G38" s="913">
        <v>1931</v>
      </c>
      <c r="H38" s="913">
        <v>469</v>
      </c>
      <c r="I38" s="913">
        <v>40923</v>
      </c>
      <c r="J38" s="913"/>
      <c r="K38" s="913"/>
      <c r="L38" s="913"/>
      <c r="M38" s="913">
        <f>M37+1985</f>
        <v>25820</v>
      </c>
      <c r="N38" s="913">
        <f>N37+21264</f>
        <v>73934</v>
      </c>
      <c r="O38" s="913">
        <v>3293</v>
      </c>
      <c r="P38" s="913"/>
      <c r="Q38" s="913"/>
      <c r="R38" s="888"/>
      <c r="S38" s="913"/>
    </row>
    <row r="39" spans="1:19" ht="20.25" hidden="1">
      <c r="A39" s="888"/>
      <c r="B39" s="242"/>
      <c r="C39" s="897"/>
      <c r="D39" s="905" t="s">
        <v>1069</v>
      </c>
      <c r="E39" s="909">
        <v>201183</v>
      </c>
      <c r="F39" s="909">
        <f t="shared" si="7"/>
        <v>187262</v>
      </c>
      <c r="G39" s="913">
        <v>0</v>
      </c>
      <c r="H39" s="913">
        <v>0</v>
      </c>
      <c r="I39" s="913">
        <f>66272+9469</f>
        <v>75741</v>
      </c>
      <c r="J39" s="913"/>
      <c r="K39" s="913"/>
      <c r="L39" s="913"/>
      <c r="M39" s="913">
        <f>23693+154</f>
        <v>23847</v>
      </c>
      <c r="N39" s="913">
        <f>71066+13315</f>
        <v>84381</v>
      </c>
      <c r="O39" s="913">
        <v>3293</v>
      </c>
      <c r="P39" s="913"/>
      <c r="Q39" s="913"/>
      <c r="R39" s="888"/>
      <c r="S39" s="913"/>
    </row>
    <row r="40" spans="1:19" ht="20.25">
      <c r="A40" s="888"/>
      <c r="B40" s="242"/>
      <c r="C40" s="897"/>
      <c r="D40" s="905" t="s">
        <v>1072</v>
      </c>
      <c r="E40" s="909">
        <f>E38-63989-132193-13857+37356+22559+130+1298+15434+834-37356</f>
        <v>792473</v>
      </c>
      <c r="F40" s="909">
        <f t="shared" si="7"/>
        <v>216107</v>
      </c>
      <c r="G40" s="913">
        <f>G38</f>
        <v>1931</v>
      </c>
      <c r="H40" s="913">
        <f>H38</f>
        <v>469</v>
      </c>
      <c r="I40" s="913">
        <f>I38-2406+25500+2070+9654</f>
        <v>75741</v>
      </c>
      <c r="J40" s="913">
        <f>J38</f>
        <v>0</v>
      </c>
      <c r="K40" s="913">
        <f aca="true" t="shared" si="21" ref="K40:L40">K38</f>
        <v>0</v>
      </c>
      <c r="L40" s="913">
        <f t="shared" si="21"/>
        <v>0</v>
      </c>
      <c r="M40" s="913">
        <f>M38+591+99+914-1534-1000+1000+1778+7333</f>
        <v>35001</v>
      </c>
      <c r="N40" s="913">
        <f>N38+2650+68+827+940+787+716+370-1500-6483+68+13656+13317+390-68</f>
        <v>99672</v>
      </c>
      <c r="O40" s="913">
        <f>O38</f>
        <v>3293</v>
      </c>
      <c r="P40" s="913">
        <f aca="true" t="shared" si="22" ref="P40:S40">P38</f>
        <v>0</v>
      </c>
      <c r="Q40" s="913">
        <f t="shared" si="22"/>
        <v>0</v>
      </c>
      <c r="R40" s="913">
        <f t="shared" si="22"/>
        <v>0</v>
      </c>
      <c r="S40" s="913">
        <f t="shared" si="22"/>
        <v>0</v>
      </c>
    </row>
    <row r="41" spans="1:19" ht="20.25" hidden="1">
      <c r="A41" s="888"/>
      <c r="B41" s="242"/>
      <c r="C41" s="897"/>
      <c r="D41" s="905" t="s">
        <v>1073</v>
      </c>
      <c r="E41" s="913">
        <f aca="true" t="shared" si="23" ref="E41:F41">E40-E39</f>
        <v>591290</v>
      </c>
      <c r="F41" s="913">
        <f t="shared" si="23"/>
        <v>28845</v>
      </c>
      <c r="G41" s="913">
        <f>G40-G39</f>
        <v>1931</v>
      </c>
      <c r="H41" s="913">
        <f aca="true" t="shared" si="24" ref="H41:S41">H40-H39</f>
        <v>469</v>
      </c>
      <c r="I41" s="913">
        <f t="shared" si="24"/>
        <v>0</v>
      </c>
      <c r="J41" s="913">
        <f t="shared" si="24"/>
        <v>0</v>
      </c>
      <c r="K41" s="913">
        <f t="shared" si="24"/>
        <v>0</v>
      </c>
      <c r="L41" s="913">
        <f t="shared" si="24"/>
        <v>0</v>
      </c>
      <c r="M41" s="913">
        <f t="shared" si="24"/>
        <v>11154</v>
      </c>
      <c r="N41" s="913">
        <f t="shared" si="24"/>
        <v>15291</v>
      </c>
      <c r="O41" s="913">
        <f t="shared" si="24"/>
        <v>0</v>
      </c>
      <c r="P41" s="913">
        <f t="shared" si="24"/>
        <v>0</v>
      </c>
      <c r="Q41" s="913">
        <f t="shared" si="24"/>
        <v>0</v>
      </c>
      <c r="R41" s="913">
        <f t="shared" si="24"/>
        <v>0</v>
      </c>
      <c r="S41" s="913">
        <f t="shared" si="24"/>
        <v>0</v>
      </c>
    </row>
    <row r="42" spans="1:19" ht="40.5">
      <c r="A42" s="888" t="s">
        <v>122</v>
      </c>
      <c r="B42" s="242" t="s">
        <v>593</v>
      </c>
      <c r="C42" s="897" t="s">
        <v>594</v>
      </c>
      <c r="D42" s="905" t="s">
        <v>4</v>
      </c>
      <c r="E42" s="909"/>
      <c r="F42" s="909">
        <f t="shared" si="7"/>
        <v>5820</v>
      </c>
      <c r="G42" s="914">
        <v>3850</v>
      </c>
      <c r="H42" s="914">
        <v>1970</v>
      </c>
      <c r="I42" s="914"/>
      <c r="J42" s="914"/>
      <c r="K42" s="914"/>
      <c r="L42" s="914"/>
      <c r="M42" s="914"/>
      <c r="N42" s="914"/>
      <c r="O42" s="914"/>
      <c r="P42" s="914"/>
      <c r="Q42" s="914"/>
      <c r="R42" s="888"/>
      <c r="S42" s="913"/>
    </row>
    <row r="43" spans="1:19" ht="20.25">
      <c r="A43" s="888"/>
      <c r="B43" s="242"/>
      <c r="C43" s="897"/>
      <c r="D43" s="905" t="s">
        <v>861</v>
      </c>
      <c r="E43" s="909"/>
      <c r="F43" s="909">
        <f t="shared" si="7"/>
        <v>7620</v>
      </c>
      <c r="G43" s="914">
        <v>3350</v>
      </c>
      <c r="H43" s="914">
        <v>1970</v>
      </c>
      <c r="I43" s="914">
        <v>1800</v>
      </c>
      <c r="J43" s="914"/>
      <c r="K43" s="914"/>
      <c r="L43" s="914"/>
      <c r="M43" s="914"/>
      <c r="N43" s="914">
        <v>500</v>
      </c>
      <c r="O43" s="914"/>
      <c r="P43" s="914"/>
      <c r="Q43" s="914"/>
      <c r="R43" s="888"/>
      <c r="S43" s="913"/>
    </row>
    <row r="44" spans="1:19" ht="20.25" hidden="1">
      <c r="A44" s="888"/>
      <c r="B44" s="242"/>
      <c r="C44" s="897"/>
      <c r="D44" s="905" t="s">
        <v>1069</v>
      </c>
      <c r="E44" s="909"/>
      <c r="F44" s="909">
        <f t="shared" si="7"/>
        <v>3990</v>
      </c>
      <c r="G44" s="914">
        <v>546</v>
      </c>
      <c r="H44" s="914">
        <v>138</v>
      </c>
      <c r="I44" s="914">
        <v>2806</v>
      </c>
      <c r="J44" s="914"/>
      <c r="K44" s="914"/>
      <c r="L44" s="914"/>
      <c r="M44" s="914"/>
      <c r="N44" s="914">
        <v>500</v>
      </c>
      <c r="O44" s="914"/>
      <c r="P44" s="914"/>
      <c r="Q44" s="914"/>
      <c r="R44" s="888"/>
      <c r="S44" s="913"/>
    </row>
    <row r="45" spans="1:19" ht="20.25">
      <c r="A45" s="888"/>
      <c r="B45" s="242"/>
      <c r="C45" s="897"/>
      <c r="D45" s="905" t="s">
        <v>1072</v>
      </c>
      <c r="E45" s="909">
        <f>E43</f>
        <v>0</v>
      </c>
      <c r="F45" s="909">
        <f t="shared" si="7"/>
        <v>8350</v>
      </c>
      <c r="G45" s="913">
        <f>G43-2700</f>
        <v>650</v>
      </c>
      <c r="H45" s="913">
        <f>H43-1800</f>
        <v>170</v>
      </c>
      <c r="I45" s="913">
        <f>I43+730+2700+1800</f>
        <v>7030</v>
      </c>
      <c r="J45" s="913">
        <f aca="true" t="shared" si="25" ref="J45:S45">J43</f>
        <v>0</v>
      </c>
      <c r="K45" s="913">
        <f t="shared" si="25"/>
        <v>0</v>
      </c>
      <c r="L45" s="913">
        <f t="shared" si="25"/>
        <v>0</v>
      </c>
      <c r="M45" s="913">
        <f t="shared" si="25"/>
        <v>0</v>
      </c>
      <c r="N45" s="913">
        <f t="shared" si="25"/>
        <v>500</v>
      </c>
      <c r="O45" s="913">
        <f t="shared" si="25"/>
        <v>0</v>
      </c>
      <c r="P45" s="913">
        <f t="shared" si="25"/>
        <v>0</v>
      </c>
      <c r="Q45" s="913">
        <f t="shared" si="25"/>
        <v>0</v>
      </c>
      <c r="R45" s="913">
        <f t="shared" si="25"/>
        <v>0</v>
      </c>
      <c r="S45" s="913">
        <f t="shared" si="25"/>
        <v>0</v>
      </c>
    </row>
    <row r="46" spans="1:19" ht="20.25" hidden="1">
      <c r="A46" s="888"/>
      <c r="B46" s="242"/>
      <c r="C46" s="897"/>
      <c r="D46" s="905" t="s">
        <v>1073</v>
      </c>
      <c r="E46" s="913">
        <f aca="true" t="shared" si="26" ref="E46:F46">E45-E44</f>
        <v>0</v>
      </c>
      <c r="F46" s="913">
        <f t="shared" si="26"/>
        <v>4360</v>
      </c>
      <c r="G46" s="913">
        <f>G45-G44</f>
        <v>104</v>
      </c>
      <c r="H46" s="913">
        <f aca="true" t="shared" si="27" ref="H46:S46">H45-H44</f>
        <v>32</v>
      </c>
      <c r="I46" s="913">
        <f t="shared" si="27"/>
        <v>4224</v>
      </c>
      <c r="J46" s="913">
        <f t="shared" si="27"/>
        <v>0</v>
      </c>
      <c r="K46" s="913">
        <f t="shared" si="27"/>
        <v>0</v>
      </c>
      <c r="L46" s="913">
        <f t="shared" si="27"/>
        <v>0</v>
      </c>
      <c r="M46" s="913">
        <f t="shared" si="27"/>
        <v>0</v>
      </c>
      <c r="N46" s="913">
        <f t="shared" si="27"/>
        <v>0</v>
      </c>
      <c r="O46" s="913">
        <f t="shared" si="27"/>
        <v>0</v>
      </c>
      <c r="P46" s="913">
        <f t="shared" si="27"/>
        <v>0</v>
      </c>
      <c r="Q46" s="913">
        <f t="shared" si="27"/>
        <v>0</v>
      </c>
      <c r="R46" s="913">
        <f t="shared" si="27"/>
        <v>0</v>
      </c>
      <c r="S46" s="913">
        <f t="shared" si="27"/>
        <v>0</v>
      </c>
    </row>
    <row r="47" spans="1:19" ht="40.5">
      <c r="A47" s="888" t="s">
        <v>122</v>
      </c>
      <c r="B47" s="242" t="s">
        <v>593</v>
      </c>
      <c r="C47" s="897" t="s">
        <v>595</v>
      </c>
      <c r="D47" s="905" t="s">
        <v>4</v>
      </c>
      <c r="E47" s="909">
        <v>1400</v>
      </c>
      <c r="F47" s="909">
        <f t="shared" si="7"/>
        <v>6000</v>
      </c>
      <c r="G47" s="914">
        <v>2646</v>
      </c>
      <c r="H47" s="914">
        <v>1354</v>
      </c>
      <c r="I47" s="914">
        <v>2000</v>
      </c>
      <c r="J47" s="914"/>
      <c r="K47" s="914"/>
      <c r="L47" s="914"/>
      <c r="M47" s="914"/>
      <c r="N47" s="914"/>
      <c r="O47" s="914"/>
      <c r="P47" s="914"/>
      <c r="Q47" s="914"/>
      <c r="R47" s="888"/>
      <c r="S47" s="913"/>
    </row>
    <row r="48" spans="1:19" ht="20.25" hidden="1">
      <c r="A48" s="888"/>
      <c r="B48" s="242"/>
      <c r="C48" s="897"/>
      <c r="D48" s="905" t="s">
        <v>859</v>
      </c>
      <c r="E48" s="909">
        <v>1400</v>
      </c>
      <c r="F48" s="909">
        <f t="shared" si="7"/>
        <v>6000</v>
      </c>
      <c r="G48" s="914">
        <v>2646</v>
      </c>
      <c r="H48" s="914">
        <v>1354</v>
      </c>
      <c r="I48" s="914">
        <v>2000</v>
      </c>
      <c r="J48" s="914"/>
      <c r="K48" s="914"/>
      <c r="L48" s="914"/>
      <c r="M48" s="914"/>
      <c r="N48" s="914"/>
      <c r="O48" s="914"/>
      <c r="P48" s="914"/>
      <c r="Q48" s="914"/>
      <c r="R48" s="888"/>
      <c r="S48" s="913"/>
    </row>
    <row r="49" spans="1:19" ht="20.25">
      <c r="A49" s="888"/>
      <c r="B49" s="242"/>
      <c r="C49" s="897"/>
      <c r="D49" s="905" t="s">
        <v>861</v>
      </c>
      <c r="E49" s="909">
        <v>1400</v>
      </c>
      <c r="F49" s="909">
        <f t="shared" si="7"/>
        <v>6000</v>
      </c>
      <c r="G49" s="914">
        <v>2646</v>
      </c>
      <c r="H49" s="914">
        <v>1354</v>
      </c>
      <c r="I49" s="914">
        <v>2000</v>
      </c>
      <c r="J49" s="914"/>
      <c r="K49" s="914"/>
      <c r="L49" s="914"/>
      <c r="M49" s="914"/>
      <c r="N49" s="914"/>
      <c r="O49" s="914"/>
      <c r="P49" s="914"/>
      <c r="Q49" s="914"/>
      <c r="R49" s="888"/>
      <c r="S49" s="913"/>
    </row>
    <row r="50" spans="1:19" ht="20.25" hidden="1">
      <c r="A50" s="888"/>
      <c r="B50" s="242"/>
      <c r="C50" s="897"/>
      <c r="D50" s="905" t="s">
        <v>1069</v>
      </c>
      <c r="E50" s="909">
        <v>1267</v>
      </c>
      <c r="F50" s="909">
        <f t="shared" si="7"/>
        <v>4326</v>
      </c>
      <c r="G50" s="914">
        <v>1662</v>
      </c>
      <c r="H50" s="914">
        <v>831</v>
      </c>
      <c r="I50" s="914">
        <v>1833</v>
      </c>
      <c r="J50" s="914"/>
      <c r="K50" s="914"/>
      <c r="L50" s="914"/>
      <c r="M50" s="914"/>
      <c r="N50" s="914"/>
      <c r="O50" s="914"/>
      <c r="P50" s="914"/>
      <c r="Q50" s="914"/>
      <c r="R50" s="888"/>
      <c r="S50" s="913"/>
    </row>
    <row r="51" spans="1:19" ht="20.25">
      <c r="A51" s="888"/>
      <c r="B51" s="242"/>
      <c r="C51" s="897"/>
      <c r="D51" s="905" t="s">
        <v>1072</v>
      </c>
      <c r="E51" s="909">
        <f>E49</f>
        <v>1400</v>
      </c>
      <c r="F51" s="909">
        <f>F49</f>
        <v>6000</v>
      </c>
      <c r="G51" s="913">
        <f>G49</f>
        <v>2646</v>
      </c>
      <c r="H51" s="913">
        <f aca="true" t="shared" si="28" ref="H51:S51">H49</f>
        <v>1354</v>
      </c>
      <c r="I51" s="913">
        <f t="shared" si="28"/>
        <v>2000</v>
      </c>
      <c r="J51" s="913">
        <f t="shared" si="28"/>
        <v>0</v>
      </c>
      <c r="K51" s="913">
        <f t="shared" si="28"/>
        <v>0</v>
      </c>
      <c r="L51" s="913">
        <f t="shared" si="28"/>
        <v>0</v>
      </c>
      <c r="M51" s="913">
        <f t="shared" si="28"/>
        <v>0</v>
      </c>
      <c r="N51" s="913">
        <f t="shared" si="28"/>
        <v>0</v>
      </c>
      <c r="O51" s="913">
        <f t="shared" si="28"/>
        <v>0</v>
      </c>
      <c r="P51" s="913">
        <f t="shared" si="28"/>
        <v>0</v>
      </c>
      <c r="Q51" s="913">
        <f t="shared" si="28"/>
        <v>0</v>
      </c>
      <c r="R51" s="913">
        <f t="shared" si="28"/>
        <v>0</v>
      </c>
      <c r="S51" s="913">
        <f t="shared" si="28"/>
        <v>0</v>
      </c>
    </row>
    <row r="52" spans="1:19" ht="20.25" hidden="1">
      <c r="A52" s="888"/>
      <c r="B52" s="242"/>
      <c r="C52" s="897"/>
      <c r="D52" s="905" t="s">
        <v>1073</v>
      </c>
      <c r="E52" s="913">
        <f aca="true" t="shared" si="29" ref="E52:F52">E51-E50</f>
        <v>133</v>
      </c>
      <c r="F52" s="913">
        <f t="shared" si="29"/>
        <v>1674</v>
      </c>
      <c r="G52" s="913">
        <f>G51-G50</f>
        <v>984</v>
      </c>
      <c r="H52" s="913">
        <f aca="true" t="shared" si="30" ref="H52:S52">H51-H50</f>
        <v>523</v>
      </c>
      <c r="I52" s="913">
        <f t="shared" si="30"/>
        <v>167</v>
      </c>
      <c r="J52" s="913">
        <f t="shared" si="30"/>
        <v>0</v>
      </c>
      <c r="K52" s="913">
        <f t="shared" si="30"/>
        <v>0</v>
      </c>
      <c r="L52" s="913">
        <f t="shared" si="30"/>
        <v>0</v>
      </c>
      <c r="M52" s="913">
        <f t="shared" si="30"/>
        <v>0</v>
      </c>
      <c r="N52" s="913">
        <f t="shared" si="30"/>
        <v>0</v>
      </c>
      <c r="O52" s="913">
        <f t="shared" si="30"/>
        <v>0</v>
      </c>
      <c r="P52" s="913">
        <f t="shared" si="30"/>
        <v>0</v>
      </c>
      <c r="Q52" s="913">
        <f t="shared" si="30"/>
        <v>0</v>
      </c>
      <c r="R52" s="913">
        <f t="shared" si="30"/>
        <v>0</v>
      </c>
      <c r="S52" s="913">
        <f t="shared" si="30"/>
        <v>0</v>
      </c>
    </row>
    <row r="53" spans="1:19" ht="40.5">
      <c r="A53" s="888" t="s">
        <v>122</v>
      </c>
      <c r="B53" s="242" t="s">
        <v>593</v>
      </c>
      <c r="C53" s="897" t="s">
        <v>596</v>
      </c>
      <c r="D53" s="905" t="s">
        <v>4</v>
      </c>
      <c r="E53" s="909"/>
      <c r="F53" s="909">
        <f t="shared" si="7"/>
        <v>9062</v>
      </c>
      <c r="G53" s="914">
        <v>6000</v>
      </c>
      <c r="H53" s="914">
        <v>3062</v>
      </c>
      <c r="I53" s="914"/>
      <c r="J53" s="914"/>
      <c r="K53" s="914"/>
      <c r="L53" s="914"/>
      <c r="M53" s="914"/>
      <c r="N53" s="914"/>
      <c r="O53" s="914"/>
      <c r="P53" s="914"/>
      <c r="Q53" s="914"/>
      <c r="R53" s="888"/>
      <c r="S53" s="913"/>
    </row>
    <row r="54" spans="1:19" ht="20.25">
      <c r="A54" s="888"/>
      <c r="B54" s="242"/>
      <c r="C54" s="897"/>
      <c r="D54" s="905" t="s">
        <v>861</v>
      </c>
      <c r="E54" s="909">
        <v>10000</v>
      </c>
      <c r="F54" s="909">
        <f t="shared" si="7"/>
        <v>19062</v>
      </c>
      <c r="G54" s="914">
        <v>6000</v>
      </c>
      <c r="H54" s="914">
        <v>3062</v>
      </c>
      <c r="I54" s="914">
        <v>10000</v>
      </c>
      <c r="J54" s="914"/>
      <c r="K54" s="914"/>
      <c r="L54" s="914"/>
      <c r="M54" s="914"/>
      <c r="N54" s="914"/>
      <c r="O54" s="914"/>
      <c r="P54" s="914"/>
      <c r="Q54" s="914"/>
      <c r="R54" s="888"/>
      <c r="S54" s="913"/>
    </row>
    <row r="55" spans="1:19" ht="20.25" hidden="1">
      <c r="A55" s="888"/>
      <c r="B55" s="242"/>
      <c r="C55" s="897"/>
      <c r="D55" s="905" t="s">
        <v>1069</v>
      </c>
      <c r="E55" s="909">
        <v>10000</v>
      </c>
      <c r="F55" s="909">
        <f t="shared" si="7"/>
        <v>22465</v>
      </c>
      <c r="G55" s="914">
        <f>6539-34+450</f>
        <v>6955</v>
      </c>
      <c r="H55" s="914">
        <v>2365</v>
      </c>
      <c r="I55" s="914">
        <f>12745+400</f>
        <v>13145</v>
      </c>
      <c r="J55" s="914"/>
      <c r="K55" s="914"/>
      <c r="L55" s="914"/>
      <c r="M55" s="914"/>
      <c r="N55" s="914"/>
      <c r="O55" s="914"/>
      <c r="P55" s="914"/>
      <c r="Q55" s="914"/>
      <c r="R55" s="888"/>
      <c r="S55" s="913"/>
    </row>
    <row r="56" spans="1:19" ht="20.25">
      <c r="A56" s="888"/>
      <c r="B56" s="242"/>
      <c r="C56" s="897"/>
      <c r="D56" s="905" t="s">
        <v>1072</v>
      </c>
      <c r="E56" s="909">
        <f>E54</f>
        <v>10000</v>
      </c>
      <c r="F56" s="909">
        <f t="shared" si="7"/>
        <v>22712</v>
      </c>
      <c r="G56" s="913">
        <f>G54+510+450</f>
        <v>6960</v>
      </c>
      <c r="H56" s="913">
        <f>H54-510</f>
        <v>2552</v>
      </c>
      <c r="I56" s="913">
        <f>I54+2800+400</f>
        <v>13200</v>
      </c>
      <c r="J56" s="913">
        <f aca="true" t="shared" si="31" ref="J56:S56">J54</f>
        <v>0</v>
      </c>
      <c r="K56" s="913">
        <f t="shared" si="31"/>
        <v>0</v>
      </c>
      <c r="L56" s="913">
        <f t="shared" si="31"/>
        <v>0</v>
      </c>
      <c r="M56" s="913">
        <f t="shared" si="31"/>
        <v>0</v>
      </c>
      <c r="N56" s="913">
        <f>N54</f>
        <v>0</v>
      </c>
      <c r="O56" s="913">
        <f t="shared" si="31"/>
        <v>0</v>
      </c>
      <c r="P56" s="913">
        <f t="shared" si="31"/>
        <v>0</v>
      </c>
      <c r="Q56" s="913">
        <f t="shared" si="31"/>
        <v>0</v>
      </c>
      <c r="R56" s="913">
        <f t="shared" si="31"/>
        <v>0</v>
      </c>
      <c r="S56" s="913">
        <f t="shared" si="31"/>
        <v>0</v>
      </c>
    </row>
    <row r="57" spans="1:19" ht="20.25" hidden="1">
      <c r="A57" s="888"/>
      <c r="B57" s="242"/>
      <c r="C57" s="897"/>
      <c r="D57" s="905" t="s">
        <v>1073</v>
      </c>
      <c r="E57" s="913">
        <f aca="true" t="shared" si="32" ref="E57:F57">E56-E55</f>
        <v>0</v>
      </c>
      <c r="F57" s="913">
        <f t="shared" si="32"/>
        <v>247</v>
      </c>
      <c r="G57" s="913">
        <f>G56-G55</f>
        <v>5</v>
      </c>
      <c r="H57" s="913">
        <f aca="true" t="shared" si="33" ref="H57:S57">H56-H55</f>
        <v>187</v>
      </c>
      <c r="I57" s="913">
        <f t="shared" si="33"/>
        <v>55</v>
      </c>
      <c r="J57" s="913">
        <f t="shared" si="33"/>
        <v>0</v>
      </c>
      <c r="K57" s="913">
        <f t="shared" si="33"/>
        <v>0</v>
      </c>
      <c r="L57" s="913">
        <f t="shared" si="33"/>
        <v>0</v>
      </c>
      <c r="M57" s="913">
        <f t="shared" si="33"/>
        <v>0</v>
      </c>
      <c r="N57" s="913">
        <f t="shared" si="33"/>
        <v>0</v>
      </c>
      <c r="O57" s="913">
        <f t="shared" si="33"/>
        <v>0</v>
      </c>
      <c r="P57" s="913">
        <f t="shared" si="33"/>
        <v>0</v>
      </c>
      <c r="Q57" s="913">
        <f t="shared" si="33"/>
        <v>0</v>
      </c>
      <c r="R57" s="913">
        <f t="shared" si="33"/>
        <v>0</v>
      </c>
      <c r="S57" s="913">
        <f t="shared" si="33"/>
        <v>0</v>
      </c>
    </row>
    <row r="58" spans="1:19" ht="25.5" customHeight="1">
      <c r="A58" s="888" t="s">
        <v>122</v>
      </c>
      <c r="B58" s="242" t="s">
        <v>593</v>
      </c>
      <c r="C58" s="897" t="s">
        <v>597</v>
      </c>
      <c r="D58" s="905" t="s">
        <v>4</v>
      </c>
      <c r="E58" s="909"/>
      <c r="F58" s="909">
        <f t="shared" si="7"/>
        <v>5500</v>
      </c>
      <c r="G58" s="914">
        <v>4000</v>
      </c>
      <c r="H58" s="914">
        <v>1500</v>
      </c>
      <c r="I58" s="914"/>
      <c r="J58" s="914"/>
      <c r="K58" s="914"/>
      <c r="L58" s="914"/>
      <c r="M58" s="914"/>
      <c r="N58" s="914"/>
      <c r="O58" s="914"/>
      <c r="P58" s="914"/>
      <c r="Q58" s="914"/>
      <c r="R58" s="888"/>
      <c r="S58" s="913"/>
    </row>
    <row r="59" spans="1:19" ht="20.25">
      <c r="A59" s="888"/>
      <c r="B59" s="242"/>
      <c r="C59" s="897"/>
      <c r="D59" s="905" t="s">
        <v>861</v>
      </c>
      <c r="E59" s="909"/>
      <c r="F59" s="909">
        <f t="shared" si="7"/>
        <v>5500</v>
      </c>
      <c r="G59" s="914">
        <v>4000</v>
      </c>
      <c r="H59" s="914">
        <v>1500</v>
      </c>
      <c r="I59" s="914"/>
      <c r="J59" s="914"/>
      <c r="K59" s="914"/>
      <c r="L59" s="914"/>
      <c r="M59" s="914"/>
      <c r="N59" s="914"/>
      <c r="O59" s="914"/>
      <c r="P59" s="914"/>
      <c r="Q59" s="914"/>
      <c r="R59" s="888"/>
      <c r="S59" s="913"/>
    </row>
    <row r="60" spans="1:19" ht="20.25" hidden="1">
      <c r="A60" s="888"/>
      <c r="B60" s="242"/>
      <c r="C60" s="897"/>
      <c r="D60" s="905" t="s">
        <v>1069</v>
      </c>
      <c r="E60" s="909"/>
      <c r="F60" s="909">
        <f t="shared" si="7"/>
        <v>3741</v>
      </c>
      <c r="G60" s="914">
        <v>2561</v>
      </c>
      <c r="H60" s="914">
        <v>1180</v>
      </c>
      <c r="I60" s="914"/>
      <c r="J60" s="914"/>
      <c r="K60" s="914"/>
      <c r="L60" s="914"/>
      <c r="M60" s="914"/>
      <c r="N60" s="914"/>
      <c r="O60" s="914"/>
      <c r="P60" s="914"/>
      <c r="Q60" s="914"/>
      <c r="R60" s="888"/>
      <c r="S60" s="913"/>
    </row>
    <row r="61" spans="1:19" ht="20.25">
      <c r="A61" s="888"/>
      <c r="B61" s="242"/>
      <c r="C61" s="897"/>
      <c r="D61" s="905" t="s">
        <v>1072</v>
      </c>
      <c r="E61" s="909">
        <f>E59</f>
        <v>0</v>
      </c>
      <c r="F61" s="909">
        <f t="shared" si="7"/>
        <v>4770</v>
      </c>
      <c r="G61" s="913">
        <f>G59-730</f>
        <v>3270</v>
      </c>
      <c r="H61" s="913">
        <f aca="true" t="shared" si="34" ref="H61:S61">H59</f>
        <v>1500</v>
      </c>
      <c r="I61" s="913">
        <f t="shared" si="34"/>
        <v>0</v>
      </c>
      <c r="J61" s="913">
        <f t="shared" si="34"/>
        <v>0</v>
      </c>
      <c r="K61" s="913">
        <f t="shared" si="34"/>
        <v>0</v>
      </c>
      <c r="L61" s="913">
        <f t="shared" si="34"/>
        <v>0</v>
      </c>
      <c r="M61" s="913">
        <f t="shared" si="34"/>
        <v>0</v>
      </c>
      <c r="N61" s="913">
        <f t="shared" si="34"/>
        <v>0</v>
      </c>
      <c r="O61" s="913">
        <f t="shared" si="34"/>
        <v>0</v>
      </c>
      <c r="P61" s="913">
        <f t="shared" si="34"/>
        <v>0</v>
      </c>
      <c r="Q61" s="913">
        <f t="shared" si="34"/>
        <v>0</v>
      </c>
      <c r="R61" s="913">
        <f t="shared" si="34"/>
        <v>0</v>
      </c>
      <c r="S61" s="913">
        <f t="shared" si="34"/>
        <v>0</v>
      </c>
    </row>
    <row r="62" spans="1:19" ht="20.25" hidden="1">
      <c r="A62" s="888"/>
      <c r="B62" s="242"/>
      <c r="C62" s="897"/>
      <c r="D62" s="905" t="s">
        <v>1073</v>
      </c>
      <c r="E62" s="913">
        <f aca="true" t="shared" si="35" ref="E62:F62">E61-E60</f>
        <v>0</v>
      </c>
      <c r="F62" s="913">
        <f t="shared" si="35"/>
        <v>1029</v>
      </c>
      <c r="G62" s="913">
        <f>G61-G60</f>
        <v>709</v>
      </c>
      <c r="H62" s="913">
        <f aca="true" t="shared" si="36" ref="H62:S62">H61-H60</f>
        <v>320</v>
      </c>
      <c r="I62" s="913">
        <f t="shared" si="36"/>
        <v>0</v>
      </c>
      <c r="J62" s="913">
        <f t="shared" si="36"/>
        <v>0</v>
      </c>
      <c r="K62" s="913">
        <f t="shared" si="36"/>
        <v>0</v>
      </c>
      <c r="L62" s="913">
        <f t="shared" si="36"/>
        <v>0</v>
      </c>
      <c r="M62" s="913">
        <f t="shared" si="36"/>
        <v>0</v>
      </c>
      <c r="N62" s="913">
        <f t="shared" si="36"/>
        <v>0</v>
      </c>
      <c r="O62" s="913">
        <f t="shared" si="36"/>
        <v>0</v>
      </c>
      <c r="P62" s="913">
        <f t="shared" si="36"/>
        <v>0</v>
      </c>
      <c r="Q62" s="913">
        <f t="shared" si="36"/>
        <v>0</v>
      </c>
      <c r="R62" s="913">
        <f t="shared" si="36"/>
        <v>0</v>
      </c>
      <c r="S62" s="913">
        <f t="shared" si="36"/>
        <v>0</v>
      </c>
    </row>
    <row r="63" spans="1:19" ht="40.5">
      <c r="A63" s="888" t="s">
        <v>120</v>
      </c>
      <c r="B63" s="242" t="s">
        <v>598</v>
      </c>
      <c r="C63" s="897" t="s">
        <v>599</v>
      </c>
      <c r="D63" s="905" t="s">
        <v>4</v>
      </c>
      <c r="E63" s="909">
        <v>1111271</v>
      </c>
      <c r="F63" s="909">
        <f t="shared" si="7"/>
        <v>0</v>
      </c>
      <c r="G63" s="913"/>
      <c r="H63" s="913"/>
      <c r="I63" s="913"/>
      <c r="J63" s="913"/>
      <c r="K63" s="913"/>
      <c r="L63" s="913"/>
      <c r="M63" s="913"/>
      <c r="N63" s="913"/>
      <c r="O63" s="913"/>
      <c r="P63" s="913"/>
      <c r="Q63" s="913"/>
      <c r="R63" s="888"/>
      <c r="S63" s="913"/>
    </row>
    <row r="64" spans="1:19" ht="20.25" hidden="1">
      <c r="A64" s="888"/>
      <c r="B64" s="242"/>
      <c r="C64" s="897"/>
      <c r="D64" s="905" t="s">
        <v>859</v>
      </c>
      <c r="E64" s="909">
        <v>1175864</v>
      </c>
      <c r="F64" s="909">
        <f t="shared" si="7"/>
        <v>41266</v>
      </c>
      <c r="G64" s="913"/>
      <c r="H64" s="913"/>
      <c r="I64" s="913"/>
      <c r="J64" s="913"/>
      <c r="K64" s="913"/>
      <c r="L64" s="913"/>
      <c r="M64" s="913"/>
      <c r="N64" s="913"/>
      <c r="O64" s="913"/>
      <c r="P64" s="913"/>
      <c r="Q64" s="913">
        <v>41266</v>
      </c>
      <c r="R64" s="888"/>
      <c r="S64" s="913"/>
    </row>
    <row r="65" spans="1:19" ht="20.25">
      <c r="A65" s="888"/>
      <c r="B65" s="242"/>
      <c r="C65" s="897"/>
      <c r="D65" s="905" t="s">
        <v>861</v>
      </c>
      <c r="E65" s="909">
        <f>E64+4486</f>
        <v>1180350</v>
      </c>
      <c r="F65" s="909">
        <f t="shared" si="7"/>
        <v>41266</v>
      </c>
      <c r="G65" s="913"/>
      <c r="H65" s="913"/>
      <c r="I65" s="913"/>
      <c r="J65" s="913"/>
      <c r="K65" s="913"/>
      <c r="L65" s="913"/>
      <c r="M65" s="913"/>
      <c r="N65" s="913"/>
      <c r="O65" s="913"/>
      <c r="P65" s="913"/>
      <c r="Q65" s="913">
        <v>41266</v>
      </c>
      <c r="R65" s="888"/>
      <c r="S65" s="913"/>
    </row>
    <row r="66" spans="1:19" ht="20.25" hidden="1">
      <c r="A66" s="888"/>
      <c r="B66" s="242"/>
      <c r="C66" s="897"/>
      <c r="D66" s="905" t="s">
        <v>1069</v>
      </c>
      <c r="E66" s="909">
        <v>1323408</v>
      </c>
      <c r="F66" s="909">
        <f>G66+H66+I66+J66+K66+L66+M66+N66+O66+P66+Q66+R66+S66</f>
        <v>41266</v>
      </c>
      <c r="G66" s="913"/>
      <c r="H66" s="913"/>
      <c r="I66" s="913">
        <v>1</v>
      </c>
      <c r="J66" s="913"/>
      <c r="K66" s="913"/>
      <c r="L66" s="913"/>
      <c r="M66" s="913"/>
      <c r="N66" s="913"/>
      <c r="O66" s="913"/>
      <c r="P66" s="913"/>
      <c r="Q66" s="913">
        <v>41265</v>
      </c>
      <c r="R66" s="888"/>
      <c r="S66" s="913"/>
    </row>
    <row r="67" spans="1:19" ht="20.25">
      <c r="A67" s="888"/>
      <c r="B67" s="242"/>
      <c r="C67" s="897"/>
      <c r="D67" s="905" t="s">
        <v>1072</v>
      </c>
      <c r="E67" s="909">
        <f>+E65+1772+975+3748+100000+33460+4401-1298</f>
        <v>1323408</v>
      </c>
      <c r="F67" s="909">
        <f t="shared" si="7"/>
        <v>41266</v>
      </c>
      <c r="G67" s="913">
        <f>G65</f>
        <v>0</v>
      </c>
      <c r="H67" s="913">
        <f aca="true" t="shared" si="37" ref="H67:S67">H65</f>
        <v>0</v>
      </c>
      <c r="I67" s="913">
        <f t="shared" si="37"/>
        <v>0</v>
      </c>
      <c r="J67" s="913">
        <f t="shared" si="37"/>
        <v>0</v>
      </c>
      <c r="K67" s="913">
        <f t="shared" si="37"/>
        <v>0</v>
      </c>
      <c r="L67" s="913">
        <f t="shared" si="37"/>
        <v>0</v>
      </c>
      <c r="M67" s="913">
        <f t="shared" si="37"/>
        <v>0</v>
      </c>
      <c r="N67" s="913">
        <f t="shared" si="37"/>
        <v>0</v>
      </c>
      <c r="O67" s="913">
        <f t="shared" si="37"/>
        <v>0</v>
      </c>
      <c r="P67" s="913">
        <f t="shared" si="37"/>
        <v>0</v>
      </c>
      <c r="Q67" s="913">
        <f>Q65</f>
        <v>41266</v>
      </c>
      <c r="R67" s="913">
        <f t="shared" si="37"/>
        <v>0</v>
      </c>
      <c r="S67" s="913">
        <f t="shared" si="37"/>
        <v>0</v>
      </c>
    </row>
    <row r="68" spans="1:19" ht="20.25" hidden="1">
      <c r="A68" s="888"/>
      <c r="B68" s="242"/>
      <c r="C68" s="897"/>
      <c r="D68" s="905" t="s">
        <v>1073</v>
      </c>
      <c r="E68" s="913">
        <f aca="true" t="shared" si="38" ref="E68:F68">E67-E66</f>
        <v>0</v>
      </c>
      <c r="F68" s="913">
        <f t="shared" si="38"/>
        <v>0</v>
      </c>
      <c r="G68" s="913">
        <f>G67-G66</f>
        <v>0</v>
      </c>
      <c r="H68" s="913">
        <f aca="true" t="shared" si="39" ref="H68:S68">H67-H66</f>
        <v>0</v>
      </c>
      <c r="I68" s="913">
        <f t="shared" si="39"/>
        <v>-1</v>
      </c>
      <c r="J68" s="913">
        <f t="shared" si="39"/>
        <v>0</v>
      </c>
      <c r="K68" s="913">
        <f t="shared" si="39"/>
        <v>0</v>
      </c>
      <c r="L68" s="913">
        <f t="shared" si="39"/>
        <v>0</v>
      </c>
      <c r="M68" s="913">
        <f t="shared" si="39"/>
        <v>0</v>
      </c>
      <c r="N68" s="913">
        <f t="shared" si="39"/>
        <v>0</v>
      </c>
      <c r="O68" s="913">
        <f t="shared" si="39"/>
        <v>0</v>
      </c>
      <c r="P68" s="913">
        <f t="shared" si="39"/>
        <v>0</v>
      </c>
      <c r="Q68" s="913">
        <f t="shared" si="39"/>
        <v>1</v>
      </c>
      <c r="R68" s="913">
        <f t="shared" si="39"/>
        <v>0</v>
      </c>
      <c r="S68" s="913">
        <f t="shared" si="39"/>
        <v>0</v>
      </c>
    </row>
    <row r="69" spans="1:19" ht="20.25">
      <c r="A69" s="888" t="s">
        <v>120</v>
      </c>
      <c r="B69" s="242" t="s">
        <v>600</v>
      </c>
      <c r="C69" s="897" t="s">
        <v>601</v>
      </c>
      <c r="D69" s="905" t="s">
        <v>4</v>
      </c>
      <c r="E69" s="909"/>
      <c r="F69" s="909">
        <f t="shared" si="7"/>
        <v>0</v>
      </c>
      <c r="G69" s="914"/>
      <c r="H69" s="914"/>
      <c r="I69" s="914"/>
      <c r="J69" s="914"/>
      <c r="K69" s="914"/>
      <c r="L69" s="914"/>
      <c r="M69" s="914"/>
      <c r="N69" s="914"/>
      <c r="O69" s="914"/>
      <c r="P69" s="914"/>
      <c r="Q69" s="914"/>
      <c r="R69" s="888"/>
      <c r="S69" s="913"/>
    </row>
    <row r="70" spans="1:19" ht="20.25">
      <c r="A70" s="889"/>
      <c r="B70" s="898"/>
      <c r="C70" s="899"/>
      <c r="D70" s="906" t="s">
        <v>861</v>
      </c>
      <c r="E70" s="915"/>
      <c r="F70" s="915">
        <f t="shared" si="7"/>
        <v>3978</v>
      </c>
      <c r="G70" s="916"/>
      <c r="H70" s="916"/>
      <c r="I70" s="916"/>
      <c r="J70" s="916">
        <v>3978</v>
      </c>
      <c r="K70" s="916"/>
      <c r="L70" s="916"/>
      <c r="M70" s="916"/>
      <c r="N70" s="916"/>
      <c r="O70" s="916"/>
      <c r="P70" s="916"/>
      <c r="Q70" s="916"/>
      <c r="R70" s="889"/>
      <c r="S70" s="917"/>
    </row>
    <row r="71" spans="1:19" ht="20.25" hidden="1">
      <c r="A71" s="890"/>
      <c r="B71" s="900"/>
      <c r="C71" s="901"/>
      <c r="D71" s="907" t="s">
        <v>1069</v>
      </c>
      <c r="E71" s="918"/>
      <c r="F71" s="918">
        <f t="shared" si="7"/>
        <v>4184</v>
      </c>
      <c r="G71" s="919"/>
      <c r="H71" s="919"/>
      <c r="I71" s="919"/>
      <c r="J71" s="919">
        <v>4184</v>
      </c>
      <c r="K71" s="919"/>
      <c r="L71" s="919"/>
      <c r="M71" s="919"/>
      <c r="N71" s="919"/>
      <c r="O71" s="919"/>
      <c r="P71" s="919"/>
      <c r="Q71" s="919"/>
      <c r="R71" s="890"/>
      <c r="S71" s="920"/>
    </row>
    <row r="72" spans="1:19" ht="20.25">
      <c r="A72" s="891"/>
      <c r="B72" s="902"/>
      <c r="C72" s="903"/>
      <c r="D72" s="905" t="s">
        <v>1072</v>
      </c>
      <c r="E72" s="921"/>
      <c r="F72" s="921">
        <f t="shared" si="7"/>
        <v>4184</v>
      </c>
      <c r="G72" s="922">
        <f>G70</f>
        <v>0</v>
      </c>
      <c r="H72" s="922">
        <f aca="true" t="shared" si="40" ref="H72">H70</f>
        <v>0</v>
      </c>
      <c r="I72" s="922"/>
      <c r="J72" s="922">
        <f>J70+129+77</f>
        <v>4184</v>
      </c>
      <c r="K72" s="922">
        <f>K70</f>
        <v>0</v>
      </c>
      <c r="L72" s="922">
        <f aca="true" t="shared" si="41" ref="L72:S72">L70</f>
        <v>0</v>
      </c>
      <c r="M72" s="922">
        <f t="shared" si="41"/>
        <v>0</v>
      </c>
      <c r="N72" s="922">
        <f t="shared" si="41"/>
        <v>0</v>
      </c>
      <c r="O72" s="922">
        <f t="shared" si="41"/>
        <v>0</v>
      </c>
      <c r="P72" s="922">
        <f t="shared" si="41"/>
        <v>0</v>
      </c>
      <c r="Q72" s="922">
        <f t="shared" si="41"/>
        <v>0</v>
      </c>
      <c r="R72" s="922">
        <f t="shared" si="41"/>
        <v>0</v>
      </c>
      <c r="S72" s="922">
        <f t="shared" si="41"/>
        <v>0</v>
      </c>
    </row>
    <row r="73" spans="1:19" ht="20.25" hidden="1">
      <c r="A73" s="888"/>
      <c r="B73" s="242"/>
      <c r="C73" s="897"/>
      <c r="D73" s="905" t="s">
        <v>1073</v>
      </c>
      <c r="E73" s="913">
        <f aca="true" t="shared" si="42" ref="E73:F73">E72-E71</f>
        <v>0</v>
      </c>
      <c r="F73" s="913">
        <f t="shared" si="42"/>
        <v>0</v>
      </c>
      <c r="G73" s="913">
        <f>G72-G71</f>
        <v>0</v>
      </c>
      <c r="H73" s="913">
        <f aca="true" t="shared" si="43" ref="H73:S73">H72-H71</f>
        <v>0</v>
      </c>
      <c r="I73" s="913">
        <f t="shared" si="43"/>
        <v>0</v>
      </c>
      <c r="J73" s="913">
        <f t="shared" si="43"/>
        <v>0</v>
      </c>
      <c r="K73" s="913">
        <f t="shared" si="43"/>
        <v>0</v>
      </c>
      <c r="L73" s="913">
        <f t="shared" si="43"/>
        <v>0</v>
      </c>
      <c r="M73" s="913">
        <f t="shared" si="43"/>
        <v>0</v>
      </c>
      <c r="N73" s="913">
        <f t="shared" si="43"/>
        <v>0</v>
      </c>
      <c r="O73" s="913">
        <f t="shared" si="43"/>
        <v>0</v>
      </c>
      <c r="P73" s="913">
        <f t="shared" si="43"/>
        <v>0</v>
      </c>
      <c r="Q73" s="913">
        <f t="shared" si="43"/>
        <v>0</v>
      </c>
      <c r="R73" s="913">
        <f t="shared" si="43"/>
        <v>0</v>
      </c>
      <c r="S73" s="913">
        <f t="shared" si="43"/>
        <v>0</v>
      </c>
    </row>
    <row r="74" spans="1:19" ht="20.25">
      <c r="A74" s="888" t="s">
        <v>120</v>
      </c>
      <c r="B74" s="242" t="s">
        <v>602</v>
      </c>
      <c r="C74" s="897" t="s">
        <v>123</v>
      </c>
      <c r="D74" s="905" t="s">
        <v>4</v>
      </c>
      <c r="E74" s="909"/>
      <c r="F74" s="909">
        <f t="shared" si="7"/>
        <v>1726718</v>
      </c>
      <c r="G74" s="914"/>
      <c r="H74" s="914"/>
      <c r="I74" s="914"/>
      <c r="J74" s="914"/>
      <c r="K74" s="914"/>
      <c r="L74" s="914"/>
      <c r="M74" s="914"/>
      <c r="N74" s="914"/>
      <c r="O74" s="914"/>
      <c r="P74" s="914"/>
      <c r="Q74" s="914"/>
      <c r="R74" s="913">
        <v>1726718</v>
      </c>
      <c r="S74" s="913"/>
    </row>
    <row r="75" spans="1:19" ht="20.25">
      <c r="A75" s="888"/>
      <c r="B75" s="242"/>
      <c r="C75" s="897"/>
      <c r="D75" s="905" t="s">
        <v>861</v>
      </c>
      <c r="E75" s="909">
        <v>183862</v>
      </c>
      <c r="F75" s="909">
        <f t="shared" si="7"/>
        <v>2141674</v>
      </c>
      <c r="G75" s="914"/>
      <c r="H75" s="914"/>
      <c r="I75" s="914"/>
      <c r="J75" s="914">
        <v>362390</v>
      </c>
      <c r="K75" s="914"/>
      <c r="L75" s="914"/>
      <c r="M75" s="914"/>
      <c r="N75" s="914"/>
      <c r="O75" s="914"/>
      <c r="P75" s="914"/>
      <c r="Q75" s="914"/>
      <c r="R75" s="913">
        <v>1779284</v>
      </c>
      <c r="S75" s="913"/>
    </row>
    <row r="76" spans="1:19" ht="20.25" hidden="1">
      <c r="A76" s="888"/>
      <c r="B76" s="242"/>
      <c r="C76" s="897"/>
      <c r="D76" s="905" t="s">
        <v>1069</v>
      </c>
      <c r="E76" s="909">
        <v>183862</v>
      </c>
      <c r="F76" s="909">
        <f t="shared" si="7"/>
        <v>1939676</v>
      </c>
      <c r="G76" s="914"/>
      <c r="H76" s="914"/>
      <c r="I76" s="914"/>
      <c r="J76" s="914">
        <v>362672</v>
      </c>
      <c r="K76" s="914"/>
      <c r="L76" s="914"/>
      <c r="M76" s="914"/>
      <c r="N76" s="914"/>
      <c r="O76" s="914"/>
      <c r="P76" s="914"/>
      <c r="Q76" s="914"/>
      <c r="R76" s="913">
        <v>1577004</v>
      </c>
      <c r="S76" s="913"/>
    </row>
    <row r="77" spans="1:19" ht="20.25">
      <c r="A77" s="888"/>
      <c r="B77" s="242"/>
      <c r="C77" s="897"/>
      <c r="D77" s="905" t="s">
        <v>1072</v>
      </c>
      <c r="E77" s="909">
        <f>E75</f>
        <v>183862</v>
      </c>
      <c r="F77" s="909">
        <f t="shared" si="7"/>
        <v>2002551</v>
      </c>
      <c r="G77" s="913">
        <f>G75</f>
        <v>0</v>
      </c>
      <c r="H77" s="913">
        <f aca="true" t="shared" si="44" ref="H77:I77">H75</f>
        <v>0</v>
      </c>
      <c r="I77" s="913">
        <f t="shared" si="44"/>
        <v>0</v>
      </c>
      <c r="J77" s="913">
        <f>J75+576+917+2887</f>
        <v>366770</v>
      </c>
      <c r="K77" s="913">
        <f>K75</f>
        <v>0</v>
      </c>
      <c r="L77" s="913">
        <f aca="true" t="shared" si="45" ref="L77:Q77">L75</f>
        <v>0</v>
      </c>
      <c r="M77" s="913">
        <f t="shared" si="45"/>
        <v>0</v>
      </c>
      <c r="N77" s="913">
        <f t="shared" si="45"/>
        <v>0</v>
      </c>
      <c r="O77" s="913">
        <f t="shared" si="45"/>
        <v>0</v>
      </c>
      <c r="P77" s="913">
        <f t="shared" si="45"/>
        <v>0</v>
      </c>
      <c r="Q77" s="913">
        <f t="shared" si="45"/>
        <v>0</v>
      </c>
      <c r="R77" s="913">
        <f>R75+264+932+58+861-37100-111376+2900-42</f>
        <v>1635781</v>
      </c>
      <c r="S77" s="913">
        <f>S75</f>
        <v>0</v>
      </c>
    </row>
    <row r="78" spans="1:19" ht="20.25" hidden="1">
      <c r="A78" s="888"/>
      <c r="B78" s="242"/>
      <c r="C78" s="897"/>
      <c r="D78" s="905" t="s">
        <v>1073</v>
      </c>
      <c r="E78" s="913">
        <f aca="true" t="shared" si="46" ref="E78:F78">E77-E76</f>
        <v>0</v>
      </c>
      <c r="F78" s="913">
        <f t="shared" si="46"/>
        <v>62875</v>
      </c>
      <c r="G78" s="913">
        <f>G77-G76</f>
        <v>0</v>
      </c>
      <c r="H78" s="913">
        <f aca="true" t="shared" si="47" ref="H78:S78">H77-H76</f>
        <v>0</v>
      </c>
      <c r="I78" s="913">
        <f t="shared" si="47"/>
        <v>0</v>
      </c>
      <c r="J78" s="913">
        <f t="shared" si="47"/>
        <v>4098</v>
      </c>
      <c r="K78" s="913">
        <f t="shared" si="47"/>
        <v>0</v>
      </c>
      <c r="L78" s="913">
        <f t="shared" si="47"/>
        <v>0</v>
      </c>
      <c r="M78" s="913">
        <f t="shared" si="47"/>
        <v>0</v>
      </c>
      <c r="N78" s="913">
        <f t="shared" si="47"/>
        <v>0</v>
      </c>
      <c r="O78" s="913">
        <f t="shared" si="47"/>
        <v>0</v>
      </c>
      <c r="P78" s="913">
        <f t="shared" si="47"/>
        <v>0</v>
      </c>
      <c r="Q78" s="913">
        <f t="shared" si="47"/>
        <v>0</v>
      </c>
      <c r="R78" s="913">
        <f t="shared" si="47"/>
        <v>58777</v>
      </c>
      <c r="S78" s="913">
        <f t="shared" si="47"/>
        <v>0</v>
      </c>
    </row>
    <row r="79" spans="1:19" ht="40.5">
      <c r="A79" s="888" t="s">
        <v>121</v>
      </c>
      <c r="B79" s="242" t="s">
        <v>603</v>
      </c>
      <c r="C79" s="897" t="s">
        <v>604</v>
      </c>
      <c r="D79" s="905" t="s">
        <v>4</v>
      </c>
      <c r="E79" s="909"/>
      <c r="F79" s="909">
        <f t="shared" si="7"/>
        <v>0</v>
      </c>
      <c r="G79" s="913"/>
      <c r="H79" s="913"/>
      <c r="I79" s="913"/>
      <c r="J79" s="913"/>
      <c r="K79" s="913"/>
      <c r="L79" s="913"/>
      <c r="M79" s="913"/>
      <c r="N79" s="913"/>
      <c r="O79" s="913"/>
      <c r="P79" s="913"/>
      <c r="Q79" s="913"/>
      <c r="R79" s="888"/>
      <c r="S79" s="913"/>
    </row>
    <row r="80" spans="1:19" ht="20.25">
      <c r="A80" s="888"/>
      <c r="B80" s="242"/>
      <c r="C80" s="897"/>
      <c r="D80" s="905" t="s">
        <v>861</v>
      </c>
      <c r="E80" s="909"/>
      <c r="F80" s="909">
        <f t="shared" si="7"/>
        <v>0</v>
      </c>
      <c r="G80" s="913"/>
      <c r="H80" s="913"/>
      <c r="I80" s="913"/>
      <c r="J80" s="913"/>
      <c r="K80" s="913"/>
      <c r="L80" s="913"/>
      <c r="M80" s="913"/>
      <c r="N80" s="913"/>
      <c r="O80" s="913"/>
      <c r="P80" s="913"/>
      <c r="Q80" s="913"/>
      <c r="R80" s="888"/>
      <c r="S80" s="913"/>
    </row>
    <row r="81" spans="1:19" ht="20.25" hidden="1">
      <c r="A81" s="888"/>
      <c r="B81" s="242"/>
      <c r="C81" s="897"/>
      <c r="D81" s="905" t="s">
        <v>1069</v>
      </c>
      <c r="E81" s="909"/>
      <c r="F81" s="909">
        <f t="shared" si="7"/>
        <v>0</v>
      </c>
      <c r="G81" s="913"/>
      <c r="H81" s="913"/>
      <c r="I81" s="913"/>
      <c r="J81" s="913"/>
      <c r="K81" s="913"/>
      <c r="L81" s="913"/>
      <c r="M81" s="913"/>
      <c r="N81" s="913"/>
      <c r="O81" s="913"/>
      <c r="P81" s="913"/>
      <c r="Q81" s="913"/>
      <c r="R81" s="888"/>
      <c r="S81" s="913"/>
    </row>
    <row r="82" spans="1:19" ht="20.25">
      <c r="A82" s="888"/>
      <c r="B82" s="242"/>
      <c r="C82" s="897"/>
      <c r="D82" s="905" t="s">
        <v>1072</v>
      </c>
      <c r="E82" s="909">
        <f aca="true" t="shared" si="48" ref="E82:S82">E80</f>
        <v>0</v>
      </c>
      <c r="F82" s="909">
        <f t="shared" si="48"/>
        <v>0</v>
      </c>
      <c r="G82" s="913">
        <f t="shared" si="48"/>
        <v>0</v>
      </c>
      <c r="H82" s="913">
        <f t="shared" si="48"/>
        <v>0</v>
      </c>
      <c r="I82" s="913">
        <f t="shared" si="48"/>
        <v>0</v>
      </c>
      <c r="J82" s="913">
        <f t="shared" si="48"/>
        <v>0</v>
      </c>
      <c r="K82" s="913">
        <f t="shared" si="48"/>
        <v>0</v>
      </c>
      <c r="L82" s="913">
        <f t="shared" si="48"/>
        <v>0</v>
      </c>
      <c r="M82" s="913">
        <f t="shared" si="48"/>
        <v>0</v>
      </c>
      <c r="N82" s="913">
        <f t="shared" si="48"/>
        <v>0</v>
      </c>
      <c r="O82" s="913">
        <f t="shared" si="48"/>
        <v>0</v>
      </c>
      <c r="P82" s="913">
        <f t="shared" si="48"/>
        <v>0</v>
      </c>
      <c r="Q82" s="913">
        <f t="shared" si="48"/>
        <v>0</v>
      </c>
      <c r="R82" s="888">
        <f t="shared" si="48"/>
        <v>0</v>
      </c>
      <c r="S82" s="913">
        <f t="shared" si="48"/>
        <v>0</v>
      </c>
    </row>
    <row r="83" spans="1:19" ht="20.25" hidden="1">
      <c r="A83" s="888"/>
      <c r="B83" s="242"/>
      <c r="C83" s="897"/>
      <c r="D83" s="905" t="s">
        <v>1073</v>
      </c>
      <c r="E83" s="913">
        <f aca="true" t="shared" si="49" ref="E83:F83">E82-E81</f>
        <v>0</v>
      </c>
      <c r="F83" s="913">
        <f t="shared" si="49"/>
        <v>0</v>
      </c>
      <c r="G83" s="913">
        <f>G82-G81</f>
        <v>0</v>
      </c>
      <c r="H83" s="913">
        <f aca="true" t="shared" si="50" ref="H83:S83">H82-H81</f>
        <v>0</v>
      </c>
      <c r="I83" s="913">
        <f t="shared" si="50"/>
        <v>0</v>
      </c>
      <c r="J83" s="913">
        <f t="shared" si="50"/>
        <v>0</v>
      </c>
      <c r="K83" s="913">
        <f t="shared" si="50"/>
        <v>0</v>
      </c>
      <c r="L83" s="913">
        <f t="shared" si="50"/>
        <v>0</v>
      </c>
      <c r="M83" s="913">
        <f t="shared" si="50"/>
        <v>0</v>
      </c>
      <c r="N83" s="913">
        <f t="shared" si="50"/>
        <v>0</v>
      </c>
      <c r="O83" s="913">
        <f t="shared" si="50"/>
        <v>0</v>
      </c>
      <c r="P83" s="913">
        <f t="shared" si="50"/>
        <v>0</v>
      </c>
      <c r="Q83" s="913">
        <f t="shared" si="50"/>
        <v>0</v>
      </c>
      <c r="R83" s="913">
        <f t="shared" si="50"/>
        <v>0</v>
      </c>
      <c r="S83" s="913">
        <f t="shared" si="50"/>
        <v>0</v>
      </c>
    </row>
    <row r="84" spans="1:19" ht="20.25">
      <c r="A84" s="888" t="s">
        <v>121</v>
      </c>
      <c r="B84" s="242" t="s">
        <v>605</v>
      </c>
      <c r="C84" s="897" t="s">
        <v>124</v>
      </c>
      <c r="D84" s="905" t="s">
        <v>4</v>
      </c>
      <c r="E84" s="909"/>
      <c r="F84" s="909">
        <f t="shared" si="7"/>
        <v>4000</v>
      </c>
      <c r="G84" s="914"/>
      <c r="H84" s="914"/>
      <c r="I84" s="914"/>
      <c r="J84" s="914">
        <v>4000</v>
      </c>
      <c r="K84" s="914"/>
      <c r="L84" s="914"/>
      <c r="M84" s="914"/>
      <c r="N84" s="914"/>
      <c r="O84" s="914"/>
      <c r="P84" s="914"/>
      <c r="Q84" s="914"/>
      <c r="R84" s="888"/>
      <c r="S84" s="913"/>
    </row>
    <row r="85" spans="1:19" ht="20.25">
      <c r="A85" s="888"/>
      <c r="B85" s="242"/>
      <c r="C85" s="897"/>
      <c r="D85" s="905" t="s">
        <v>861</v>
      </c>
      <c r="E85" s="909"/>
      <c r="F85" s="909">
        <f t="shared" si="7"/>
        <v>4000</v>
      </c>
      <c r="G85" s="914"/>
      <c r="H85" s="914"/>
      <c r="I85" s="914"/>
      <c r="J85" s="914">
        <v>4000</v>
      </c>
      <c r="K85" s="914"/>
      <c r="L85" s="914"/>
      <c r="M85" s="914"/>
      <c r="N85" s="914"/>
      <c r="O85" s="914"/>
      <c r="P85" s="914"/>
      <c r="Q85" s="914"/>
      <c r="R85" s="888"/>
      <c r="S85" s="913"/>
    </row>
    <row r="86" spans="1:19" ht="20.25" hidden="1">
      <c r="A86" s="888"/>
      <c r="B86" s="242"/>
      <c r="C86" s="897"/>
      <c r="D86" s="905" t="s">
        <v>1069</v>
      </c>
      <c r="E86" s="909"/>
      <c r="F86" s="909">
        <f t="shared" si="7"/>
        <v>4000</v>
      </c>
      <c r="G86" s="914"/>
      <c r="H86" s="914"/>
      <c r="I86" s="914"/>
      <c r="J86" s="914">
        <v>4000</v>
      </c>
      <c r="K86" s="914"/>
      <c r="L86" s="914"/>
      <c r="M86" s="914"/>
      <c r="N86" s="914"/>
      <c r="O86" s="914"/>
      <c r="P86" s="914"/>
      <c r="Q86" s="914"/>
      <c r="R86" s="888"/>
      <c r="S86" s="913"/>
    </row>
    <row r="87" spans="1:19" ht="20.25">
      <c r="A87" s="888"/>
      <c r="B87" s="242"/>
      <c r="C87" s="897"/>
      <c r="D87" s="905" t="s">
        <v>1072</v>
      </c>
      <c r="E87" s="909">
        <f aca="true" t="shared" si="51" ref="E87:S87">E85</f>
        <v>0</v>
      </c>
      <c r="F87" s="909">
        <f t="shared" si="51"/>
        <v>4000</v>
      </c>
      <c r="G87" s="913">
        <f t="shared" si="51"/>
        <v>0</v>
      </c>
      <c r="H87" s="913">
        <f t="shared" si="51"/>
        <v>0</v>
      </c>
      <c r="I87" s="913">
        <f t="shared" si="51"/>
        <v>0</v>
      </c>
      <c r="J87" s="913">
        <f t="shared" si="51"/>
        <v>4000</v>
      </c>
      <c r="K87" s="913">
        <f t="shared" si="51"/>
        <v>0</v>
      </c>
      <c r="L87" s="913">
        <f t="shared" si="51"/>
        <v>0</v>
      </c>
      <c r="M87" s="913">
        <f t="shared" si="51"/>
        <v>0</v>
      </c>
      <c r="N87" s="913">
        <f t="shared" si="51"/>
        <v>0</v>
      </c>
      <c r="O87" s="913">
        <f t="shared" si="51"/>
        <v>0</v>
      </c>
      <c r="P87" s="913">
        <f t="shared" si="51"/>
        <v>0</v>
      </c>
      <c r="Q87" s="913">
        <f t="shared" si="51"/>
        <v>0</v>
      </c>
      <c r="R87" s="913">
        <f t="shared" si="51"/>
        <v>0</v>
      </c>
      <c r="S87" s="913">
        <f t="shared" si="51"/>
        <v>0</v>
      </c>
    </row>
    <row r="88" spans="1:19" ht="20.25" hidden="1">
      <c r="A88" s="888"/>
      <c r="B88" s="242"/>
      <c r="C88" s="897"/>
      <c r="D88" s="905" t="s">
        <v>1073</v>
      </c>
      <c r="E88" s="913">
        <f aca="true" t="shared" si="52" ref="E88:F88">E87-E86</f>
        <v>0</v>
      </c>
      <c r="F88" s="913">
        <f t="shared" si="52"/>
        <v>0</v>
      </c>
      <c r="G88" s="913">
        <f>G87-G86</f>
        <v>0</v>
      </c>
      <c r="H88" s="913">
        <f aca="true" t="shared" si="53" ref="H88:S88">H87-H86</f>
        <v>0</v>
      </c>
      <c r="I88" s="913">
        <f t="shared" si="53"/>
        <v>0</v>
      </c>
      <c r="J88" s="913">
        <f t="shared" si="53"/>
        <v>0</v>
      </c>
      <c r="K88" s="913">
        <f t="shared" si="53"/>
        <v>0</v>
      </c>
      <c r="L88" s="913">
        <f t="shared" si="53"/>
        <v>0</v>
      </c>
      <c r="M88" s="913">
        <f t="shared" si="53"/>
        <v>0</v>
      </c>
      <c r="N88" s="913">
        <f t="shared" si="53"/>
        <v>0</v>
      </c>
      <c r="O88" s="913">
        <f t="shared" si="53"/>
        <v>0</v>
      </c>
      <c r="P88" s="913">
        <f t="shared" si="53"/>
        <v>0</v>
      </c>
      <c r="Q88" s="913">
        <f t="shared" si="53"/>
        <v>0</v>
      </c>
      <c r="R88" s="913">
        <f t="shared" si="53"/>
        <v>0</v>
      </c>
      <c r="S88" s="913">
        <f t="shared" si="53"/>
        <v>0</v>
      </c>
    </row>
    <row r="89" spans="1:19" ht="20.25">
      <c r="A89" s="888" t="s">
        <v>121</v>
      </c>
      <c r="B89" s="242" t="s">
        <v>606</v>
      </c>
      <c r="C89" s="897" t="s">
        <v>607</v>
      </c>
      <c r="D89" s="905" t="s">
        <v>4</v>
      </c>
      <c r="E89" s="909"/>
      <c r="F89" s="909">
        <f t="shared" si="7"/>
        <v>3500</v>
      </c>
      <c r="G89" s="914"/>
      <c r="H89" s="914"/>
      <c r="I89" s="914">
        <v>3500</v>
      </c>
      <c r="J89" s="914"/>
      <c r="K89" s="914"/>
      <c r="L89" s="914"/>
      <c r="M89" s="914"/>
      <c r="N89" s="914"/>
      <c r="O89" s="914"/>
      <c r="P89" s="914"/>
      <c r="Q89" s="914"/>
      <c r="R89" s="888"/>
      <c r="S89" s="913"/>
    </row>
    <row r="90" spans="1:19" ht="20.25">
      <c r="A90" s="888"/>
      <c r="B90" s="242"/>
      <c r="C90" s="897"/>
      <c r="D90" s="905" t="s">
        <v>861</v>
      </c>
      <c r="E90" s="909"/>
      <c r="F90" s="909">
        <f t="shared" si="7"/>
        <v>3500</v>
      </c>
      <c r="G90" s="914">
        <v>0</v>
      </c>
      <c r="H90" s="914">
        <v>0</v>
      </c>
      <c r="I90" s="914">
        <v>3500</v>
      </c>
      <c r="J90" s="914"/>
      <c r="K90" s="914"/>
      <c r="L90" s="914"/>
      <c r="M90" s="914"/>
      <c r="N90" s="914"/>
      <c r="O90" s="914"/>
      <c r="P90" s="914"/>
      <c r="Q90" s="914"/>
      <c r="R90" s="888"/>
      <c r="S90" s="913"/>
    </row>
    <row r="91" spans="1:19" ht="20.25" hidden="1">
      <c r="A91" s="888"/>
      <c r="B91" s="242"/>
      <c r="C91" s="897"/>
      <c r="D91" s="905" t="s">
        <v>1069</v>
      </c>
      <c r="E91" s="909"/>
      <c r="F91" s="909">
        <f t="shared" si="7"/>
        <v>164</v>
      </c>
      <c r="G91" s="914">
        <v>74</v>
      </c>
      <c r="H91" s="914">
        <v>37</v>
      </c>
      <c r="I91" s="914">
        <v>53</v>
      </c>
      <c r="J91" s="914"/>
      <c r="K91" s="914"/>
      <c r="L91" s="914"/>
      <c r="M91" s="914"/>
      <c r="N91" s="914"/>
      <c r="O91" s="914"/>
      <c r="P91" s="914"/>
      <c r="Q91" s="914"/>
      <c r="R91" s="888"/>
      <c r="S91" s="913"/>
    </row>
    <row r="92" spans="1:19" ht="20.25">
      <c r="A92" s="888"/>
      <c r="B92" s="242"/>
      <c r="C92" s="897"/>
      <c r="D92" s="905" t="s">
        <v>1072</v>
      </c>
      <c r="E92" s="909">
        <f>E90</f>
        <v>0</v>
      </c>
      <c r="F92" s="909">
        <f t="shared" si="7"/>
        <v>200</v>
      </c>
      <c r="G92" s="913">
        <f>G90+75</f>
        <v>75</v>
      </c>
      <c r="H92" s="913">
        <f>H90+38</f>
        <v>38</v>
      </c>
      <c r="I92" s="913">
        <f>I90-75-38-3300</f>
        <v>87</v>
      </c>
      <c r="J92" s="913">
        <f>J90</f>
        <v>0</v>
      </c>
      <c r="K92" s="913">
        <f aca="true" t="shared" si="54" ref="K92:S92">K90</f>
        <v>0</v>
      </c>
      <c r="L92" s="913">
        <f t="shared" si="54"/>
        <v>0</v>
      </c>
      <c r="M92" s="913">
        <f t="shared" si="54"/>
        <v>0</v>
      </c>
      <c r="N92" s="913">
        <f t="shared" si="54"/>
        <v>0</v>
      </c>
      <c r="O92" s="913">
        <f t="shared" si="54"/>
        <v>0</v>
      </c>
      <c r="P92" s="913">
        <f t="shared" si="54"/>
        <v>0</v>
      </c>
      <c r="Q92" s="913">
        <f t="shared" si="54"/>
        <v>0</v>
      </c>
      <c r="R92" s="913">
        <f t="shared" si="54"/>
        <v>0</v>
      </c>
      <c r="S92" s="913">
        <f t="shared" si="54"/>
        <v>0</v>
      </c>
    </row>
    <row r="93" spans="1:19" ht="20.25" hidden="1">
      <c r="A93" s="888"/>
      <c r="B93" s="242"/>
      <c r="C93" s="897"/>
      <c r="D93" s="905" t="s">
        <v>1073</v>
      </c>
      <c r="E93" s="913">
        <f aca="true" t="shared" si="55" ref="E93:F93">E92-E91</f>
        <v>0</v>
      </c>
      <c r="F93" s="913">
        <f t="shared" si="55"/>
        <v>36</v>
      </c>
      <c r="G93" s="913">
        <f>G92-G91</f>
        <v>1</v>
      </c>
      <c r="H93" s="913">
        <f aca="true" t="shared" si="56" ref="H93:S93">H92-H91</f>
        <v>1</v>
      </c>
      <c r="I93" s="913">
        <f t="shared" si="56"/>
        <v>34</v>
      </c>
      <c r="J93" s="913">
        <f t="shared" si="56"/>
        <v>0</v>
      </c>
      <c r="K93" s="913">
        <f t="shared" si="56"/>
        <v>0</v>
      </c>
      <c r="L93" s="913">
        <f t="shared" si="56"/>
        <v>0</v>
      </c>
      <c r="M93" s="913">
        <f t="shared" si="56"/>
        <v>0</v>
      </c>
      <c r="N93" s="913">
        <f t="shared" si="56"/>
        <v>0</v>
      </c>
      <c r="O93" s="913">
        <f t="shared" si="56"/>
        <v>0</v>
      </c>
      <c r="P93" s="913">
        <f t="shared" si="56"/>
        <v>0</v>
      </c>
      <c r="Q93" s="913">
        <f t="shared" si="56"/>
        <v>0</v>
      </c>
      <c r="R93" s="913">
        <f t="shared" si="56"/>
        <v>0</v>
      </c>
      <c r="S93" s="913">
        <f t="shared" si="56"/>
        <v>0</v>
      </c>
    </row>
    <row r="94" spans="1:19" ht="20.25">
      <c r="A94" s="888" t="s">
        <v>121</v>
      </c>
      <c r="B94" s="242" t="s">
        <v>608</v>
      </c>
      <c r="C94" s="897" t="s">
        <v>609</v>
      </c>
      <c r="D94" s="905" t="s">
        <v>4</v>
      </c>
      <c r="E94" s="909">
        <v>23040</v>
      </c>
      <c r="F94" s="909">
        <f t="shared" si="7"/>
        <v>25595</v>
      </c>
      <c r="G94" s="913">
        <v>20500</v>
      </c>
      <c r="H94" s="913">
        <v>2768</v>
      </c>
      <c r="I94" s="913">
        <v>2327</v>
      </c>
      <c r="J94" s="913"/>
      <c r="K94" s="913"/>
      <c r="L94" s="913"/>
      <c r="M94" s="913"/>
      <c r="N94" s="913"/>
      <c r="O94" s="913"/>
      <c r="P94" s="913"/>
      <c r="Q94" s="913"/>
      <c r="R94" s="888"/>
      <c r="S94" s="913"/>
    </row>
    <row r="95" spans="1:19" ht="20.25">
      <c r="A95" s="888"/>
      <c r="B95" s="242"/>
      <c r="C95" s="897"/>
      <c r="D95" s="905" t="s">
        <v>861</v>
      </c>
      <c r="E95" s="909">
        <v>23040</v>
      </c>
      <c r="F95" s="909">
        <f t="shared" si="7"/>
        <v>25595</v>
      </c>
      <c r="G95" s="913">
        <v>20500</v>
      </c>
      <c r="H95" s="913">
        <v>2768</v>
      </c>
      <c r="I95" s="913">
        <v>2327</v>
      </c>
      <c r="J95" s="913"/>
      <c r="K95" s="913"/>
      <c r="L95" s="913"/>
      <c r="M95" s="913"/>
      <c r="N95" s="913"/>
      <c r="O95" s="913"/>
      <c r="P95" s="913"/>
      <c r="Q95" s="913"/>
      <c r="R95" s="888"/>
      <c r="S95" s="913"/>
    </row>
    <row r="96" spans="1:19" ht="20.25" hidden="1">
      <c r="A96" s="888"/>
      <c r="B96" s="242"/>
      <c r="C96" s="897"/>
      <c r="D96" s="905" t="s">
        <v>1069</v>
      </c>
      <c r="E96" s="909">
        <v>0</v>
      </c>
      <c r="F96" s="909">
        <f t="shared" si="7"/>
        <v>0</v>
      </c>
      <c r="G96" s="913">
        <v>0</v>
      </c>
      <c r="H96" s="913">
        <v>0</v>
      </c>
      <c r="I96" s="913">
        <v>0</v>
      </c>
      <c r="J96" s="913"/>
      <c r="K96" s="913"/>
      <c r="L96" s="913"/>
      <c r="M96" s="913"/>
      <c r="N96" s="913"/>
      <c r="O96" s="913"/>
      <c r="P96" s="913"/>
      <c r="Q96" s="913"/>
      <c r="R96" s="888"/>
      <c r="S96" s="913"/>
    </row>
    <row r="97" spans="1:19" ht="20.25">
      <c r="A97" s="888"/>
      <c r="B97" s="242"/>
      <c r="C97" s="897"/>
      <c r="D97" s="905" t="s">
        <v>1072</v>
      </c>
      <c r="E97" s="909">
        <f>E95-23040</f>
        <v>0</v>
      </c>
      <c r="F97" s="909">
        <f t="shared" si="7"/>
        <v>0</v>
      </c>
      <c r="G97" s="913">
        <f>G95-20500</f>
        <v>0</v>
      </c>
      <c r="H97" s="913">
        <f>H95-213-2555</f>
        <v>0</v>
      </c>
      <c r="I97" s="913">
        <f>I95-2327</f>
        <v>0</v>
      </c>
      <c r="J97" s="913">
        <f>J95</f>
        <v>0</v>
      </c>
      <c r="K97" s="913">
        <f aca="true" t="shared" si="57" ref="K97:S97">K95</f>
        <v>0</v>
      </c>
      <c r="L97" s="913">
        <f t="shared" si="57"/>
        <v>0</v>
      </c>
      <c r="M97" s="913">
        <f t="shared" si="57"/>
        <v>0</v>
      </c>
      <c r="N97" s="913">
        <f t="shared" si="57"/>
        <v>0</v>
      </c>
      <c r="O97" s="913">
        <f t="shared" si="57"/>
        <v>0</v>
      </c>
      <c r="P97" s="913">
        <f t="shared" si="57"/>
        <v>0</v>
      </c>
      <c r="Q97" s="913">
        <f t="shared" si="57"/>
        <v>0</v>
      </c>
      <c r="R97" s="913">
        <f t="shared" si="57"/>
        <v>0</v>
      </c>
      <c r="S97" s="913">
        <f t="shared" si="57"/>
        <v>0</v>
      </c>
    </row>
    <row r="98" spans="1:19" ht="20.25" hidden="1">
      <c r="A98" s="888"/>
      <c r="B98" s="242"/>
      <c r="C98" s="897"/>
      <c r="D98" s="905" t="s">
        <v>1073</v>
      </c>
      <c r="E98" s="913">
        <f aca="true" t="shared" si="58" ref="E98:F98">E97-E96</f>
        <v>0</v>
      </c>
      <c r="F98" s="913">
        <f t="shared" si="58"/>
        <v>0</v>
      </c>
      <c r="G98" s="913">
        <f>G97-G96</f>
        <v>0</v>
      </c>
      <c r="H98" s="913">
        <f aca="true" t="shared" si="59" ref="H98:S98">H97-H96</f>
        <v>0</v>
      </c>
      <c r="I98" s="913">
        <f t="shared" si="59"/>
        <v>0</v>
      </c>
      <c r="J98" s="913">
        <f t="shared" si="59"/>
        <v>0</v>
      </c>
      <c r="K98" s="913">
        <f t="shared" si="59"/>
        <v>0</v>
      </c>
      <c r="L98" s="913">
        <f t="shared" si="59"/>
        <v>0</v>
      </c>
      <c r="M98" s="913">
        <f t="shared" si="59"/>
        <v>0</v>
      </c>
      <c r="N98" s="913">
        <f t="shared" si="59"/>
        <v>0</v>
      </c>
      <c r="O98" s="913">
        <f t="shared" si="59"/>
        <v>0</v>
      </c>
      <c r="P98" s="913">
        <f t="shared" si="59"/>
        <v>0</v>
      </c>
      <c r="Q98" s="913">
        <f t="shared" si="59"/>
        <v>0</v>
      </c>
      <c r="R98" s="913">
        <f t="shared" si="59"/>
        <v>0</v>
      </c>
      <c r="S98" s="913">
        <f t="shared" si="59"/>
        <v>0</v>
      </c>
    </row>
    <row r="99" spans="1:19" ht="40.5">
      <c r="A99" s="888" t="s">
        <v>121</v>
      </c>
      <c r="B99" s="242" t="s">
        <v>610</v>
      </c>
      <c r="C99" s="897" t="s">
        <v>611</v>
      </c>
      <c r="D99" s="905" t="s">
        <v>4</v>
      </c>
      <c r="E99" s="909">
        <v>101355</v>
      </c>
      <c r="F99" s="909">
        <f t="shared" si="7"/>
        <v>135138</v>
      </c>
      <c r="G99" s="913">
        <v>108240</v>
      </c>
      <c r="H99" s="913">
        <v>14613</v>
      </c>
      <c r="I99" s="913">
        <v>12285</v>
      </c>
      <c r="J99" s="913"/>
      <c r="K99" s="913"/>
      <c r="L99" s="913"/>
      <c r="M99" s="913"/>
      <c r="N99" s="913"/>
      <c r="O99" s="913"/>
      <c r="P99" s="913"/>
      <c r="Q99" s="913"/>
      <c r="R99" s="888"/>
      <c r="S99" s="913"/>
    </row>
    <row r="100" spans="1:19" ht="20.25" hidden="1">
      <c r="A100" s="888"/>
      <c r="B100" s="242"/>
      <c r="C100" s="897"/>
      <c r="D100" s="905" t="s">
        <v>859</v>
      </c>
      <c r="E100" s="909">
        <f>100592+763</f>
        <v>101355</v>
      </c>
      <c r="F100" s="909">
        <f t="shared" si="7"/>
        <v>134371</v>
      </c>
      <c r="G100" s="913">
        <f>107568</f>
        <v>107568</v>
      </c>
      <c r="H100" s="913">
        <f>14518</f>
        <v>14518</v>
      </c>
      <c r="I100" s="913">
        <v>8348</v>
      </c>
      <c r="J100" s="913"/>
      <c r="K100" s="913"/>
      <c r="L100" s="913"/>
      <c r="M100" s="913"/>
      <c r="N100" s="913">
        <v>3937</v>
      </c>
      <c r="O100" s="913"/>
      <c r="P100" s="913"/>
      <c r="Q100" s="913"/>
      <c r="R100" s="888"/>
      <c r="S100" s="913"/>
    </row>
    <row r="101" spans="1:19" ht="20.25">
      <c r="A101" s="888"/>
      <c r="B101" s="242"/>
      <c r="C101" s="897"/>
      <c r="D101" s="905" t="s">
        <v>861</v>
      </c>
      <c r="E101" s="909">
        <v>101355</v>
      </c>
      <c r="F101" s="909">
        <f t="shared" si="7"/>
        <v>134371</v>
      </c>
      <c r="G101" s="913">
        <v>107568</v>
      </c>
      <c r="H101" s="913">
        <v>14518</v>
      </c>
      <c r="I101" s="913">
        <f>I100-6160</f>
        <v>2188</v>
      </c>
      <c r="J101" s="913"/>
      <c r="K101" s="913"/>
      <c r="L101" s="913"/>
      <c r="M101" s="913"/>
      <c r="N101" s="913">
        <f>N100+6160</f>
        <v>10097</v>
      </c>
      <c r="O101" s="913"/>
      <c r="P101" s="913"/>
      <c r="Q101" s="913"/>
      <c r="R101" s="888"/>
      <c r="S101" s="913"/>
    </row>
    <row r="102" spans="1:19" ht="20.25" hidden="1">
      <c r="A102" s="888"/>
      <c r="B102" s="242"/>
      <c r="C102" s="897"/>
      <c r="D102" s="905" t="s">
        <v>1069</v>
      </c>
      <c r="E102" s="909">
        <v>102981</v>
      </c>
      <c r="F102" s="909">
        <f t="shared" si="7"/>
        <v>102922</v>
      </c>
      <c r="G102" s="913">
        <v>79842</v>
      </c>
      <c r="H102" s="913">
        <v>11245</v>
      </c>
      <c r="I102" s="913">
        <v>1738</v>
      </c>
      <c r="J102" s="913"/>
      <c r="K102" s="913"/>
      <c r="L102" s="913"/>
      <c r="M102" s="913"/>
      <c r="N102" s="913">
        <v>10097</v>
      </c>
      <c r="O102" s="913"/>
      <c r="P102" s="913"/>
      <c r="Q102" s="913"/>
      <c r="R102" s="888"/>
      <c r="S102" s="913"/>
    </row>
    <row r="103" spans="1:19" ht="20.25">
      <c r="A103" s="888"/>
      <c r="B103" s="242"/>
      <c r="C103" s="897"/>
      <c r="D103" s="905" t="s">
        <v>1072</v>
      </c>
      <c r="E103" s="909">
        <f>E101+1626</f>
        <v>102981</v>
      </c>
      <c r="F103" s="909">
        <f t="shared" si="7"/>
        <v>102924</v>
      </c>
      <c r="G103" s="913">
        <f>G101-27725</f>
        <v>79843</v>
      </c>
      <c r="H103" s="913">
        <f>H101-3273</f>
        <v>11245</v>
      </c>
      <c r="I103" s="913">
        <f>I101+1626-2075</f>
        <v>1739</v>
      </c>
      <c r="J103" s="913">
        <f>J101</f>
        <v>0</v>
      </c>
      <c r="K103" s="913">
        <f aca="true" t="shared" si="60" ref="K103:S103">K101</f>
        <v>0</v>
      </c>
      <c r="L103" s="913">
        <f t="shared" si="60"/>
        <v>0</v>
      </c>
      <c r="M103" s="913">
        <f t="shared" si="60"/>
        <v>0</v>
      </c>
      <c r="N103" s="913">
        <f t="shared" si="60"/>
        <v>10097</v>
      </c>
      <c r="O103" s="913">
        <f t="shared" si="60"/>
        <v>0</v>
      </c>
      <c r="P103" s="913">
        <f t="shared" si="60"/>
        <v>0</v>
      </c>
      <c r="Q103" s="913">
        <f t="shared" si="60"/>
        <v>0</v>
      </c>
      <c r="R103" s="913">
        <f t="shared" si="60"/>
        <v>0</v>
      </c>
      <c r="S103" s="913">
        <f t="shared" si="60"/>
        <v>0</v>
      </c>
    </row>
    <row r="104" spans="1:19" ht="20.25" hidden="1">
      <c r="A104" s="888"/>
      <c r="B104" s="242"/>
      <c r="C104" s="897"/>
      <c r="D104" s="905" t="s">
        <v>1073</v>
      </c>
      <c r="E104" s="913">
        <f aca="true" t="shared" si="61" ref="E104:F104">E103-E102</f>
        <v>0</v>
      </c>
      <c r="F104" s="913">
        <f t="shared" si="61"/>
        <v>2</v>
      </c>
      <c r="G104" s="913">
        <f>G103-G102</f>
        <v>1</v>
      </c>
      <c r="H104" s="913">
        <f aca="true" t="shared" si="62" ref="H104:S104">H103-H102</f>
        <v>0</v>
      </c>
      <c r="I104" s="913">
        <f t="shared" si="62"/>
        <v>1</v>
      </c>
      <c r="J104" s="913">
        <f t="shared" si="62"/>
        <v>0</v>
      </c>
      <c r="K104" s="913">
        <f t="shared" si="62"/>
        <v>0</v>
      </c>
      <c r="L104" s="913">
        <f t="shared" si="62"/>
        <v>0</v>
      </c>
      <c r="M104" s="913">
        <f t="shared" si="62"/>
        <v>0</v>
      </c>
      <c r="N104" s="913">
        <f t="shared" si="62"/>
        <v>0</v>
      </c>
      <c r="O104" s="913">
        <f t="shared" si="62"/>
        <v>0</v>
      </c>
      <c r="P104" s="913">
        <f t="shared" si="62"/>
        <v>0</v>
      </c>
      <c r="Q104" s="913">
        <f t="shared" si="62"/>
        <v>0</v>
      </c>
      <c r="R104" s="913">
        <f t="shared" si="62"/>
        <v>0</v>
      </c>
      <c r="S104" s="913">
        <f t="shared" si="62"/>
        <v>0</v>
      </c>
    </row>
    <row r="105" spans="1:19" ht="40.5">
      <c r="A105" s="888" t="s">
        <v>121</v>
      </c>
      <c r="B105" s="242" t="s">
        <v>610</v>
      </c>
      <c r="C105" s="897" t="s">
        <v>845</v>
      </c>
      <c r="D105" s="905" t="s">
        <v>4</v>
      </c>
      <c r="E105" s="909"/>
      <c r="F105" s="909">
        <f t="shared" si="7"/>
        <v>0</v>
      </c>
      <c r="G105" s="913"/>
      <c r="H105" s="913"/>
      <c r="I105" s="913"/>
      <c r="J105" s="913"/>
      <c r="K105" s="913"/>
      <c r="L105" s="913"/>
      <c r="M105" s="913"/>
      <c r="N105" s="913"/>
      <c r="O105" s="913"/>
      <c r="P105" s="913"/>
      <c r="Q105" s="913"/>
      <c r="R105" s="888"/>
      <c r="S105" s="913"/>
    </row>
    <row r="106" spans="1:19" ht="20.25">
      <c r="A106" s="888"/>
      <c r="B106" s="242"/>
      <c r="C106" s="897"/>
      <c r="D106" s="905" t="s">
        <v>861</v>
      </c>
      <c r="E106" s="909"/>
      <c r="F106" s="909">
        <f t="shared" si="7"/>
        <v>767</v>
      </c>
      <c r="G106" s="913">
        <v>672</v>
      </c>
      <c r="H106" s="913">
        <v>95</v>
      </c>
      <c r="I106" s="913"/>
      <c r="J106" s="913"/>
      <c r="K106" s="913"/>
      <c r="L106" s="913"/>
      <c r="M106" s="913"/>
      <c r="N106" s="913"/>
      <c r="O106" s="913"/>
      <c r="P106" s="913"/>
      <c r="Q106" s="913"/>
      <c r="R106" s="888"/>
      <c r="S106" s="913"/>
    </row>
    <row r="107" spans="1:19" ht="20.25" hidden="1">
      <c r="A107" s="888"/>
      <c r="B107" s="242"/>
      <c r="C107" s="897"/>
      <c r="D107" s="905" t="s">
        <v>1069</v>
      </c>
      <c r="E107" s="909"/>
      <c r="F107" s="909">
        <f t="shared" si="7"/>
        <v>767</v>
      </c>
      <c r="G107" s="913">
        <v>672</v>
      </c>
      <c r="H107" s="913">
        <v>95</v>
      </c>
      <c r="I107" s="913"/>
      <c r="J107" s="913"/>
      <c r="K107" s="913"/>
      <c r="L107" s="913"/>
      <c r="M107" s="913"/>
      <c r="N107" s="913"/>
      <c r="O107" s="913"/>
      <c r="P107" s="913"/>
      <c r="Q107" s="913"/>
      <c r="R107" s="888"/>
      <c r="S107" s="913"/>
    </row>
    <row r="108" spans="1:19" ht="20.25">
      <c r="A108" s="888"/>
      <c r="B108" s="242"/>
      <c r="C108" s="897"/>
      <c r="D108" s="905" t="s">
        <v>1072</v>
      </c>
      <c r="E108" s="909">
        <f>E106</f>
        <v>0</v>
      </c>
      <c r="F108" s="909">
        <f t="shared" si="7"/>
        <v>767</v>
      </c>
      <c r="G108" s="913">
        <f>G106</f>
        <v>672</v>
      </c>
      <c r="H108" s="913">
        <f aca="true" t="shared" si="63" ref="H108:S108">H106</f>
        <v>95</v>
      </c>
      <c r="I108" s="913">
        <f t="shared" si="63"/>
        <v>0</v>
      </c>
      <c r="J108" s="913">
        <f t="shared" si="63"/>
        <v>0</v>
      </c>
      <c r="K108" s="913">
        <f t="shared" si="63"/>
        <v>0</v>
      </c>
      <c r="L108" s="913">
        <f t="shared" si="63"/>
        <v>0</v>
      </c>
      <c r="M108" s="913">
        <f t="shared" si="63"/>
        <v>0</v>
      </c>
      <c r="N108" s="913">
        <f t="shared" si="63"/>
        <v>0</v>
      </c>
      <c r="O108" s="913">
        <f t="shared" si="63"/>
        <v>0</v>
      </c>
      <c r="P108" s="913">
        <f t="shared" si="63"/>
        <v>0</v>
      </c>
      <c r="Q108" s="913">
        <f t="shared" si="63"/>
        <v>0</v>
      </c>
      <c r="R108" s="913">
        <f t="shared" si="63"/>
        <v>0</v>
      </c>
      <c r="S108" s="913">
        <f t="shared" si="63"/>
        <v>0</v>
      </c>
    </row>
    <row r="109" spans="1:19" ht="20.25" hidden="1">
      <c r="A109" s="888"/>
      <c r="B109" s="242"/>
      <c r="C109" s="897"/>
      <c r="D109" s="905" t="s">
        <v>1073</v>
      </c>
      <c r="E109" s="913">
        <f aca="true" t="shared" si="64" ref="E109:F109">E108-E107</f>
        <v>0</v>
      </c>
      <c r="F109" s="913">
        <f t="shared" si="64"/>
        <v>0</v>
      </c>
      <c r="G109" s="913">
        <f>G108-G107</f>
        <v>0</v>
      </c>
      <c r="H109" s="913">
        <f aca="true" t="shared" si="65" ref="H109:S109">H108-H107</f>
        <v>0</v>
      </c>
      <c r="I109" s="913">
        <f t="shared" si="65"/>
        <v>0</v>
      </c>
      <c r="J109" s="913">
        <f t="shared" si="65"/>
        <v>0</v>
      </c>
      <c r="K109" s="913">
        <f t="shared" si="65"/>
        <v>0</v>
      </c>
      <c r="L109" s="913">
        <f t="shared" si="65"/>
        <v>0</v>
      </c>
      <c r="M109" s="913">
        <f t="shared" si="65"/>
        <v>0</v>
      </c>
      <c r="N109" s="913">
        <f t="shared" si="65"/>
        <v>0</v>
      </c>
      <c r="O109" s="913">
        <f t="shared" si="65"/>
        <v>0</v>
      </c>
      <c r="P109" s="913">
        <f t="shared" si="65"/>
        <v>0</v>
      </c>
      <c r="Q109" s="913">
        <f t="shared" si="65"/>
        <v>0</v>
      </c>
      <c r="R109" s="913">
        <f t="shared" si="65"/>
        <v>0</v>
      </c>
      <c r="S109" s="913">
        <f t="shared" si="65"/>
        <v>0</v>
      </c>
    </row>
    <row r="110" spans="1:19" ht="20.25">
      <c r="A110" s="888" t="s">
        <v>121</v>
      </c>
      <c r="B110" s="242" t="s">
        <v>612</v>
      </c>
      <c r="C110" s="897" t="s">
        <v>613</v>
      </c>
      <c r="D110" s="905" t="s">
        <v>4</v>
      </c>
      <c r="E110" s="909"/>
      <c r="F110" s="909">
        <f t="shared" si="7"/>
        <v>0</v>
      </c>
      <c r="G110" s="913"/>
      <c r="H110" s="913"/>
      <c r="I110" s="913"/>
      <c r="J110" s="913"/>
      <c r="K110" s="913"/>
      <c r="L110" s="913"/>
      <c r="M110" s="913"/>
      <c r="N110" s="913"/>
      <c r="O110" s="913"/>
      <c r="P110" s="913"/>
      <c r="Q110" s="913"/>
      <c r="R110" s="888"/>
      <c r="S110" s="913"/>
    </row>
    <row r="111" spans="1:19" ht="20.25">
      <c r="A111" s="888"/>
      <c r="B111" s="242"/>
      <c r="C111" s="897"/>
      <c r="D111" s="905" t="s">
        <v>861</v>
      </c>
      <c r="E111" s="909"/>
      <c r="F111" s="909">
        <f t="shared" si="7"/>
        <v>0</v>
      </c>
      <c r="G111" s="913"/>
      <c r="H111" s="913"/>
      <c r="I111" s="913"/>
      <c r="J111" s="913"/>
      <c r="K111" s="913"/>
      <c r="L111" s="913"/>
      <c r="M111" s="913"/>
      <c r="N111" s="913"/>
      <c r="O111" s="913"/>
      <c r="P111" s="913"/>
      <c r="Q111" s="913"/>
      <c r="R111" s="888"/>
      <c r="S111" s="913"/>
    </row>
    <row r="112" spans="1:19" ht="20.25" hidden="1">
      <c r="A112" s="888"/>
      <c r="B112" s="242"/>
      <c r="C112" s="897"/>
      <c r="D112" s="905" t="s">
        <v>1069</v>
      </c>
      <c r="E112" s="909"/>
      <c r="F112" s="909"/>
      <c r="G112" s="913"/>
      <c r="H112" s="913"/>
      <c r="I112" s="913"/>
      <c r="J112" s="913"/>
      <c r="K112" s="913"/>
      <c r="L112" s="913"/>
      <c r="M112" s="913"/>
      <c r="N112" s="913"/>
      <c r="O112" s="913"/>
      <c r="P112" s="913"/>
      <c r="Q112" s="913"/>
      <c r="R112" s="888"/>
      <c r="S112" s="913"/>
    </row>
    <row r="113" spans="1:19" ht="20.25">
      <c r="A113" s="888"/>
      <c r="B113" s="242"/>
      <c r="C113" s="897"/>
      <c r="D113" s="905" t="s">
        <v>1072</v>
      </c>
      <c r="E113" s="909">
        <f>E111</f>
        <v>0</v>
      </c>
      <c r="F113" s="909">
        <f aca="true" t="shared" si="66" ref="F113">G113+H113+I113+J113+K113+L113+M113+N113+O113+P113+Q113+R113+S113</f>
        <v>0</v>
      </c>
      <c r="G113" s="913">
        <f aca="true" t="shared" si="67" ref="G113:S113">G111</f>
        <v>0</v>
      </c>
      <c r="H113" s="913">
        <f t="shared" si="67"/>
        <v>0</v>
      </c>
      <c r="I113" s="913">
        <f t="shared" si="67"/>
        <v>0</v>
      </c>
      <c r="J113" s="913">
        <f t="shared" si="67"/>
        <v>0</v>
      </c>
      <c r="K113" s="913">
        <f t="shared" si="67"/>
        <v>0</v>
      </c>
      <c r="L113" s="913">
        <f t="shared" si="67"/>
        <v>0</v>
      </c>
      <c r="M113" s="913">
        <f t="shared" si="67"/>
        <v>0</v>
      </c>
      <c r="N113" s="913">
        <f t="shared" si="67"/>
        <v>0</v>
      </c>
      <c r="O113" s="913">
        <f t="shared" si="67"/>
        <v>0</v>
      </c>
      <c r="P113" s="913">
        <f t="shared" si="67"/>
        <v>0</v>
      </c>
      <c r="Q113" s="913">
        <f t="shared" si="67"/>
        <v>0</v>
      </c>
      <c r="R113" s="888">
        <f t="shared" si="67"/>
        <v>0</v>
      </c>
      <c r="S113" s="913">
        <f t="shared" si="67"/>
        <v>0</v>
      </c>
    </row>
    <row r="114" spans="1:19" ht="20.25" hidden="1">
      <c r="A114" s="888"/>
      <c r="B114" s="242"/>
      <c r="C114" s="897"/>
      <c r="D114" s="905" t="s">
        <v>1073</v>
      </c>
      <c r="E114" s="913">
        <f aca="true" t="shared" si="68" ref="E114:F114">E113-E112</f>
        <v>0</v>
      </c>
      <c r="F114" s="913">
        <f t="shared" si="68"/>
        <v>0</v>
      </c>
      <c r="G114" s="913">
        <f>G113-G112</f>
        <v>0</v>
      </c>
      <c r="H114" s="913">
        <f aca="true" t="shared" si="69" ref="H114:S114">H113-H112</f>
        <v>0</v>
      </c>
      <c r="I114" s="913">
        <f t="shared" si="69"/>
        <v>0</v>
      </c>
      <c r="J114" s="913">
        <f t="shared" si="69"/>
        <v>0</v>
      </c>
      <c r="K114" s="913">
        <f t="shared" si="69"/>
        <v>0</v>
      </c>
      <c r="L114" s="913">
        <f t="shared" si="69"/>
        <v>0</v>
      </c>
      <c r="M114" s="913">
        <f t="shared" si="69"/>
        <v>0</v>
      </c>
      <c r="N114" s="913">
        <f t="shared" si="69"/>
        <v>0</v>
      </c>
      <c r="O114" s="913">
        <f t="shared" si="69"/>
        <v>0</v>
      </c>
      <c r="P114" s="913">
        <f t="shared" si="69"/>
        <v>0</v>
      </c>
      <c r="Q114" s="913">
        <f t="shared" si="69"/>
        <v>0</v>
      </c>
      <c r="R114" s="913">
        <f t="shared" si="69"/>
        <v>0</v>
      </c>
      <c r="S114" s="913">
        <f t="shared" si="69"/>
        <v>0</v>
      </c>
    </row>
    <row r="115" spans="1:19" ht="20.25">
      <c r="A115" s="888" t="s">
        <v>121</v>
      </c>
      <c r="B115" s="242" t="s">
        <v>614</v>
      </c>
      <c r="C115" s="897" t="s">
        <v>615</v>
      </c>
      <c r="D115" s="905" t="s">
        <v>4</v>
      </c>
      <c r="E115" s="909"/>
      <c r="F115" s="909">
        <f t="shared" si="7"/>
        <v>15620</v>
      </c>
      <c r="G115" s="913"/>
      <c r="H115" s="913"/>
      <c r="I115" s="913">
        <v>15620</v>
      </c>
      <c r="J115" s="913"/>
      <c r="K115" s="913"/>
      <c r="L115" s="913"/>
      <c r="M115" s="913"/>
      <c r="N115" s="913"/>
      <c r="O115" s="913"/>
      <c r="P115" s="913"/>
      <c r="Q115" s="913"/>
      <c r="R115" s="888"/>
      <c r="S115" s="913"/>
    </row>
    <row r="116" spans="1:19" ht="20.25">
      <c r="A116" s="888"/>
      <c r="B116" s="242"/>
      <c r="C116" s="897"/>
      <c r="D116" s="905" t="s">
        <v>861</v>
      </c>
      <c r="E116" s="909"/>
      <c r="F116" s="909">
        <f t="shared" si="7"/>
        <v>8947</v>
      </c>
      <c r="G116" s="913"/>
      <c r="H116" s="913"/>
      <c r="I116" s="913">
        <v>8947</v>
      </c>
      <c r="J116" s="913"/>
      <c r="K116" s="913"/>
      <c r="L116" s="913"/>
      <c r="M116" s="913"/>
      <c r="N116" s="913"/>
      <c r="O116" s="913"/>
      <c r="P116" s="913"/>
      <c r="Q116" s="913"/>
      <c r="R116" s="888"/>
      <c r="S116" s="913"/>
    </row>
    <row r="117" spans="1:19" ht="20.25">
      <c r="A117" s="888"/>
      <c r="B117" s="242"/>
      <c r="C117" s="897"/>
      <c r="D117" s="905" t="s">
        <v>1069</v>
      </c>
      <c r="E117" s="909"/>
      <c r="F117" s="909">
        <f t="shared" si="7"/>
        <v>6202</v>
      </c>
      <c r="G117" s="913"/>
      <c r="H117" s="913"/>
      <c r="I117" s="913">
        <v>6202</v>
      </c>
      <c r="J117" s="913"/>
      <c r="K117" s="913"/>
      <c r="L117" s="913"/>
      <c r="M117" s="913"/>
      <c r="N117" s="913"/>
      <c r="O117" s="913"/>
      <c r="P117" s="913"/>
      <c r="Q117" s="913"/>
      <c r="R117" s="888"/>
      <c r="S117" s="913"/>
    </row>
    <row r="118" spans="1:19" ht="20.25">
      <c r="A118" s="888"/>
      <c r="B118" s="242"/>
      <c r="C118" s="897"/>
      <c r="D118" s="905" t="s">
        <v>1072</v>
      </c>
      <c r="E118" s="909">
        <f>E116</f>
        <v>0</v>
      </c>
      <c r="F118" s="909">
        <f t="shared" si="7"/>
        <v>8947</v>
      </c>
      <c r="G118" s="913">
        <f>G116</f>
        <v>0</v>
      </c>
      <c r="H118" s="913">
        <f aca="true" t="shared" si="70" ref="H118:S118">H116</f>
        <v>0</v>
      </c>
      <c r="I118" s="913">
        <f t="shared" si="70"/>
        <v>8947</v>
      </c>
      <c r="J118" s="913">
        <f t="shared" si="70"/>
        <v>0</v>
      </c>
      <c r="K118" s="913">
        <f t="shared" si="70"/>
        <v>0</v>
      </c>
      <c r="L118" s="913">
        <f t="shared" si="70"/>
        <v>0</v>
      </c>
      <c r="M118" s="913">
        <f t="shared" si="70"/>
        <v>0</v>
      </c>
      <c r="N118" s="913">
        <f t="shared" si="70"/>
        <v>0</v>
      </c>
      <c r="O118" s="913">
        <f t="shared" si="70"/>
        <v>0</v>
      </c>
      <c r="P118" s="913">
        <f t="shared" si="70"/>
        <v>0</v>
      </c>
      <c r="Q118" s="913">
        <f t="shared" si="70"/>
        <v>0</v>
      </c>
      <c r="R118" s="913">
        <f t="shared" si="70"/>
        <v>0</v>
      </c>
      <c r="S118" s="913">
        <f t="shared" si="70"/>
        <v>0</v>
      </c>
    </row>
    <row r="119" spans="1:19" ht="20.25">
      <c r="A119" s="888"/>
      <c r="B119" s="242"/>
      <c r="C119" s="897"/>
      <c r="D119" s="905" t="s">
        <v>1073</v>
      </c>
      <c r="E119" s="913">
        <f aca="true" t="shared" si="71" ref="E119:F119">E118-E117</f>
        <v>0</v>
      </c>
      <c r="F119" s="913">
        <f t="shared" si="71"/>
        <v>2745</v>
      </c>
      <c r="G119" s="913">
        <f>G118-G117</f>
        <v>0</v>
      </c>
      <c r="H119" s="913">
        <f aca="true" t="shared" si="72" ref="H119:S119">H118-H117</f>
        <v>0</v>
      </c>
      <c r="I119" s="913">
        <f t="shared" si="72"/>
        <v>2745</v>
      </c>
      <c r="J119" s="913">
        <f t="shared" si="72"/>
        <v>0</v>
      </c>
      <c r="K119" s="913">
        <f t="shared" si="72"/>
        <v>0</v>
      </c>
      <c r="L119" s="913">
        <f t="shared" si="72"/>
        <v>0</v>
      </c>
      <c r="M119" s="913">
        <f t="shared" si="72"/>
        <v>0</v>
      </c>
      <c r="N119" s="913">
        <f t="shared" si="72"/>
        <v>0</v>
      </c>
      <c r="O119" s="913">
        <f t="shared" si="72"/>
        <v>0</v>
      </c>
      <c r="P119" s="913">
        <f t="shared" si="72"/>
        <v>0</v>
      </c>
      <c r="Q119" s="913">
        <f t="shared" si="72"/>
        <v>0</v>
      </c>
      <c r="R119" s="913">
        <f t="shared" si="72"/>
        <v>0</v>
      </c>
      <c r="S119" s="913">
        <f t="shared" si="72"/>
        <v>0</v>
      </c>
    </row>
    <row r="120" spans="1:19" ht="20.25">
      <c r="A120" s="888" t="s">
        <v>121</v>
      </c>
      <c r="B120" s="242" t="s">
        <v>616</v>
      </c>
      <c r="C120" s="897" t="s">
        <v>617</v>
      </c>
      <c r="D120" s="905" t="s">
        <v>4</v>
      </c>
      <c r="E120" s="909"/>
      <c r="F120" s="909">
        <f t="shared" si="7"/>
        <v>81840</v>
      </c>
      <c r="G120" s="913"/>
      <c r="H120" s="913"/>
      <c r="I120" s="913"/>
      <c r="J120" s="913"/>
      <c r="K120" s="913"/>
      <c r="L120" s="913"/>
      <c r="M120" s="913">
        <v>44500</v>
      </c>
      <c r="N120" s="913">
        <v>37340</v>
      </c>
      <c r="O120" s="913"/>
      <c r="P120" s="913"/>
      <c r="Q120" s="913"/>
      <c r="R120" s="888"/>
      <c r="S120" s="913"/>
    </row>
    <row r="121" spans="1:19" ht="20.25" hidden="1">
      <c r="A121" s="888"/>
      <c r="B121" s="242"/>
      <c r="C121" s="897"/>
      <c r="D121" s="905" t="s">
        <v>859</v>
      </c>
      <c r="E121" s="909">
        <v>1651</v>
      </c>
      <c r="F121" s="909">
        <f t="shared" si="7"/>
        <v>82133</v>
      </c>
      <c r="G121" s="913"/>
      <c r="H121" s="913"/>
      <c r="I121" s="913"/>
      <c r="J121" s="913"/>
      <c r="K121" s="913"/>
      <c r="L121" s="913"/>
      <c r="M121" s="913">
        <v>43002</v>
      </c>
      <c r="N121" s="913">
        <v>39131</v>
      </c>
      <c r="O121" s="913"/>
      <c r="P121" s="913"/>
      <c r="Q121" s="913"/>
      <c r="R121" s="888"/>
      <c r="S121" s="913"/>
    </row>
    <row r="122" spans="1:19" ht="20.25">
      <c r="A122" s="888"/>
      <c r="B122" s="242"/>
      <c r="C122" s="897"/>
      <c r="D122" s="905" t="s">
        <v>861</v>
      </c>
      <c r="E122" s="909">
        <f>E121+452</f>
        <v>2103</v>
      </c>
      <c r="F122" s="909">
        <f t="shared" si="7"/>
        <v>75486</v>
      </c>
      <c r="G122" s="913"/>
      <c r="H122" s="913"/>
      <c r="I122" s="913"/>
      <c r="J122" s="913"/>
      <c r="K122" s="913"/>
      <c r="L122" s="913"/>
      <c r="M122" s="913">
        <f>M121-4773</f>
        <v>38229</v>
      </c>
      <c r="N122" s="913">
        <f>N121-1874</f>
        <v>37257</v>
      </c>
      <c r="O122" s="913"/>
      <c r="P122" s="913"/>
      <c r="Q122" s="913"/>
      <c r="R122" s="888"/>
      <c r="S122" s="913"/>
    </row>
    <row r="123" spans="1:19" ht="20.25" hidden="1">
      <c r="A123" s="888"/>
      <c r="B123" s="242"/>
      <c r="C123" s="897"/>
      <c r="D123" s="905" t="s">
        <v>1069</v>
      </c>
      <c r="E123" s="909">
        <v>3932</v>
      </c>
      <c r="F123" s="909">
        <f t="shared" si="7"/>
        <v>35639</v>
      </c>
      <c r="G123" s="913"/>
      <c r="H123" s="913"/>
      <c r="I123" s="913"/>
      <c r="J123" s="913"/>
      <c r="K123" s="913"/>
      <c r="L123" s="913"/>
      <c r="M123" s="913">
        <f>19057+495</f>
        <v>19552</v>
      </c>
      <c r="N123" s="913">
        <v>16087</v>
      </c>
      <c r="O123" s="913"/>
      <c r="P123" s="913"/>
      <c r="Q123" s="913"/>
      <c r="R123" s="888"/>
      <c r="S123" s="913"/>
    </row>
    <row r="124" spans="1:19" ht="20.25">
      <c r="A124" s="888"/>
      <c r="B124" s="242"/>
      <c r="C124" s="897"/>
      <c r="D124" s="905" t="s">
        <v>1072</v>
      </c>
      <c r="E124" s="909">
        <f>E122+1440</f>
        <v>3543</v>
      </c>
      <c r="F124" s="909">
        <f t="shared" si="7"/>
        <v>64064</v>
      </c>
      <c r="G124" s="913">
        <f>G122</f>
        <v>0</v>
      </c>
      <c r="H124" s="913">
        <f aca="true" t="shared" si="73" ref="H124:L124">H122</f>
        <v>0</v>
      </c>
      <c r="I124" s="913">
        <f>I122+450</f>
        <v>450</v>
      </c>
      <c r="J124" s="913">
        <f t="shared" si="73"/>
        <v>0</v>
      </c>
      <c r="K124" s="913">
        <f t="shared" si="73"/>
        <v>0</v>
      </c>
      <c r="L124" s="913">
        <f t="shared" si="73"/>
        <v>0</v>
      </c>
      <c r="M124" s="913">
        <f>M122-27-390-572-6518</f>
        <v>30722</v>
      </c>
      <c r="N124" s="913">
        <f>N122+63+572-2500-2500</f>
        <v>32892</v>
      </c>
      <c r="O124" s="913">
        <f>O122</f>
        <v>0</v>
      </c>
      <c r="P124" s="913">
        <f aca="true" t="shared" si="74" ref="P124:S124">P122</f>
        <v>0</v>
      </c>
      <c r="Q124" s="913">
        <f t="shared" si="74"/>
        <v>0</v>
      </c>
      <c r="R124" s="913">
        <f t="shared" si="74"/>
        <v>0</v>
      </c>
      <c r="S124" s="913">
        <f t="shared" si="74"/>
        <v>0</v>
      </c>
    </row>
    <row r="125" spans="1:19" ht="20.25" hidden="1">
      <c r="A125" s="888"/>
      <c r="B125" s="242"/>
      <c r="C125" s="897"/>
      <c r="D125" s="905" t="s">
        <v>1073</v>
      </c>
      <c r="E125" s="913">
        <f aca="true" t="shared" si="75" ref="E125:F125">E124-E123</f>
        <v>-389</v>
      </c>
      <c r="F125" s="913">
        <f t="shared" si="75"/>
        <v>28425</v>
      </c>
      <c r="G125" s="913">
        <f>G124-G123</f>
        <v>0</v>
      </c>
      <c r="H125" s="913">
        <f aca="true" t="shared" si="76" ref="H125:S125">H124-H123</f>
        <v>0</v>
      </c>
      <c r="I125" s="913">
        <f t="shared" si="76"/>
        <v>450</v>
      </c>
      <c r="J125" s="913">
        <f t="shared" si="76"/>
        <v>0</v>
      </c>
      <c r="K125" s="913">
        <f t="shared" si="76"/>
        <v>0</v>
      </c>
      <c r="L125" s="913">
        <f t="shared" si="76"/>
        <v>0</v>
      </c>
      <c r="M125" s="913">
        <f t="shared" si="76"/>
        <v>11170</v>
      </c>
      <c r="N125" s="913">
        <f t="shared" si="76"/>
        <v>16805</v>
      </c>
      <c r="O125" s="913">
        <f t="shared" si="76"/>
        <v>0</v>
      </c>
      <c r="P125" s="913">
        <f t="shared" si="76"/>
        <v>0</v>
      </c>
      <c r="Q125" s="913">
        <f t="shared" si="76"/>
        <v>0</v>
      </c>
      <c r="R125" s="913">
        <f t="shared" si="76"/>
        <v>0</v>
      </c>
      <c r="S125" s="913">
        <f t="shared" si="76"/>
        <v>0</v>
      </c>
    </row>
    <row r="126" spans="1:19" ht="20.25">
      <c r="A126" s="888" t="s">
        <v>121</v>
      </c>
      <c r="B126" s="242" t="s">
        <v>618</v>
      </c>
      <c r="C126" s="897" t="s">
        <v>619</v>
      </c>
      <c r="D126" s="905" t="s">
        <v>4</v>
      </c>
      <c r="E126" s="909"/>
      <c r="F126" s="909">
        <f t="shared" si="7"/>
        <v>0</v>
      </c>
      <c r="G126" s="913"/>
      <c r="H126" s="913"/>
      <c r="I126" s="913"/>
      <c r="J126" s="913"/>
      <c r="K126" s="913"/>
      <c r="L126" s="913"/>
      <c r="M126" s="913"/>
      <c r="N126" s="913"/>
      <c r="O126" s="913"/>
      <c r="P126" s="913"/>
      <c r="Q126" s="913"/>
      <c r="R126" s="888"/>
      <c r="S126" s="913"/>
    </row>
    <row r="127" spans="1:19" ht="20.25">
      <c r="A127" s="888"/>
      <c r="B127" s="242"/>
      <c r="C127" s="897"/>
      <c r="D127" s="905" t="s">
        <v>861</v>
      </c>
      <c r="E127" s="909"/>
      <c r="F127" s="909">
        <f aca="true" t="shared" si="77" ref="F127:F232">G127+H127+I127+J127+K127+L127+M127+N127+O127+P127+Q127+R127+S127</f>
        <v>0</v>
      </c>
      <c r="G127" s="913"/>
      <c r="H127" s="913"/>
      <c r="I127" s="913"/>
      <c r="J127" s="913"/>
      <c r="K127" s="913"/>
      <c r="L127" s="913"/>
      <c r="M127" s="913"/>
      <c r="N127" s="913"/>
      <c r="O127" s="913"/>
      <c r="P127" s="913"/>
      <c r="Q127" s="913"/>
      <c r="R127" s="888"/>
      <c r="S127" s="913"/>
    </row>
    <row r="128" spans="1:19" ht="20.25" hidden="1">
      <c r="A128" s="888"/>
      <c r="B128" s="242"/>
      <c r="C128" s="897"/>
      <c r="D128" s="905" t="s">
        <v>1069</v>
      </c>
      <c r="E128" s="909"/>
      <c r="F128" s="909">
        <f t="shared" si="77"/>
        <v>0</v>
      </c>
      <c r="G128" s="913"/>
      <c r="H128" s="913"/>
      <c r="I128" s="913"/>
      <c r="J128" s="913"/>
      <c r="K128" s="913"/>
      <c r="L128" s="913"/>
      <c r="M128" s="913"/>
      <c r="N128" s="913"/>
      <c r="O128" s="913"/>
      <c r="P128" s="913"/>
      <c r="Q128" s="913"/>
      <c r="R128" s="888"/>
      <c r="S128" s="913"/>
    </row>
    <row r="129" spans="1:19" ht="20.25">
      <c r="A129" s="888"/>
      <c r="B129" s="242"/>
      <c r="C129" s="897"/>
      <c r="D129" s="905" t="s">
        <v>1072</v>
      </c>
      <c r="E129" s="909">
        <f>E127</f>
        <v>0</v>
      </c>
      <c r="F129" s="909">
        <f t="shared" si="77"/>
        <v>0</v>
      </c>
      <c r="G129" s="913">
        <f>G127</f>
        <v>0</v>
      </c>
      <c r="H129" s="913">
        <f aca="true" t="shared" si="78" ref="H129:S129">H127</f>
        <v>0</v>
      </c>
      <c r="I129" s="913">
        <f t="shared" si="78"/>
        <v>0</v>
      </c>
      <c r="J129" s="913">
        <f t="shared" si="78"/>
        <v>0</v>
      </c>
      <c r="K129" s="913">
        <f t="shared" si="78"/>
        <v>0</v>
      </c>
      <c r="L129" s="913">
        <f t="shared" si="78"/>
        <v>0</v>
      </c>
      <c r="M129" s="913">
        <f t="shared" si="78"/>
        <v>0</v>
      </c>
      <c r="N129" s="913">
        <f t="shared" si="78"/>
        <v>0</v>
      </c>
      <c r="O129" s="913">
        <f t="shared" si="78"/>
        <v>0</v>
      </c>
      <c r="P129" s="913">
        <f t="shared" si="78"/>
        <v>0</v>
      </c>
      <c r="Q129" s="913">
        <f t="shared" si="78"/>
        <v>0</v>
      </c>
      <c r="R129" s="913">
        <f t="shared" si="78"/>
        <v>0</v>
      </c>
      <c r="S129" s="913">
        <f t="shared" si="78"/>
        <v>0</v>
      </c>
    </row>
    <row r="130" spans="1:19" ht="20.25" hidden="1">
      <c r="A130" s="888"/>
      <c r="B130" s="242"/>
      <c r="C130" s="897"/>
      <c r="D130" s="905" t="s">
        <v>1073</v>
      </c>
      <c r="E130" s="913">
        <f aca="true" t="shared" si="79" ref="E130:F130">E129-E128</f>
        <v>0</v>
      </c>
      <c r="F130" s="913">
        <f t="shared" si="79"/>
        <v>0</v>
      </c>
      <c r="G130" s="913">
        <f>G129-G128</f>
        <v>0</v>
      </c>
      <c r="H130" s="913">
        <f aca="true" t="shared" si="80" ref="H130:S130">H129-H128</f>
        <v>0</v>
      </c>
      <c r="I130" s="913">
        <f t="shared" si="80"/>
        <v>0</v>
      </c>
      <c r="J130" s="913">
        <f t="shared" si="80"/>
        <v>0</v>
      </c>
      <c r="K130" s="913">
        <f t="shared" si="80"/>
        <v>0</v>
      </c>
      <c r="L130" s="913">
        <f t="shared" si="80"/>
        <v>0</v>
      </c>
      <c r="M130" s="913">
        <f t="shared" si="80"/>
        <v>0</v>
      </c>
      <c r="N130" s="913">
        <f t="shared" si="80"/>
        <v>0</v>
      </c>
      <c r="O130" s="913">
        <f t="shared" si="80"/>
        <v>0</v>
      </c>
      <c r="P130" s="913">
        <f t="shared" si="80"/>
        <v>0</v>
      </c>
      <c r="Q130" s="913">
        <f t="shared" si="80"/>
        <v>0</v>
      </c>
      <c r="R130" s="913">
        <f t="shared" si="80"/>
        <v>0</v>
      </c>
      <c r="S130" s="913">
        <f t="shared" si="80"/>
        <v>0</v>
      </c>
    </row>
    <row r="131" spans="1:19" ht="40.5">
      <c r="A131" s="888" t="s">
        <v>121</v>
      </c>
      <c r="B131" s="242" t="s">
        <v>620</v>
      </c>
      <c r="C131" s="897" t="s">
        <v>621</v>
      </c>
      <c r="D131" s="905" t="s">
        <v>4</v>
      </c>
      <c r="E131" s="909"/>
      <c r="F131" s="909">
        <f t="shared" si="77"/>
        <v>65485</v>
      </c>
      <c r="G131" s="913"/>
      <c r="H131" s="913"/>
      <c r="I131" s="913">
        <v>65485</v>
      </c>
      <c r="J131" s="913"/>
      <c r="K131" s="909"/>
      <c r="L131" s="909"/>
      <c r="M131" s="909"/>
      <c r="N131" s="913"/>
      <c r="O131" s="913"/>
      <c r="P131" s="913"/>
      <c r="Q131" s="913"/>
      <c r="R131" s="888"/>
      <c r="S131" s="913"/>
    </row>
    <row r="132" spans="1:19" ht="20.25">
      <c r="A132" s="888"/>
      <c r="B132" s="242"/>
      <c r="C132" s="897"/>
      <c r="D132" s="905" t="s">
        <v>861</v>
      </c>
      <c r="E132" s="909"/>
      <c r="F132" s="909">
        <f t="shared" si="77"/>
        <v>70056</v>
      </c>
      <c r="G132" s="913"/>
      <c r="H132" s="913"/>
      <c r="I132" s="913">
        <v>70056</v>
      </c>
      <c r="J132" s="913"/>
      <c r="K132" s="909"/>
      <c r="L132" s="909"/>
      <c r="M132" s="909"/>
      <c r="N132" s="913"/>
      <c r="O132" s="913"/>
      <c r="P132" s="913"/>
      <c r="Q132" s="913"/>
      <c r="R132" s="888"/>
      <c r="S132" s="913"/>
    </row>
    <row r="133" spans="1:19" ht="20.25" hidden="1">
      <c r="A133" s="888"/>
      <c r="B133" s="242"/>
      <c r="C133" s="897"/>
      <c r="D133" s="905" t="s">
        <v>1069</v>
      </c>
      <c r="E133" s="909"/>
      <c r="F133" s="909">
        <f t="shared" si="77"/>
        <v>54984</v>
      </c>
      <c r="G133" s="913"/>
      <c r="H133" s="913"/>
      <c r="I133" s="913">
        <f>41154+13830</f>
        <v>54984</v>
      </c>
      <c r="J133" s="913"/>
      <c r="K133" s="909"/>
      <c r="L133" s="909"/>
      <c r="M133" s="909"/>
      <c r="N133" s="913"/>
      <c r="O133" s="913"/>
      <c r="P133" s="913"/>
      <c r="Q133" s="913"/>
      <c r="R133" s="888"/>
      <c r="S133" s="913"/>
    </row>
    <row r="134" spans="1:19" ht="20.25">
      <c r="A134" s="888"/>
      <c r="B134" s="242"/>
      <c r="C134" s="897"/>
      <c r="D134" s="905" t="s">
        <v>1072</v>
      </c>
      <c r="E134" s="909">
        <f>E132</f>
        <v>0</v>
      </c>
      <c r="F134" s="909">
        <f t="shared" si="77"/>
        <v>70056</v>
      </c>
      <c r="G134" s="913">
        <f>G132</f>
        <v>0</v>
      </c>
      <c r="H134" s="913">
        <f>H132</f>
        <v>0</v>
      </c>
      <c r="I134" s="913">
        <f>I132</f>
        <v>70056</v>
      </c>
      <c r="J134" s="913">
        <f>J132</f>
        <v>0</v>
      </c>
      <c r="K134" s="913">
        <f aca="true" t="shared" si="81" ref="K134:S134">K132</f>
        <v>0</v>
      </c>
      <c r="L134" s="913">
        <f t="shared" si="81"/>
        <v>0</v>
      </c>
      <c r="M134" s="913">
        <f t="shared" si="81"/>
        <v>0</v>
      </c>
      <c r="N134" s="913">
        <f t="shared" si="81"/>
        <v>0</v>
      </c>
      <c r="O134" s="913">
        <f t="shared" si="81"/>
        <v>0</v>
      </c>
      <c r="P134" s="913">
        <f t="shared" si="81"/>
        <v>0</v>
      </c>
      <c r="Q134" s="913">
        <f t="shared" si="81"/>
        <v>0</v>
      </c>
      <c r="R134" s="913">
        <f t="shared" si="81"/>
        <v>0</v>
      </c>
      <c r="S134" s="913">
        <f t="shared" si="81"/>
        <v>0</v>
      </c>
    </row>
    <row r="135" spans="1:19" ht="20.25" hidden="1">
      <c r="A135" s="888"/>
      <c r="B135" s="242"/>
      <c r="C135" s="897"/>
      <c r="D135" s="905" t="s">
        <v>1073</v>
      </c>
      <c r="E135" s="913">
        <f aca="true" t="shared" si="82" ref="E135:F135">E134-E133</f>
        <v>0</v>
      </c>
      <c r="F135" s="913">
        <f t="shared" si="82"/>
        <v>15072</v>
      </c>
      <c r="G135" s="913">
        <f>G134-G133</f>
        <v>0</v>
      </c>
      <c r="H135" s="913">
        <f aca="true" t="shared" si="83" ref="H135:S135">H134-H133</f>
        <v>0</v>
      </c>
      <c r="I135" s="913">
        <f t="shared" si="83"/>
        <v>15072</v>
      </c>
      <c r="J135" s="913">
        <f t="shared" si="83"/>
        <v>0</v>
      </c>
      <c r="K135" s="913">
        <f t="shared" si="83"/>
        <v>0</v>
      </c>
      <c r="L135" s="913">
        <f t="shared" si="83"/>
        <v>0</v>
      </c>
      <c r="M135" s="913">
        <f t="shared" si="83"/>
        <v>0</v>
      </c>
      <c r="N135" s="913">
        <f t="shared" si="83"/>
        <v>0</v>
      </c>
      <c r="O135" s="913">
        <f t="shared" si="83"/>
        <v>0</v>
      </c>
      <c r="P135" s="913">
        <f t="shared" si="83"/>
        <v>0</v>
      </c>
      <c r="Q135" s="913">
        <f t="shared" si="83"/>
        <v>0</v>
      </c>
      <c r="R135" s="913">
        <f t="shared" si="83"/>
        <v>0</v>
      </c>
      <c r="S135" s="913">
        <f t="shared" si="83"/>
        <v>0</v>
      </c>
    </row>
    <row r="136" spans="1:19" ht="40.5">
      <c r="A136" s="888" t="s">
        <v>122</v>
      </c>
      <c r="B136" s="242" t="s">
        <v>622</v>
      </c>
      <c r="C136" s="897" t="s">
        <v>623</v>
      </c>
      <c r="D136" s="905" t="s">
        <v>4</v>
      </c>
      <c r="E136" s="909">
        <v>0</v>
      </c>
      <c r="F136" s="909">
        <f t="shared" si="77"/>
        <v>21275</v>
      </c>
      <c r="G136" s="913"/>
      <c r="H136" s="913"/>
      <c r="I136" s="913"/>
      <c r="J136" s="913">
        <v>21275</v>
      </c>
      <c r="K136" s="913"/>
      <c r="L136" s="913"/>
      <c r="M136" s="913"/>
      <c r="N136" s="913"/>
      <c r="O136" s="913"/>
      <c r="P136" s="913"/>
      <c r="Q136" s="913"/>
      <c r="R136" s="888"/>
      <c r="S136" s="913"/>
    </row>
    <row r="137" spans="1:19" ht="20.25">
      <c r="A137" s="888"/>
      <c r="B137" s="242"/>
      <c r="C137" s="897"/>
      <c r="D137" s="905" t="s">
        <v>923</v>
      </c>
      <c r="E137" s="909">
        <v>1993</v>
      </c>
      <c r="F137" s="909">
        <f t="shared" si="77"/>
        <v>172102</v>
      </c>
      <c r="G137" s="913"/>
      <c r="H137" s="913"/>
      <c r="I137" s="913">
        <v>260</v>
      </c>
      <c r="J137" s="913">
        <v>25792</v>
      </c>
      <c r="K137" s="913"/>
      <c r="L137" s="913"/>
      <c r="M137" s="913"/>
      <c r="N137" s="913"/>
      <c r="O137" s="913">
        <v>146050</v>
      </c>
      <c r="P137" s="913"/>
      <c r="Q137" s="913"/>
      <c r="R137" s="888"/>
      <c r="S137" s="913"/>
    </row>
    <row r="138" spans="1:19" ht="20.25" hidden="1">
      <c r="A138" s="888"/>
      <c r="B138" s="242"/>
      <c r="C138" s="897"/>
      <c r="D138" s="905" t="s">
        <v>1069</v>
      </c>
      <c r="E138" s="909">
        <v>2443</v>
      </c>
      <c r="F138" s="909">
        <f t="shared" si="77"/>
        <v>172120</v>
      </c>
      <c r="G138" s="913"/>
      <c r="H138" s="913"/>
      <c r="I138" s="913">
        <v>860</v>
      </c>
      <c r="J138" s="913">
        <v>25210</v>
      </c>
      <c r="K138" s="913"/>
      <c r="L138" s="913"/>
      <c r="M138" s="913"/>
      <c r="N138" s="913"/>
      <c r="O138" s="913">
        <v>146050</v>
      </c>
      <c r="P138" s="913"/>
      <c r="Q138" s="913"/>
      <c r="R138" s="888"/>
      <c r="S138" s="913"/>
    </row>
    <row r="139" spans="1:19" ht="20.25">
      <c r="A139" s="888"/>
      <c r="B139" s="242"/>
      <c r="C139" s="897"/>
      <c r="D139" s="905" t="s">
        <v>1072</v>
      </c>
      <c r="E139" s="909">
        <f>E137+450</f>
        <v>2443</v>
      </c>
      <c r="F139" s="909">
        <f t="shared" si="77"/>
        <v>173192</v>
      </c>
      <c r="G139" s="913">
        <f>G137</f>
        <v>0</v>
      </c>
      <c r="H139" s="913">
        <f>H137</f>
        <v>0</v>
      </c>
      <c r="I139" s="913">
        <f>I137+640</f>
        <v>900</v>
      </c>
      <c r="J139" s="913">
        <f>J137+450</f>
        <v>26242</v>
      </c>
      <c r="K139" s="913">
        <f aca="true" t="shared" si="84" ref="K139:N139">K137</f>
        <v>0</v>
      </c>
      <c r="L139" s="913">
        <f t="shared" si="84"/>
        <v>0</v>
      </c>
      <c r="M139" s="913">
        <f t="shared" si="84"/>
        <v>0</v>
      </c>
      <c r="N139" s="913">
        <f t="shared" si="84"/>
        <v>0</v>
      </c>
      <c r="O139" s="913">
        <f>O137</f>
        <v>146050</v>
      </c>
      <c r="P139" s="913">
        <f>P137</f>
        <v>0</v>
      </c>
      <c r="Q139" s="913">
        <f aca="true" t="shared" si="85" ref="Q139:S139">Q137</f>
        <v>0</v>
      </c>
      <c r="R139" s="913">
        <f t="shared" si="85"/>
        <v>0</v>
      </c>
      <c r="S139" s="913">
        <f t="shared" si="85"/>
        <v>0</v>
      </c>
    </row>
    <row r="140" spans="1:19" ht="20.25" hidden="1">
      <c r="A140" s="888"/>
      <c r="B140" s="242"/>
      <c r="C140" s="897"/>
      <c r="D140" s="905" t="s">
        <v>1073</v>
      </c>
      <c r="E140" s="913">
        <f aca="true" t="shared" si="86" ref="E140:F140">E139-E138</f>
        <v>0</v>
      </c>
      <c r="F140" s="913">
        <f t="shared" si="86"/>
        <v>1072</v>
      </c>
      <c r="G140" s="913">
        <f>G139-G138</f>
        <v>0</v>
      </c>
      <c r="H140" s="913">
        <f aca="true" t="shared" si="87" ref="H140:S140">H139-H138</f>
        <v>0</v>
      </c>
      <c r="I140" s="913">
        <f t="shared" si="87"/>
        <v>40</v>
      </c>
      <c r="J140" s="913">
        <f t="shared" si="87"/>
        <v>1032</v>
      </c>
      <c r="K140" s="913">
        <f t="shared" si="87"/>
        <v>0</v>
      </c>
      <c r="L140" s="913">
        <f t="shared" si="87"/>
        <v>0</v>
      </c>
      <c r="M140" s="913">
        <f t="shared" si="87"/>
        <v>0</v>
      </c>
      <c r="N140" s="913">
        <f t="shared" si="87"/>
        <v>0</v>
      </c>
      <c r="O140" s="913">
        <f t="shared" si="87"/>
        <v>0</v>
      </c>
      <c r="P140" s="913">
        <f t="shared" si="87"/>
        <v>0</v>
      </c>
      <c r="Q140" s="913">
        <f t="shared" si="87"/>
        <v>0</v>
      </c>
      <c r="R140" s="913">
        <f t="shared" si="87"/>
        <v>0</v>
      </c>
      <c r="S140" s="913">
        <f t="shared" si="87"/>
        <v>0</v>
      </c>
    </row>
    <row r="141" spans="1:19" ht="60.75">
      <c r="A141" s="888" t="s">
        <v>121</v>
      </c>
      <c r="B141" s="242" t="s">
        <v>624</v>
      </c>
      <c r="C141" s="897" t="s">
        <v>625</v>
      </c>
      <c r="D141" s="905" t="s">
        <v>4</v>
      </c>
      <c r="E141" s="909"/>
      <c r="F141" s="909">
        <f t="shared" si="77"/>
        <v>28680</v>
      </c>
      <c r="G141" s="913"/>
      <c r="H141" s="913"/>
      <c r="I141" s="913">
        <v>28680</v>
      </c>
      <c r="J141" s="913"/>
      <c r="K141" s="913"/>
      <c r="L141" s="913"/>
      <c r="M141" s="913"/>
      <c r="N141" s="913"/>
      <c r="O141" s="913"/>
      <c r="P141" s="913"/>
      <c r="Q141" s="913"/>
      <c r="R141" s="888"/>
      <c r="S141" s="913"/>
    </row>
    <row r="142" spans="1:19" ht="20.25">
      <c r="A142" s="888"/>
      <c r="B142" s="242"/>
      <c r="C142" s="897"/>
      <c r="D142" s="905" t="s">
        <v>861</v>
      </c>
      <c r="E142" s="909"/>
      <c r="F142" s="909">
        <f t="shared" si="77"/>
        <v>28680</v>
      </c>
      <c r="G142" s="913"/>
      <c r="H142" s="913"/>
      <c r="I142" s="913">
        <v>28680</v>
      </c>
      <c r="J142" s="913"/>
      <c r="K142" s="913"/>
      <c r="L142" s="913"/>
      <c r="M142" s="913"/>
      <c r="N142" s="913"/>
      <c r="O142" s="913"/>
      <c r="P142" s="913"/>
      <c r="Q142" s="913"/>
      <c r="R142" s="888"/>
      <c r="S142" s="913"/>
    </row>
    <row r="143" spans="1:19" ht="20.25" hidden="1">
      <c r="A143" s="888"/>
      <c r="B143" s="242"/>
      <c r="C143" s="897"/>
      <c r="D143" s="905" t="s">
        <v>1069</v>
      </c>
      <c r="E143" s="909"/>
      <c r="F143" s="909">
        <f t="shared" si="77"/>
        <v>38289</v>
      </c>
      <c r="G143" s="913"/>
      <c r="H143" s="913"/>
      <c r="I143" s="913">
        <f>33864+4425</f>
        <v>38289</v>
      </c>
      <c r="J143" s="913"/>
      <c r="K143" s="913"/>
      <c r="L143" s="913"/>
      <c r="M143" s="913"/>
      <c r="N143" s="913"/>
      <c r="O143" s="913"/>
      <c r="P143" s="913"/>
      <c r="Q143" s="913"/>
      <c r="R143" s="888"/>
      <c r="S143" s="913"/>
    </row>
    <row r="144" spans="1:19" ht="20.25">
      <c r="A144" s="888"/>
      <c r="B144" s="242"/>
      <c r="C144" s="897"/>
      <c r="D144" s="905" t="s">
        <v>1072</v>
      </c>
      <c r="E144" s="909">
        <f>E142</f>
        <v>0</v>
      </c>
      <c r="F144" s="909">
        <f t="shared" si="77"/>
        <v>38330</v>
      </c>
      <c r="G144" s="913">
        <f>G142</f>
        <v>0</v>
      </c>
      <c r="H144" s="913">
        <f>H142</f>
        <v>0</v>
      </c>
      <c r="I144" s="913">
        <f>I142+5200+4450</f>
        <v>38330</v>
      </c>
      <c r="J144" s="913">
        <f>J142</f>
        <v>0</v>
      </c>
      <c r="K144" s="913">
        <f aca="true" t="shared" si="88" ref="K144:S144">K142</f>
        <v>0</v>
      </c>
      <c r="L144" s="913">
        <f t="shared" si="88"/>
        <v>0</v>
      </c>
      <c r="M144" s="913">
        <f t="shared" si="88"/>
        <v>0</v>
      </c>
      <c r="N144" s="913">
        <f t="shared" si="88"/>
        <v>0</v>
      </c>
      <c r="O144" s="913">
        <f t="shared" si="88"/>
        <v>0</v>
      </c>
      <c r="P144" s="913">
        <f t="shared" si="88"/>
        <v>0</v>
      </c>
      <c r="Q144" s="913">
        <f t="shared" si="88"/>
        <v>0</v>
      </c>
      <c r="R144" s="913">
        <f t="shared" si="88"/>
        <v>0</v>
      </c>
      <c r="S144" s="913">
        <f t="shared" si="88"/>
        <v>0</v>
      </c>
    </row>
    <row r="145" spans="1:19" ht="20.25" hidden="1">
      <c r="A145" s="888"/>
      <c r="B145" s="242"/>
      <c r="C145" s="897"/>
      <c r="D145" s="905" t="s">
        <v>1073</v>
      </c>
      <c r="E145" s="913">
        <f aca="true" t="shared" si="89" ref="E145:F145">E144-E143</f>
        <v>0</v>
      </c>
      <c r="F145" s="913">
        <f t="shared" si="89"/>
        <v>41</v>
      </c>
      <c r="G145" s="913">
        <f>G144-G143</f>
        <v>0</v>
      </c>
      <c r="H145" s="913">
        <f aca="true" t="shared" si="90" ref="H145:S145">H144-H143</f>
        <v>0</v>
      </c>
      <c r="I145" s="913">
        <f t="shared" si="90"/>
        <v>41</v>
      </c>
      <c r="J145" s="913">
        <f t="shared" si="90"/>
        <v>0</v>
      </c>
      <c r="K145" s="913">
        <f t="shared" si="90"/>
        <v>0</v>
      </c>
      <c r="L145" s="913">
        <f t="shared" si="90"/>
        <v>0</v>
      </c>
      <c r="M145" s="913">
        <f t="shared" si="90"/>
        <v>0</v>
      </c>
      <c r="N145" s="913">
        <f t="shared" si="90"/>
        <v>0</v>
      </c>
      <c r="O145" s="913">
        <f t="shared" si="90"/>
        <v>0</v>
      </c>
      <c r="P145" s="913">
        <f t="shared" si="90"/>
        <v>0</v>
      </c>
      <c r="Q145" s="913">
        <f t="shared" si="90"/>
        <v>0</v>
      </c>
      <c r="R145" s="913">
        <f t="shared" si="90"/>
        <v>0</v>
      </c>
      <c r="S145" s="913">
        <f t="shared" si="90"/>
        <v>0</v>
      </c>
    </row>
    <row r="146" spans="1:19" ht="20.25">
      <c r="A146" s="888" t="s">
        <v>121</v>
      </c>
      <c r="B146" s="242" t="s">
        <v>626</v>
      </c>
      <c r="C146" s="897" t="s">
        <v>627</v>
      </c>
      <c r="D146" s="905" t="s">
        <v>4</v>
      </c>
      <c r="E146" s="909">
        <v>16910</v>
      </c>
      <c r="F146" s="909">
        <f t="shared" si="77"/>
        <v>29490</v>
      </c>
      <c r="G146" s="913"/>
      <c r="H146" s="913"/>
      <c r="I146" s="913">
        <v>10802</v>
      </c>
      <c r="J146" s="913"/>
      <c r="K146" s="913"/>
      <c r="L146" s="913"/>
      <c r="M146" s="913">
        <v>18688</v>
      </c>
      <c r="N146" s="913"/>
      <c r="O146" s="913"/>
      <c r="P146" s="913"/>
      <c r="Q146" s="913"/>
      <c r="R146" s="888"/>
      <c r="S146" s="913"/>
    </row>
    <row r="147" spans="1:19" ht="20.25">
      <c r="A147" s="888"/>
      <c r="B147" s="242"/>
      <c r="C147" s="897"/>
      <c r="D147" s="905" t="s">
        <v>861</v>
      </c>
      <c r="E147" s="909">
        <v>17070</v>
      </c>
      <c r="F147" s="909">
        <f t="shared" si="77"/>
        <v>38154</v>
      </c>
      <c r="G147" s="913"/>
      <c r="H147" s="913"/>
      <c r="I147" s="913">
        <v>16227</v>
      </c>
      <c r="J147" s="913"/>
      <c r="K147" s="913"/>
      <c r="L147" s="913"/>
      <c r="M147" s="913">
        <v>18459</v>
      </c>
      <c r="N147" s="913">
        <v>3468</v>
      </c>
      <c r="O147" s="913"/>
      <c r="P147" s="913"/>
      <c r="Q147" s="913"/>
      <c r="R147" s="888"/>
      <c r="S147" s="913"/>
    </row>
    <row r="148" spans="1:19" ht="20.25" hidden="1">
      <c r="A148" s="888"/>
      <c r="B148" s="242"/>
      <c r="C148" s="897"/>
      <c r="D148" s="905" t="s">
        <v>1069</v>
      </c>
      <c r="E148" s="909">
        <v>17049</v>
      </c>
      <c r="F148" s="909">
        <f t="shared" si="77"/>
        <v>18752</v>
      </c>
      <c r="G148" s="913"/>
      <c r="H148" s="913"/>
      <c r="I148" s="913">
        <f>12576+282</f>
        <v>12858</v>
      </c>
      <c r="J148" s="913"/>
      <c r="K148" s="913"/>
      <c r="L148" s="913"/>
      <c r="M148" s="913">
        <f>2921-495</f>
        <v>2426</v>
      </c>
      <c r="N148" s="913">
        <f>1803+3175-1510</f>
        <v>3468</v>
      </c>
      <c r="O148" s="913"/>
      <c r="P148" s="913"/>
      <c r="Q148" s="913"/>
      <c r="R148" s="888"/>
      <c r="S148" s="913"/>
    </row>
    <row r="149" spans="1:19" ht="20.25">
      <c r="A149" s="888"/>
      <c r="B149" s="242"/>
      <c r="C149" s="897"/>
      <c r="D149" s="905" t="s">
        <v>1072</v>
      </c>
      <c r="E149" s="909">
        <f>E147-15</f>
        <v>17055</v>
      </c>
      <c r="F149" s="909">
        <f t="shared" si="77"/>
        <v>22122</v>
      </c>
      <c r="G149" s="913">
        <f>G147</f>
        <v>0</v>
      </c>
      <c r="H149" s="913">
        <f>H147</f>
        <v>0</v>
      </c>
      <c r="I149" s="913">
        <f>I147</f>
        <v>16227</v>
      </c>
      <c r="J149" s="913">
        <f>J147</f>
        <v>0</v>
      </c>
      <c r="K149" s="913">
        <f aca="true" t="shared" si="91" ref="K149:L149">K147</f>
        <v>0</v>
      </c>
      <c r="L149" s="913">
        <f t="shared" si="91"/>
        <v>0</v>
      </c>
      <c r="M149" s="913">
        <f>M147-14483-1549</f>
        <v>2427</v>
      </c>
      <c r="N149" s="913">
        <f>N147</f>
        <v>3468</v>
      </c>
      <c r="O149" s="913">
        <f>O147</f>
        <v>0</v>
      </c>
      <c r="P149" s="913">
        <f aca="true" t="shared" si="92" ref="P149:S149">P147</f>
        <v>0</v>
      </c>
      <c r="Q149" s="913">
        <f t="shared" si="92"/>
        <v>0</v>
      </c>
      <c r="R149" s="913">
        <f t="shared" si="92"/>
        <v>0</v>
      </c>
      <c r="S149" s="913">
        <f t="shared" si="92"/>
        <v>0</v>
      </c>
    </row>
    <row r="150" spans="1:19" ht="20.25" hidden="1">
      <c r="A150" s="888"/>
      <c r="B150" s="242"/>
      <c r="C150" s="897"/>
      <c r="D150" s="905" t="s">
        <v>1073</v>
      </c>
      <c r="E150" s="913">
        <f aca="true" t="shared" si="93" ref="E150:F150">E149-E148</f>
        <v>6</v>
      </c>
      <c r="F150" s="913">
        <f t="shared" si="93"/>
        <v>3370</v>
      </c>
      <c r="G150" s="913">
        <f>G149-G148</f>
        <v>0</v>
      </c>
      <c r="H150" s="913">
        <f aca="true" t="shared" si="94" ref="H150:S150">H149-H148</f>
        <v>0</v>
      </c>
      <c r="I150" s="913">
        <f t="shared" si="94"/>
        <v>3369</v>
      </c>
      <c r="J150" s="913">
        <f t="shared" si="94"/>
        <v>0</v>
      </c>
      <c r="K150" s="913">
        <f t="shared" si="94"/>
        <v>0</v>
      </c>
      <c r="L150" s="913">
        <f t="shared" si="94"/>
        <v>0</v>
      </c>
      <c r="M150" s="913">
        <f t="shared" si="94"/>
        <v>1</v>
      </c>
      <c r="N150" s="913">
        <f t="shared" si="94"/>
        <v>0</v>
      </c>
      <c r="O150" s="913">
        <f t="shared" si="94"/>
        <v>0</v>
      </c>
      <c r="P150" s="913">
        <f t="shared" si="94"/>
        <v>0</v>
      </c>
      <c r="Q150" s="913">
        <f t="shared" si="94"/>
        <v>0</v>
      </c>
      <c r="R150" s="913">
        <f t="shared" si="94"/>
        <v>0</v>
      </c>
      <c r="S150" s="913">
        <f t="shared" si="94"/>
        <v>0</v>
      </c>
    </row>
    <row r="151" spans="1:19" ht="20.25">
      <c r="A151" s="888" t="s">
        <v>121</v>
      </c>
      <c r="B151" s="242" t="s">
        <v>628</v>
      </c>
      <c r="C151" s="897" t="s">
        <v>629</v>
      </c>
      <c r="D151" s="905" t="s">
        <v>4</v>
      </c>
      <c r="E151" s="909">
        <v>0</v>
      </c>
      <c r="F151" s="909">
        <f t="shared" si="77"/>
        <v>47771</v>
      </c>
      <c r="G151" s="914">
        <v>762</v>
      </c>
      <c r="H151" s="914">
        <v>390</v>
      </c>
      <c r="I151" s="914">
        <v>34364</v>
      </c>
      <c r="J151" s="914">
        <v>4000</v>
      </c>
      <c r="K151" s="914"/>
      <c r="L151" s="914"/>
      <c r="M151" s="914"/>
      <c r="N151" s="914">
        <v>8255</v>
      </c>
      <c r="O151" s="914"/>
      <c r="P151" s="914"/>
      <c r="Q151" s="914"/>
      <c r="R151" s="888"/>
      <c r="S151" s="913"/>
    </row>
    <row r="152" spans="1:19" ht="20.25">
      <c r="A152" s="888"/>
      <c r="B152" s="242"/>
      <c r="C152" s="897"/>
      <c r="D152" s="905" t="s">
        <v>861</v>
      </c>
      <c r="E152" s="909">
        <v>475</v>
      </c>
      <c r="F152" s="909">
        <f t="shared" si="77"/>
        <v>45783</v>
      </c>
      <c r="G152" s="914">
        <v>885</v>
      </c>
      <c r="H152" s="914">
        <v>496</v>
      </c>
      <c r="I152" s="914">
        <v>31771</v>
      </c>
      <c r="J152" s="914">
        <v>3220</v>
      </c>
      <c r="K152" s="914"/>
      <c r="L152" s="914"/>
      <c r="M152" s="914"/>
      <c r="N152" s="914">
        <v>9411</v>
      </c>
      <c r="O152" s="914"/>
      <c r="P152" s="914"/>
      <c r="Q152" s="914"/>
      <c r="R152" s="888"/>
      <c r="S152" s="913"/>
    </row>
    <row r="153" spans="1:19" ht="20.25" hidden="1">
      <c r="A153" s="888"/>
      <c r="B153" s="242"/>
      <c r="C153" s="897"/>
      <c r="D153" s="905" t="s">
        <v>1069</v>
      </c>
      <c r="E153" s="909">
        <v>576</v>
      </c>
      <c r="F153" s="909">
        <f t="shared" si="77"/>
        <v>40693</v>
      </c>
      <c r="G153" s="914">
        <v>132</v>
      </c>
      <c r="H153" s="914">
        <v>29</v>
      </c>
      <c r="I153" s="914">
        <f>30436+4023</f>
        <v>34459</v>
      </c>
      <c r="J153" s="914">
        <v>2850</v>
      </c>
      <c r="K153" s="914"/>
      <c r="L153" s="914"/>
      <c r="M153" s="914"/>
      <c r="N153" s="914">
        <v>3223</v>
      </c>
      <c r="O153" s="914"/>
      <c r="P153" s="914"/>
      <c r="Q153" s="914"/>
      <c r="R153" s="888"/>
      <c r="S153" s="913"/>
    </row>
    <row r="154" spans="1:19" ht="20.25">
      <c r="A154" s="888"/>
      <c r="B154" s="242"/>
      <c r="C154" s="897"/>
      <c r="D154" s="905" t="s">
        <v>1072</v>
      </c>
      <c r="E154" s="909">
        <f>E152</f>
        <v>475</v>
      </c>
      <c r="F154" s="909">
        <f t="shared" si="77"/>
        <v>47131</v>
      </c>
      <c r="G154" s="913">
        <f>G152</f>
        <v>885</v>
      </c>
      <c r="H154" s="913">
        <f>H152</f>
        <v>496</v>
      </c>
      <c r="I154" s="913">
        <f>I152+2800</f>
        <v>34571</v>
      </c>
      <c r="J154" s="913">
        <f aca="true" t="shared" si="95" ref="J154:S154">J152</f>
        <v>3220</v>
      </c>
      <c r="K154" s="913">
        <f t="shared" si="95"/>
        <v>0</v>
      </c>
      <c r="L154" s="913">
        <f t="shared" si="95"/>
        <v>0</v>
      </c>
      <c r="M154" s="913">
        <f t="shared" si="95"/>
        <v>0</v>
      </c>
      <c r="N154" s="913">
        <f>N152-5618+4166</f>
        <v>7959</v>
      </c>
      <c r="O154" s="913">
        <f t="shared" si="95"/>
        <v>0</v>
      </c>
      <c r="P154" s="913">
        <f t="shared" si="95"/>
        <v>0</v>
      </c>
      <c r="Q154" s="913">
        <f t="shared" si="95"/>
        <v>0</v>
      </c>
      <c r="R154" s="913">
        <f t="shared" si="95"/>
        <v>0</v>
      </c>
      <c r="S154" s="913">
        <f t="shared" si="95"/>
        <v>0</v>
      </c>
    </row>
    <row r="155" spans="1:19" ht="20.25" hidden="1">
      <c r="A155" s="888"/>
      <c r="B155" s="242"/>
      <c r="C155" s="897"/>
      <c r="D155" s="905" t="s">
        <v>1073</v>
      </c>
      <c r="E155" s="913">
        <f aca="true" t="shared" si="96" ref="E155:F155">E154-E153</f>
        <v>-101</v>
      </c>
      <c r="F155" s="913">
        <f t="shared" si="96"/>
        <v>6438</v>
      </c>
      <c r="G155" s="913">
        <f>G154-G153</f>
        <v>753</v>
      </c>
      <c r="H155" s="913">
        <f aca="true" t="shared" si="97" ref="H155:S155">H154-H153</f>
        <v>467</v>
      </c>
      <c r="I155" s="913">
        <f t="shared" si="97"/>
        <v>112</v>
      </c>
      <c r="J155" s="913">
        <f t="shared" si="97"/>
        <v>370</v>
      </c>
      <c r="K155" s="913">
        <f t="shared" si="97"/>
        <v>0</v>
      </c>
      <c r="L155" s="913">
        <f t="shared" si="97"/>
        <v>0</v>
      </c>
      <c r="M155" s="913">
        <f t="shared" si="97"/>
        <v>0</v>
      </c>
      <c r="N155" s="913">
        <f t="shared" si="97"/>
        <v>4736</v>
      </c>
      <c r="O155" s="913">
        <f t="shared" si="97"/>
        <v>0</v>
      </c>
      <c r="P155" s="913">
        <f t="shared" si="97"/>
        <v>0</v>
      </c>
      <c r="Q155" s="913">
        <f t="shared" si="97"/>
        <v>0</v>
      </c>
      <c r="R155" s="913">
        <f t="shared" si="97"/>
        <v>0</v>
      </c>
      <c r="S155" s="913">
        <f t="shared" si="97"/>
        <v>0</v>
      </c>
    </row>
    <row r="156" spans="1:19" ht="20.25">
      <c r="A156" s="888" t="s">
        <v>122</v>
      </c>
      <c r="B156" s="242" t="s">
        <v>630</v>
      </c>
      <c r="C156" s="897" t="s">
        <v>631</v>
      </c>
      <c r="D156" s="905" t="s">
        <v>4</v>
      </c>
      <c r="E156" s="909">
        <v>1100</v>
      </c>
      <c r="F156" s="909">
        <f t="shared" si="77"/>
        <v>0</v>
      </c>
      <c r="G156" s="914"/>
      <c r="H156" s="914"/>
      <c r="I156" s="914"/>
      <c r="J156" s="914"/>
      <c r="K156" s="914"/>
      <c r="L156" s="914"/>
      <c r="M156" s="914"/>
      <c r="N156" s="914"/>
      <c r="O156" s="914"/>
      <c r="P156" s="914"/>
      <c r="Q156" s="914"/>
      <c r="R156" s="888"/>
      <c r="S156" s="913"/>
    </row>
    <row r="157" spans="1:19" ht="20.25">
      <c r="A157" s="888"/>
      <c r="B157" s="242"/>
      <c r="C157" s="897"/>
      <c r="D157" s="905" t="s">
        <v>861</v>
      </c>
      <c r="E157" s="909">
        <v>1100</v>
      </c>
      <c r="F157" s="909">
        <f t="shared" si="77"/>
        <v>0</v>
      </c>
      <c r="G157" s="914"/>
      <c r="H157" s="914"/>
      <c r="I157" s="914"/>
      <c r="J157" s="914"/>
      <c r="K157" s="914"/>
      <c r="L157" s="914"/>
      <c r="M157" s="914"/>
      <c r="N157" s="914"/>
      <c r="O157" s="914"/>
      <c r="P157" s="914"/>
      <c r="Q157" s="914"/>
      <c r="R157" s="888"/>
      <c r="S157" s="913"/>
    </row>
    <row r="158" spans="1:19" ht="20.25" hidden="1">
      <c r="A158" s="888"/>
      <c r="B158" s="242"/>
      <c r="C158" s="897"/>
      <c r="D158" s="905" t="s">
        <v>1069</v>
      </c>
      <c r="E158" s="909">
        <v>614</v>
      </c>
      <c r="F158" s="909">
        <f t="shared" si="77"/>
        <v>0</v>
      </c>
      <c r="G158" s="914"/>
      <c r="H158" s="914"/>
      <c r="I158" s="914"/>
      <c r="J158" s="914"/>
      <c r="K158" s="914"/>
      <c r="L158" s="914"/>
      <c r="M158" s="914"/>
      <c r="N158" s="914"/>
      <c r="O158" s="914"/>
      <c r="P158" s="914"/>
      <c r="Q158" s="914"/>
      <c r="R158" s="888"/>
      <c r="S158" s="913"/>
    </row>
    <row r="159" spans="1:19" ht="20.25">
      <c r="A159" s="888"/>
      <c r="B159" s="242"/>
      <c r="C159" s="897"/>
      <c r="D159" s="905" t="s">
        <v>1072</v>
      </c>
      <c r="E159" s="909">
        <f>E157</f>
        <v>1100</v>
      </c>
      <c r="F159" s="909">
        <f t="shared" si="77"/>
        <v>0</v>
      </c>
      <c r="G159" s="913">
        <f>G157</f>
        <v>0</v>
      </c>
      <c r="H159" s="913">
        <f aca="true" t="shared" si="98" ref="H159:S159">H157</f>
        <v>0</v>
      </c>
      <c r="I159" s="913">
        <f t="shared" si="98"/>
        <v>0</v>
      </c>
      <c r="J159" s="913">
        <f t="shared" si="98"/>
        <v>0</v>
      </c>
      <c r="K159" s="913">
        <f t="shared" si="98"/>
        <v>0</v>
      </c>
      <c r="L159" s="913">
        <f t="shared" si="98"/>
        <v>0</v>
      </c>
      <c r="M159" s="913">
        <f t="shared" si="98"/>
        <v>0</v>
      </c>
      <c r="N159" s="913">
        <f t="shared" si="98"/>
        <v>0</v>
      </c>
      <c r="O159" s="913">
        <f t="shared" si="98"/>
        <v>0</v>
      </c>
      <c r="P159" s="913">
        <f t="shared" si="98"/>
        <v>0</v>
      </c>
      <c r="Q159" s="913">
        <f t="shared" si="98"/>
        <v>0</v>
      </c>
      <c r="R159" s="913">
        <f t="shared" si="98"/>
        <v>0</v>
      </c>
      <c r="S159" s="913">
        <f t="shared" si="98"/>
        <v>0</v>
      </c>
    </row>
    <row r="160" spans="1:19" ht="20.25" hidden="1">
      <c r="A160" s="888"/>
      <c r="B160" s="242"/>
      <c r="C160" s="897"/>
      <c r="D160" s="905" t="s">
        <v>1073</v>
      </c>
      <c r="E160" s="913">
        <f aca="true" t="shared" si="99" ref="E160:F160">E159-E158</f>
        <v>486</v>
      </c>
      <c r="F160" s="913">
        <f t="shared" si="99"/>
        <v>0</v>
      </c>
      <c r="G160" s="913">
        <f>G159-G158</f>
        <v>0</v>
      </c>
      <c r="H160" s="913">
        <f aca="true" t="shared" si="100" ref="H160:S160">H159-H158</f>
        <v>0</v>
      </c>
      <c r="I160" s="913">
        <f t="shared" si="100"/>
        <v>0</v>
      </c>
      <c r="J160" s="913">
        <f t="shared" si="100"/>
        <v>0</v>
      </c>
      <c r="K160" s="913">
        <f t="shared" si="100"/>
        <v>0</v>
      </c>
      <c r="L160" s="913">
        <f t="shared" si="100"/>
        <v>0</v>
      </c>
      <c r="M160" s="913">
        <f t="shared" si="100"/>
        <v>0</v>
      </c>
      <c r="N160" s="913">
        <f t="shared" si="100"/>
        <v>0</v>
      </c>
      <c r="O160" s="913">
        <f t="shared" si="100"/>
        <v>0</v>
      </c>
      <c r="P160" s="913">
        <f t="shared" si="100"/>
        <v>0</v>
      </c>
      <c r="Q160" s="913">
        <f t="shared" si="100"/>
        <v>0</v>
      </c>
      <c r="R160" s="913">
        <f t="shared" si="100"/>
        <v>0</v>
      </c>
      <c r="S160" s="913">
        <f t="shared" si="100"/>
        <v>0</v>
      </c>
    </row>
    <row r="161" spans="1:19" ht="20.25">
      <c r="A161" s="888" t="s">
        <v>121</v>
      </c>
      <c r="B161" s="242" t="s">
        <v>632</v>
      </c>
      <c r="C161" s="635" t="s">
        <v>633</v>
      </c>
      <c r="D161" s="905" t="s">
        <v>4</v>
      </c>
      <c r="E161" s="909"/>
      <c r="F161" s="909">
        <f t="shared" si="77"/>
        <v>21397</v>
      </c>
      <c r="G161" s="913"/>
      <c r="H161" s="913"/>
      <c r="I161" s="913">
        <v>1397</v>
      </c>
      <c r="J161" s="913"/>
      <c r="K161" s="913"/>
      <c r="L161" s="913"/>
      <c r="M161" s="913"/>
      <c r="N161" s="913">
        <v>20000</v>
      </c>
      <c r="O161" s="913"/>
      <c r="P161" s="913"/>
      <c r="Q161" s="913"/>
      <c r="R161" s="888"/>
      <c r="S161" s="913"/>
    </row>
    <row r="162" spans="1:19" ht="20.25">
      <c r="A162" s="888"/>
      <c r="B162" s="242"/>
      <c r="C162" s="635"/>
      <c r="D162" s="905" t="s">
        <v>861</v>
      </c>
      <c r="E162" s="909">
        <v>41</v>
      </c>
      <c r="F162" s="909">
        <f t="shared" si="77"/>
        <v>23039</v>
      </c>
      <c r="G162" s="913"/>
      <c r="H162" s="913"/>
      <c r="I162" s="913">
        <v>1397</v>
      </c>
      <c r="J162" s="913"/>
      <c r="K162" s="913"/>
      <c r="L162" s="913"/>
      <c r="M162" s="913"/>
      <c r="N162" s="913">
        <v>21642</v>
      </c>
      <c r="O162" s="913"/>
      <c r="P162" s="913"/>
      <c r="Q162" s="913"/>
      <c r="R162" s="888"/>
      <c r="S162" s="913"/>
    </row>
    <row r="163" spans="1:19" ht="20.25" hidden="1">
      <c r="A163" s="888"/>
      <c r="B163" s="242"/>
      <c r="C163" s="635"/>
      <c r="D163" s="905" t="s">
        <v>1069</v>
      </c>
      <c r="E163" s="909">
        <v>1646</v>
      </c>
      <c r="F163" s="909">
        <f t="shared" si="77"/>
        <v>23361</v>
      </c>
      <c r="G163" s="913"/>
      <c r="H163" s="913"/>
      <c r="I163" s="913">
        <v>1686</v>
      </c>
      <c r="J163" s="913"/>
      <c r="K163" s="913"/>
      <c r="L163" s="913"/>
      <c r="M163" s="913">
        <v>15111</v>
      </c>
      <c r="N163" s="913">
        <f>8229-3175+1510</f>
        <v>6564</v>
      </c>
      <c r="O163" s="913"/>
      <c r="P163" s="913"/>
      <c r="Q163" s="913"/>
      <c r="R163" s="888"/>
      <c r="S163" s="913"/>
    </row>
    <row r="164" spans="1:19" ht="20.25">
      <c r="A164" s="888"/>
      <c r="B164" s="242"/>
      <c r="C164" s="897"/>
      <c r="D164" s="905" t="s">
        <v>1072</v>
      </c>
      <c r="E164" s="909">
        <f>E162+63+244+160+1047</f>
        <v>1555</v>
      </c>
      <c r="F164" s="909">
        <f t="shared" si="77"/>
        <v>23921</v>
      </c>
      <c r="G164" s="913">
        <f>G162</f>
        <v>0</v>
      </c>
      <c r="H164" s="913">
        <f>H162</f>
        <v>0</v>
      </c>
      <c r="I164" s="913">
        <f>I162+500+347</f>
        <v>2244</v>
      </c>
      <c r="J164" s="913">
        <f>J162</f>
        <v>0</v>
      </c>
      <c r="K164" s="913">
        <f aca="true" t="shared" si="101" ref="K164:L164">K162</f>
        <v>0</v>
      </c>
      <c r="L164" s="913">
        <f t="shared" si="101"/>
        <v>0</v>
      </c>
      <c r="M164" s="913">
        <f>M162+15111</f>
        <v>15111</v>
      </c>
      <c r="N164" s="913">
        <v>6566</v>
      </c>
      <c r="O164" s="913">
        <f>O162</f>
        <v>0</v>
      </c>
      <c r="P164" s="913">
        <f aca="true" t="shared" si="102" ref="P164:S164">P162</f>
        <v>0</v>
      </c>
      <c r="Q164" s="913">
        <f t="shared" si="102"/>
        <v>0</v>
      </c>
      <c r="R164" s="913">
        <f t="shared" si="102"/>
        <v>0</v>
      </c>
      <c r="S164" s="913">
        <f t="shared" si="102"/>
        <v>0</v>
      </c>
    </row>
    <row r="165" spans="1:19" ht="20.25" hidden="1">
      <c r="A165" s="888"/>
      <c r="B165" s="242"/>
      <c r="C165" s="897"/>
      <c r="D165" s="905" t="s">
        <v>1073</v>
      </c>
      <c r="E165" s="913">
        <f aca="true" t="shared" si="103" ref="E165:F165">E164-E163</f>
        <v>-91</v>
      </c>
      <c r="F165" s="913">
        <f t="shared" si="103"/>
        <v>560</v>
      </c>
      <c r="G165" s="913">
        <f>G164-G163</f>
        <v>0</v>
      </c>
      <c r="H165" s="913">
        <f aca="true" t="shared" si="104" ref="H165:S165">H164-H163</f>
        <v>0</v>
      </c>
      <c r="I165" s="913">
        <f t="shared" si="104"/>
        <v>558</v>
      </c>
      <c r="J165" s="913">
        <f t="shared" si="104"/>
        <v>0</v>
      </c>
      <c r="K165" s="913">
        <f t="shared" si="104"/>
        <v>0</v>
      </c>
      <c r="L165" s="913">
        <f t="shared" si="104"/>
        <v>0</v>
      </c>
      <c r="M165" s="913">
        <f t="shared" si="104"/>
        <v>0</v>
      </c>
      <c r="N165" s="913">
        <f t="shared" si="104"/>
        <v>2</v>
      </c>
      <c r="O165" s="913">
        <f t="shared" si="104"/>
        <v>0</v>
      </c>
      <c r="P165" s="913">
        <f t="shared" si="104"/>
        <v>0</v>
      </c>
      <c r="Q165" s="913">
        <f t="shared" si="104"/>
        <v>0</v>
      </c>
      <c r="R165" s="913">
        <f t="shared" si="104"/>
        <v>0</v>
      </c>
      <c r="S165" s="913">
        <f t="shared" si="104"/>
        <v>0</v>
      </c>
    </row>
    <row r="166" spans="1:19" ht="20.25">
      <c r="A166" s="888" t="s">
        <v>121</v>
      </c>
      <c r="B166" s="242" t="s">
        <v>634</v>
      </c>
      <c r="C166" s="897" t="s">
        <v>635</v>
      </c>
      <c r="D166" s="905" t="s">
        <v>4</v>
      </c>
      <c r="E166" s="909"/>
      <c r="F166" s="909">
        <f t="shared" si="77"/>
        <v>71497</v>
      </c>
      <c r="G166" s="914"/>
      <c r="H166" s="914"/>
      <c r="I166" s="914">
        <v>48687</v>
      </c>
      <c r="J166" s="914"/>
      <c r="K166" s="914"/>
      <c r="L166" s="914"/>
      <c r="M166" s="914">
        <v>5080</v>
      </c>
      <c r="N166" s="914">
        <v>17730</v>
      </c>
      <c r="O166" s="923"/>
      <c r="P166" s="914"/>
      <c r="Q166" s="914"/>
      <c r="R166" s="888"/>
      <c r="S166" s="913"/>
    </row>
    <row r="167" spans="1:19" ht="20.25">
      <c r="A167" s="888"/>
      <c r="B167" s="242"/>
      <c r="C167" s="897"/>
      <c r="D167" s="905" t="s">
        <v>861</v>
      </c>
      <c r="E167" s="909"/>
      <c r="F167" s="909">
        <f t="shared" si="77"/>
        <v>56671</v>
      </c>
      <c r="G167" s="914"/>
      <c r="H167" s="914"/>
      <c r="I167" s="914">
        <v>36512</v>
      </c>
      <c r="J167" s="914"/>
      <c r="K167" s="914"/>
      <c r="L167" s="914"/>
      <c r="M167" s="914">
        <v>1729</v>
      </c>
      <c r="N167" s="914">
        <v>18430</v>
      </c>
      <c r="O167" s="923"/>
      <c r="P167" s="914"/>
      <c r="Q167" s="914"/>
      <c r="R167" s="888"/>
      <c r="S167" s="913"/>
    </row>
    <row r="168" spans="1:19" ht="20.25" hidden="1">
      <c r="A168" s="888"/>
      <c r="B168" s="242"/>
      <c r="C168" s="897"/>
      <c r="D168" s="905" t="s">
        <v>1069</v>
      </c>
      <c r="E168" s="909"/>
      <c r="F168" s="909">
        <f t="shared" si="77"/>
        <v>56632</v>
      </c>
      <c r="G168" s="914"/>
      <c r="H168" s="914"/>
      <c r="I168" s="914">
        <f>33486+3859</f>
        <v>37345</v>
      </c>
      <c r="J168" s="914"/>
      <c r="K168" s="914"/>
      <c r="L168" s="914"/>
      <c r="M168" s="914">
        <v>1429</v>
      </c>
      <c r="N168" s="914">
        <v>17858</v>
      </c>
      <c r="O168" s="923"/>
      <c r="P168" s="914"/>
      <c r="Q168" s="914"/>
      <c r="R168" s="888"/>
      <c r="S168" s="913"/>
    </row>
    <row r="169" spans="1:19" ht="20.25">
      <c r="A169" s="888"/>
      <c r="B169" s="242"/>
      <c r="C169" s="897"/>
      <c r="D169" s="905" t="s">
        <v>1072</v>
      </c>
      <c r="E169" s="909">
        <f>E167</f>
        <v>0</v>
      </c>
      <c r="F169" s="909">
        <f t="shared" si="77"/>
        <v>57879</v>
      </c>
      <c r="G169" s="913">
        <f>G167</f>
        <v>0</v>
      </c>
      <c r="H169" s="913">
        <f aca="true" t="shared" si="105" ref="H169:S169">H167</f>
        <v>0</v>
      </c>
      <c r="I169" s="913">
        <f>I167+900</f>
        <v>37412</v>
      </c>
      <c r="J169" s="913">
        <f t="shared" si="105"/>
        <v>0</v>
      </c>
      <c r="K169" s="913">
        <f t="shared" si="105"/>
        <v>0</v>
      </c>
      <c r="L169" s="913">
        <f t="shared" si="105"/>
        <v>0</v>
      </c>
      <c r="M169" s="913">
        <f>M167</f>
        <v>1729</v>
      </c>
      <c r="N169" s="913">
        <f>N167+1444-481-655+8787-8787+2408-2408</f>
        <v>18738</v>
      </c>
      <c r="O169" s="913">
        <f t="shared" si="105"/>
        <v>0</v>
      </c>
      <c r="P169" s="913">
        <f t="shared" si="105"/>
        <v>0</v>
      </c>
      <c r="Q169" s="913">
        <f t="shared" si="105"/>
        <v>0</v>
      </c>
      <c r="R169" s="913">
        <f t="shared" si="105"/>
        <v>0</v>
      </c>
      <c r="S169" s="913">
        <f t="shared" si="105"/>
        <v>0</v>
      </c>
    </row>
    <row r="170" spans="1:19" ht="20.25" hidden="1">
      <c r="A170" s="888"/>
      <c r="B170" s="242"/>
      <c r="C170" s="897"/>
      <c r="D170" s="905" t="s">
        <v>1073</v>
      </c>
      <c r="E170" s="913">
        <f aca="true" t="shared" si="106" ref="E170:F170">E169-E168</f>
        <v>0</v>
      </c>
      <c r="F170" s="913">
        <f t="shared" si="106"/>
        <v>1247</v>
      </c>
      <c r="G170" s="913">
        <f>G169-G168</f>
        <v>0</v>
      </c>
      <c r="H170" s="913">
        <f aca="true" t="shared" si="107" ref="H170:S170">H169-H168</f>
        <v>0</v>
      </c>
      <c r="I170" s="913">
        <f t="shared" si="107"/>
        <v>67</v>
      </c>
      <c r="J170" s="913">
        <f t="shared" si="107"/>
        <v>0</v>
      </c>
      <c r="K170" s="913">
        <f t="shared" si="107"/>
        <v>0</v>
      </c>
      <c r="L170" s="913">
        <f t="shared" si="107"/>
        <v>0</v>
      </c>
      <c r="M170" s="913">
        <f t="shared" si="107"/>
        <v>300</v>
      </c>
      <c r="N170" s="913">
        <f t="shared" si="107"/>
        <v>880</v>
      </c>
      <c r="O170" s="913">
        <f t="shared" si="107"/>
        <v>0</v>
      </c>
      <c r="P170" s="913">
        <f t="shared" si="107"/>
        <v>0</v>
      </c>
      <c r="Q170" s="913">
        <f t="shared" si="107"/>
        <v>0</v>
      </c>
      <c r="R170" s="913">
        <f t="shared" si="107"/>
        <v>0</v>
      </c>
      <c r="S170" s="913">
        <f t="shared" si="107"/>
        <v>0</v>
      </c>
    </row>
    <row r="171" spans="1:19" ht="49.5" customHeight="1">
      <c r="A171" s="888" t="s">
        <v>121</v>
      </c>
      <c r="B171" s="242" t="s">
        <v>636</v>
      </c>
      <c r="C171" s="897" t="s">
        <v>1074</v>
      </c>
      <c r="D171" s="905" t="s">
        <v>4</v>
      </c>
      <c r="E171" s="909"/>
      <c r="F171" s="909">
        <f t="shared" si="77"/>
        <v>95899</v>
      </c>
      <c r="G171" s="913"/>
      <c r="H171" s="913"/>
      <c r="I171" s="913">
        <v>87644</v>
      </c>
      <c r="J171" s="913"/>
      <c r="K171" s="913"/>
      <c r="L171" s="913"/>
      <c r="M171" s="913">
        <v>8255</v>
      </c>
      <c r="N171" s="913"/>
      <c r="O171" s="913"/>
      <c r="P171" s="913"/>
      <c r="Q171" s="913"/>
      <c r="R171" s="888"/>
      <c r="S171" s="913"/>
    </row>
    <row r="172" spans="1:19" ht="20.25">
      <c r="A172" s="888"/>
      <c r="B172" s="242"/>
      <c r="C172" s="897"/>
      <c r="D172" s="905" t="s">
        <v>861</v>
      </c>
      <c r="E172" s="909">
        <v>39</v>
      </c>
      <c r="F172" s="909">
        <f t="shared" si="77"/>
        <v>95899</v>
      </c>
      <c r="G172" s="913"/>
      <c r="H172" s="913"/>
      <c r="I172" s="913">
        <v>87644</v>
      </c>
      <c r="J172" s="913"/>
      <c r="K172" s="913"/>
      <c r="L172" s="913"/>
      <c r="M172" s="913">
        <v>8255</v>
      </c>
      <c r="N172" s="913"/>
      <c r="O172" s="913"/>
      <c r="P172" s="913"/>
      <c r="Q172" s="913"/>
      <c r="R172" s="888"/>
      <c r="S172" s="913"/>
    </row>
    <row r="173" spans="1:19" ht="20.25" hidden="1">
      <c r="A173" s="888"/>
      <c r="B173" s="242"/>
      <c r="C173" s="897"/>
      <c r="D173" s="905" t="s">
        <v>1069</v>
      </c>
      <c r="E173" s="909">
        <v>50</v>
      </c>
      <c r="F173" s="909">
        <f t="shared" si="77"/>
        <v>90171</v>
      </c>
      <c r="G173" s="913"/>
      <c r="H173" s="913"/>
      <c r="I173" s="913">
        <f>10939+72433+927+5171+206</f>
        <v>89676</v>
      </c>
      <c r="J173" s="913"/>
      <c r="K173" s="913"/>
      <c r="L173" s="913"/>
      <c r="M173" s="913">
        <v>495</v>
      </c>
      <c r="N173" s="913"/>
      <c r="O173" s="913"/>
      <c r="P173" s="913"/>
      <c r="Q173" s="913"/>
      <c r="R173" s="888"/>
      <c r="S173" s="913"/>
    </row>
    <row r="174" spans="1:19" ht="20.25">
      <c r="A174" s="888"/>
      <c r="B174" s="242"/>
      <c r="C174" s="897"/>
      <c r="D174" s="905" t="s">
        <v>1072</v>
      </c>
      <c r="E174" s="909">
        <f>E172</f>
        <v>39</v>
      </c>
      <c r="F174" s="909">
        <f t="shared" si="77"/>
        <v>90379</v>
      </c>
      <c r="G174" s="913">
        <f>G172</f>
        <v>0</v>
      </c>
      <c r="H174" s="913">
        <f>H172</f>
        <v>0</v>
      </c>
      <c r="I174" s="913">
        <f>I172+2100</f>
        <v>89744</v>
      </c>
      <c r="J174" s="913">
        <f aca="true" t="shared" si="108" ref="J174:S174">J172</f>
        <v>0</v>
      </c>
      <c r="K174" s="913">
        <f t="shared" si="108"/>
        <v>0</v>
      </c>
      <c r="L174" s="913">
        <f t="shared" si="108"/>
        <v>0</v>
      </c>
      <c r="M174" s="913">
        <f>M172-7620</f>
        <v>635</v>
      </c>
      <c r="N174" s="913">
        <f>N172</f>
        <v>0</v>
      </c>
      <c r="O174" s="913">
        <f t="shared" si="108"/>
        <v>0</v>
      </c>
      <c r="P174" s="913">
        <f t="shared" si="108"/>
        <v>0</v>
      </c>
      <c r="Q174" s="913">
        <f t="shared" si="108"/>
        <v>0</v>
      </c>
      <c r="R174" s="913">
        <f t="shared" si="108"/>
        <v>0</v>
      </c>
      <c r="S174" s="913">
        <f t="shared" si="108"/>
        <v>0</v>
      </c>
    </row>
    <row r="175" spans="1:19" ht="20.25" hidden="1">
      <c r="A175" s="888"/>
      <c r="B175" s="242"/>
      <c r="C175" s="897"/>
      <c r="D175" s="905" t="s">
        <v>1073</v>
      </c>
      <c r="E175" s="913">
        <f aca="true" t="shared" si="109" ref="E175:F175">E174-E173</f>
        <v>-11</v>
      </c>
      <c r="F175" s="913">
        <f t="shared" si="109"/>
        <v>208</v>
      </c>
      <c r="G175" s="913">
        <f>G174-G173</f>
        <v>0</v>
      </c>
      <c r="H175" s="913">
        <f aca="true" t="shared" si="110" ref="H175:S175">H174-H173</f>
        <v>0</v>
      </c>
      <c r="I175" s="913">
        <f t="shared" si="110"/>
        <v>68</v>
      </c>
      <c r="J175" s="913">
        <f t="shared" si="110"/>
        <v>0</v>
      </c>
      <c r="K175" s="913">
        <f t="shared" si="110"/>
        <v>0</v>
      </c>
      <c r="L175" s="913">
        <f t="shared" si="110"/>
        <v>0</v>
      </c>
      <c r="M175" s="913">
        <f t="shared" si="110"/>
        <v>140</v>
      </c>
      <c r="N175" s="913">
        <f t="shared" si="110"/>
        <v>0</v>
      </c>
      <c r="O175" s="913">
        <f t="shared" si="110"/>
        <v>0</v>
      </c>
      <c r="P175" s="913">
        <f t="shared" si="110"/>
        <v>0</v>
      </c>
      <c r="Q175" s="913">
        <f t="shared" si="110"/>
        <v>0</v>
      </c>
      <c r="R175" s="913">
        <f t="shared" si="110"/>
        <v>0</v>
      </c>
      <c r="S175" s="913">
        <f t="shared" si="110"/>
        <v>0</v>
      </c>
    </row>
    <row r="176" spans="1:19" ht="20.25">
      <c r="A176" s="888" t="s">
        <v>121</v>
      </c>
      <c r="B176" s="242" t="s">
        <v>636</v>
      </c>
      <c r="C176" s="897" t="s">
        <v>637</v>
      </c>
      <c r="D176" s="905" t="s">
        <v>4</v>
      </c>
      <c r="E176" s="909"/>
      <c r="F176" s="909">
        <f t="shared" si="77"/>
        <v>6540</v>
      </c>
      <c r="G176" s="914"/>
      <c r="H176" s="914"/>
      <c r="I176" s="914">
        <v>6540</v>
      </c>
      <c r="J176" s="914"/>
      <c r="K176" s="914"/>
      <c r="L176" s="914"/>
      <c r="M176" s="914"/>
      <c r="N176" s="914"/>
      <c r="O176" s="914"/>
      <c r="P176" s="914"/>
      <c r="Q176" s="914"/>
      <c r="R176" s="888"/>
      <c r="S176" s="913"/>
    </row>
    <row r="177" spans="1:19" ht="20.25">
      <c r="A177" s="888"/>
      <c r="B177" s="242"/>
      <c r="C177" s="897"/>
      <c r="D177" s="905" t="s">
        <v>861</v>
      </c>
      <c r="E177" s="909"/>
      <c r="F177" s="909">
        <f t="shared" si="77"/>
        <v>9540</v>
      </c>
      <c r="G177" s="914"/>
      <c r="H177" s="914"/>
      <c r="I177" s="914">
        <v>6540</v>
      </c>
      <c r="J177" s="914"/>
      <c r="K177" s="914"/>
      <c r="L177" s="914"/>
      <c r="M177" s="914">
        <v>1000</v>
      </c>
      <c r="N177" s="914">
        <v>2000</v>
      </c>
      <c r="O177" s="914"/>
      <c r="P177" s="914"/>
      <c r="Q177" s="914"/>
      <c r="R177" s="888"/>
      <c r="S177" s="913"/>
    </row>
    <row r="178" spans="1:19" ht="20.25" hidden="1">
      <c r="A178" s="888"/>
      <c r="B178" s="242"/>
      <c r="C178" s="897"/>
      <c r="D178" s="905" t="s">
        <v>1069</v>
      </c>
      <c r="E178" s="909"/>
      <c r="F178" s="909">
        <f t="shared" si="77"/>
        <v>8230</v>
      </c>
      <c r="G178" s="914"/>
      <c r="H178" s="914"/>
      <c r="I178" s="914">
        <f>4671+1209+58</f>
        <v>5938</v>
      </c>
      <c r="J178" s="914"/>
      <c r="K178" s="914"/>
      <c r="L178" s="914"/>
      <c r="M178" s="914">
        <v>0</v>
      </c>
      <c r="N178" s="914">
        <f>1000+1292</f>
        <v>2292</v>
      </c>
      <c r="O178" s="914"/>
      <c r="P178" s="914"/>
      <c r="Q178" s="914"/>
      <c r="R178" s="888"/>
      <c r="S178" s="913"/>
    </row>
    <row r="179" spans="1:19" ht="20.25">
      <c r="A179" s="888"/>
      <c r="B179" s="242"/>
      <c r="C179" s="897"/>
      <c r="D179" s="905" t="s">
        <v>1072</v>
      </c>
      <c r="E179" s="909">
        <f>E177</f>
        <v>0</v>
      </c>
      <c r="F179" s="909">
        <f t="shared" si="77"/>
        <v>8540</v>
      </c>
      <c r="G179" s="913">
        <f aca="true" t="shared" si="111" ref="G179:H179">G177</f>
        <v>0</v>
      </c>
      <c r="H179" s="913">
        <f t="shared" si="111"/>
        <v>0</v>
      </c>
      <c r="I179" s="913">
        <f>I177-292</f>
        <v>6248</v>
      </c>
      <c r="J179" s="913">
        <f aca="true" t="shared" si="112" ref="J179:S179">J177</f>
        <v>0</v>
      </c>
      <c r="K179" s="913">
        <f t="shared" si="112"/>
        <v>0</v>
      </c>
      <c r="L179" s="913">
        <f t="shared" si="112"/>
        <v>0</v>
      </c>
      <c r="M179" s="913">
        <f>M177-1000</f>
        <v>0</v>
      </c>
      <c r="N179" s="913">
        <f>N177+292</f>
        <v>2292</v>
      </c>
      <c r="O179" s="913">
        <f t="shared" si="112"/>
        <v>0</v>
      </c>
      <c r="P179" s="913">
        <f t="shared" si="112"/>
        <v>0</v>
      </c>
      <c r="Q179" s="913">
        <f t="shared" si="112"/>
        <v>0</v>
      </c>
      <c r="R179" s="913">
        <f t="shared" si="112"/>
        <v>0</v>
      </c>
      <c r="S179" s="913">
        <f t="shared" si="112"/>
        <v>0</v>
      </c>
    </row>
    <row r="180" spans="1:19" ht="20.25" hidden="1">
      <c r="A180" s="888"/>
      <c r="B180" s="242"/>
      <c r="C180" s="897"/>
      <c r="D180" s="905" t="s">
        <v>1073</v>
      </c>
      <c r="E180" s="913">
        <f aca="true" t="shared" si="113" ref="E180:F180">E179-E178</f>
        <v>0</v>
      </c>
      <c r="F180" s="913">
        <f t="shared" si="113"/>
        <v>310</v>
      </c>
      <c r="G180" s="913">
        <f>G179-G178</f>
        <v>0</v>
      </c>
      <c r="H180" s="913">
        <f aca="true" t="shared" si="114" ref="H180:S180">H179-H178</f>
        <v>0</v>
      </c>
      <c r="I180" s="913">
        <f t="shared" si="114"/>
        <v>310</v>
      </c>
      <c r="J180" s="913">
        <f t="shared" si="114"/>
        <v>0</v>
      </c>
      <c r="K180" s="913">
        <f t="shared" si="114"/>
        <v>0</v>
      </c>
      <c r="L180" s="913">
        <f t="shared" si="114"/>
        <v>0</v>
      </c>
      <c r="M180" s="913">
        <f t="shared" si="114"/>
        <v>0</v>
      </c>
      <c r="N180" s="913">
        <f t="shared" si="114"/>
        <v>0</v>
      </c>
      <c r="O180" s="913">
        <f t="shared" si="114"/>
        <v>0</v>
      </c>
      <c r="P180" s="913">
        <f t="shared" si="114"/>
        <v>0</v>
      </c>
      <c r="Q180" s="913">
        <f t="shared" si="114"/>
        <v>0</v>
      </c>
      <c r="R180" s="913">
        <f t="shared" si="114"/>
        <v>0</v>
      </c>
      <c r="S180" s="913">
        <f t="shared" si="114"/>
        <v>0</v>
      </c>
    </row>
    <row r="181" spans="1:19" ht="51.75" customHeight="1">
      <c r="A181" s="888" t="s">
        <v>121</v>
      </c>
      <c r="B181" s="242" t="s">
        <v>638</v>
      </c>
      <c r="C181" s="897" t="s">
        <v>639</v>
      </c>
      <c r="D181" s="905" t="s">
        <v>4</v>
      </c>
      <c r="E181" s="909"/>
      <c r="F181" s="909">
        <f t="shared" si="77"/>
        <v>4191</v>
      </c>
      <c r="G181" s="914"/>
      <c r="H181" s="914"/>
      <c r="I181" s="914">
        <v>4191</v>
      </c>
      <c r="J181" s="914"/>
      <c r="K181" s="914"/>
      <c r="L181" s="914"/>
      <c r="M181" s="914"/>
      <c r="N181" s="914"/>
      <c r="O181" s="914"/>
      <c r="P181" s="914"/>
      <c r="Q181" s="914"/>
      <c r="R181" s="888"/>
      <c r="S181" s="913"/>
    </row>
    <row r="182" spans="1:19" ht="20.25">
      <c r="A182" s="888"/>
      <c r="B182" s="242"/>
      <c r="C182" s="897"/>
      <c r="D182" s="905" t="s">
        <v>861</v>
      </c>
      <c r="E182" s="909">
        <v>50</v>
      </c>
      <c r="F182" s="909">
        <f t="shared" si="77"/>
        <v>4191</v>
      </c>
      <c r="G182" s="914"/>
      <c r="H182" s="914"/>
      <c r="I182" s="914">
        <v>4191</v>
      </c>
      <c r="J182" s="914"/>
      <c r="K182" s="914"/>
      <c r="L182" s="914"/>
      <c r="M182" s="914"/>
      <c r="N182" s="914"/>
      <c r="O182" s="914"/>
      <c r="P182" s="914"/>
      <c r="Q182" s="914"/>
      <c r="R182" s="888"/>
      <c r="S182" s="913"/>
    </row>
    <row r="183" spans="1:19" ht="20.25" hidden="1">
      <c r="A183" s="888"/>
      <c r="B183" s="242"/>
      <c r="C183" s="897"/>
      <c r="D183" s="905" t="s">
        <v>1069</v>
      </c>
      <c r="E183" s="909">
        <v>50</v>
      </c>
      <c r="F183" s="909">
        <f t="shared" si="77"/>
        <v>2344</v>
      </c>
      <c r="G183" s="914"/>
      <c r="H183" s="914"/>
      <c r="I183" s="914">
        <v>2344</v>
      </c>
      <c r="J183" s="914"/>
      <c r="K183" s="914"/>
      <c r="L183" s="914"/>
      <c r="M183" s="914"/>
      <c r="N183" s="914"/>
      <c r="O183" s="914"/>
      <c r="P183" s="914"/>
      <c r="Q183" s="914"/>
      <c r="R183" s="888"/>
      <c r="S183" s="913"/>
    </row>
    <row r="184" spans="1:19" ht="20.25">
      <c r="A184" s="888"/>
      <c r="B184" s="242"/>
      <c r="C184" s="897"/>
      <c r="D184" s="905" t="s">
        <v>1072</v>
      </c>
      <c r="E184" s="909">
        <f>E182</f>
        <v>50</v>
      </c>
      <c r="F184" s="909">
        <f t="shared" si="77"/>
        <v>4191</v>
      </c>
      <c r="G184" s="913">
        <f aca="true" t="shared" si="115" ref="G184:H184">G182</f>
        <v>0</v>
      </c>
      <c r="H184" s="913">
        <f t="shared" si="115"/>
        <v>0</v>
      </c>
      <c r="I184" s="913">
        <f>I182</f>
        <v>4191</v>
      </c>
      <c r="J184" s="913">
        <f aca="true" t="shared" si="116" ref="J184:R184">J182</f>
        <v>0</v>
      </c>
      <c r="K184" s="913">
        <f t="shared" si="116"/>
        <v>0</v>
      </c>
      <c r="L184" s="913">
        <f t="shared" si="116"/>
        <v>0</v>
      </c>
      <c r="M184" s="913">
        <f t="shared" si="116"/>
        <v>0</v>
      </c>
      <c r="N184" s="913">
        <f t="shared" si="116"/>
        <v>0</v>
      </c>
      <c r="O184" s="913">
        <f t="shared" si="116"/>
        <v>0</v>
      </c>
      <c r="P184" s="913">
        <f t="shared" si="116"/>
        <v>0</v>
      </c>
      <c r="Q184" s="913">
        <f t="shared" si="116"/>
        <v>0</v>
      </c>
      <c r="R184" s="913">
        <f t="shared" si="116"/>
        <v>0</v>
      </c>
      <c r="S184" s="913">
        <f>S182</f>
        <v>0</v>
      </c>
    </row>
    <row r="185" spans="1:19" ht="20.25" hidden="1">
      <c r="A185" s="888"/>
      <c r="B185" s="242"/>
      <c r="C185" s="897"/>
      <c r="D185" s="905" t="s">
        <v>1073</v>
      </c>
      <c r="E185" s="913">
        <f aca="true" t="shared" si="117" ref="E185:F185">E184-E183</f>
        <v>0</v>
      </c>
      <c r="F185" s="913">
        <f t="shared" si="117"/>
        <v>1847</v>
      </c>
      <c r="G185" s="913">
        <f>G184-G183</f>
        <v>0</v>
      </c>
      <c r="H185" s="913">
        <f aca="true" t="shared" si="118" ref="H185:S185">H184-H183</f>
        <v>0</v>
      </c>
      <c r="I185" s="913">
        <f t="shared" si="118"/>
        <v>1847</v>
      </c>
      <c r="J185" s="913">
        <f t="shared" si="118"/>
        <v>0</v>
      </c>
      <c r="K185" s="913">
        <f t="shared" si="118"/>
        <v>0</v>
      </c>
      <c r="L185" s="913">
        <f t="shared" si="118"/>
        <v>0</v>
      </c>
      <c r="M185" s="913">
        <f t="shared" si="118"/>
        <v>0</v>
      </c>
      <c r="N185" s="913">
        <f t="shared" si="118"/>
        <v>0</v>
      </c>
      <c r="O185" s="913">
        <f t="shared" si="118"/>
        <v>0</v>
      </c>
      <c r="P185" s="913">
        <f t="shared" si="118"/>
        <v>0</v>
      </c>
      <c r="Q185" s="913">
        <f t="shared" si="118"/>
        <v>0</v>
      </c>
      <c r="R185" s="913">
        <f t="shared" si="118"/>
        <v>0</v>
      </c>
      <c r="S185" s="913">
        <f t="shared" si="118"/>
        <v>0</v>
      </c>
    </row>
    <row r="186" spans="1:19" ht="40.5">
      <c r="A186" s="888" t="s">
        <v>121</v>
      </c>
      <c r="B186" s="242" t="s">
        <v>638</v>
      </c>
      <c r="C186" s="897" t="s">
        <v>640</v>
      </c>
      <c r="D186" s="905" t="s">
        <v>4</v>
      </c>
      <c r="E186" s="909">
        <v>96</v>
      </c>
      <c r="F186" s="909">
        <f t="shared" si="77"/>
        <v>19409</v>
      </c>
      <c r="G186" s="913">
        <v>1100</v>
      </c>
      <c r="H186" s="913">
        <v>309</v>
      </c>
      <c r="I186" s="913">
        <v>10800</v>
      </c>
      <c r="J186" s="913"/>
      <c r="K186" s="913"/>
      <c r="L186" s="913"/>
      <c r="M186" s="913"/>
      <c r="N186" s="913">
        <v>1200</v>
      </c>
      <c r="O186" s="913">
        <v>6000</v>
      </c>
      <c r="P186" s="913"/>
      <c r="Q186" s="913"/>
      <c r="R186" s="888"/>
      <c r="S186" s="913"/>
    </row>
    <row r="187" spans="1:19" ht="20.25">
      <c r="A187" s="888"/>
      <c r="B187" s="242"/>
      <c r="C187" s="897"/>
      <c r="D187" s="905" t="s">
        <v>861</v>
      </c>
      <c r="E187" s="909">
        <v>48</v>
      </c>
      <c r="F187" s="909">
        <f t="shared" si="77"/>
        <v>19409</v>
      </c>
      <c r="G187" s="913">
        <v>1100</v>
      </c>
      <c r="H187" s="913">
        <v>309</v>
      </c>
      <c r="I187" s="913">
        <v>10800</v>
      </c>
      <c r="J187" s="913"/>
      <c r="K187" s="913"/>
      <c r="L187" s="913"/>
      <c r="M187" s="913"/>
      <c r="N187" s="913">
        <v>1200</v>
      </c>
      <c r="O187" s="913">
        <v>6000</v>
      </c>
      <c r="P187" s="913"/>
      <c r="Q187" s="913"/>
      <c r="R187" s="888"/>
      <c r="S187" s="913"/>
    </row>
    <row r="188" spans="1:19" ht="20.25" hidden="1">
      <c r="A188" s="888"/>
      <c r="B188" s="242"/>
      <c r="C188" s="897"/>
      <c r="D188" s="905" t="s">
        <v>1069</v>
      </c>
      <c r="E188" s="909">
        <v>48</v>
      </c>
      <c r="F188" s="909">
        <f t="shared" si="77"/>
        <v>2748</v>
      </c>
      <c r="G188" s="913">
        <v>0</v>
      </c>
      <c r="H188" s="913">
        <v>0</v>
      </c>
      <c r="I188" s="913">
        <v>1615</v>
      </c>
      <c r="J188" s="913"/>
      <c r="K188" s="913"/>
      <c r="L188" s="913"/>
      <c r="M188" s="913"/>
      <c r="N188" s="913">
        <v>0</v>
      </c>
      <c r="O188" s="913">
        <v>1133</v>
      </c>
      <c r="P188" s="913"/>
      <c r="Q188" s="913"/>
      <c r="R188" s="888"/>
      <c r="S188" s="913"/>
    </row>
    <row r="189" spans="1:19" ht="20.25">
      <c r="A189" s="888"/>
      <c r="B189" s="242"/>
      <c r="C189" s="897"/>
      <c r="D189" s="905" t="s">
        <v>1072</v>
      </c>
      <c r="E189" s="909">
        <f>E187</f>
        <v>48</v>
      </c>
      <c r="F189" s="909">
        <f t="shared" si="77"/>
        <v>18209</v>
      </c>
      <c r="G189" s="913">
        <f>G187</f>
        <v>1100</v>
      </c>
      <c r="H189" s="913">
        <f aca="true" t="shared" si="119" ref="H189:S189">H187</f>
        <v>309</v>
      </c>
      <c r="I189" s="913">
        <f t="shared" si="119"/>
        <v>10800</v>
      </c>
      <c r="J189" s="913">
        <f t="shared" si="119"/>
        <v>0</v>
      </c>
      <c r="K189" s="913">
        <f t="shared" si="119"/>
        <v>0</v>
      </c>
      <c r="L189" s="913">
        <f t="shared" si="119"/>
        <v>0</v>
      </c>
      <c r="M189" s="913">
        <f t="shared" si="119"/>
        <v>0</v>
      </c>
      <c r="N189" s="913">
        <v>0</v>
      </c>
      <c r="O189" s="913">
        <f t="shared" si="119"/>
        <v>6000</v>
      </c>
      <c r="P189" s="913">
        <f t="shared" si="119"/>
        <v>0</v>
      </c>
      <c r="Q189" s="913">
        <f t="shared" si="119"/>
        <v>0</v>
      </c>
      <c r="R189" s="913">
        <f t="shared" si="119"/>
        <v>0</v>
      </c>
      <c r="S189" s="913">
        <f t="shared" si="119"/>
        <v>0</v>
      </c>
    </row>
    <row r="190" spans="1:19" ht="20.25" hidden="1">
      <c r="A190" s="888"/>
      <c r="B190" s="242"/>
      <c r="C190" s="897"/>
      <c r="D190" s="905" t="s">
        <v>1073</v>
      </c>
      <c r="E190" s="913">
        <f aca="true" t="shared" si="120" ref="E190:F190">E189-E188</f>
        <v>0</v>
      </c>
      <c r="F190" s="913">
        <f t="shared" si="120"/>
        <v>15461</v>
      </c>
      <c r="G190" s="913">
        <f>G189-G188</f>
        <v>1100</v>
      </c>
      <c r="H190" s="913">
        <f aca="true" t="shared" si="121" ref="H190:S190">H189-H188</f>
        <v>309</v>
      </c>
      <c r="I190" s="913">
        <f t="shared" si="121"/>
        <v>9185</v>
      </c>
      <c r="J190" s="913">
        <f t="shared" si="121"/>
        <v>0</v>
      </c>
      <c r="K190" s="913">
        <f t="shared" si="121"/>
        <v>0</v>
      </c>
      <c r="L190" s="913">
        <f t="shared" si="121"/>
        <v>0</v>
      </c>
      <c r="M190" s="913">
        <f t="shared" si="121"/>
        <v>0</v>
      </c>
      <c r="N190" s="913">
        <f t="shared" si="121"/>
        <v>0</v>
      </c>
      <c r="O190" s="913">
        <f t="shared" si="121"/>
        <v>4867</v>
      </c>
      <c r="P190" s="913">
        <f t="shared" si="121"/>
        <v>0</v>
      </c>
      <c r="Q190" s="913">
        <f t="shared" si="121"/>
        <v>0</v>
      </c>
      <c r="R190" s="913">
        <f t="shared" si="121"/>
        <v>0</v>
      </c>
      <c r="S190" s="913">
        <f t="shared" si="121"/>
        <v>0</v>
      </c>
    </row>
    <row r="191" spans="1:19" ht="39" customHeight="1">
      <c r="A191" s="888" t="s">
        <v>121</v>
      </c>
      <c r="B191" s="242" t="s">
        <v>638</v>
      </c>
      <c r="C191" s="897" t="s">
        <v>641</v>
      </c>
      <c r="D191" s="905" t="s">
        <v>4</v>
      </c>
      <c r="E191" s="909"/>
      <c r="F191" s="909">
        <f t="shared" si="77"/>
        <v>202673</v>
      </c>
      <c r="G191" s="914"/>
      <c r="H191" s="914"/>
      <c r="I191" s="914">
        <v>18794</v>
      </c>
      <c r="J191" s="914">
        <v>160382</v>
      </c>
      <c r="K191" s="914"/>
      <c r="L191" s="914"/>
      <c r="M191" s="914"/>
      <c r="N191" s="914">
        <v>23497</v>
      </c>
      <c r="O191" s="923"/>
      <c r="P191" s="914"/>
      <c r="Q191" s="914"/>
      <c r="R191" s="888"/>
      <c r="S191" s="913"/>
    </row>
    <row r="192" spans="1:19" ht="20.25">
      <c r="A192" s="888"/>
      <c r="B192" s="242"/>
      <c r="C192" s="897"/>
      <c r="D192" s="905" t="s">
        <v>861</v>
      </c>
      <c r="E192" s="909"/>
      <c r="F192" s="909">
        <f t="shared" si="77"/>
        <v>317981</v>
      </c>
      <c r="G192" s="914">
        <v>545</v>
      </c>
      <c r="H192" s="914">
        <v>132</v>
      </c>
      <c r="I192" s="914">
        <v>123947</v>
      </c>
      <c r="J192" s="914">
        <v>160382</v>
      </c>
      <c r="K192" s="914"/>
      <c r="L192" s="914"/>
      <c r="M192" s="914"/>
      <c r="N192" s="914">
        <v>32975</v>
      </c>
      <c r="O192" s="923"/>
      <c r="P192" s="914"/>
      <c r="Q192" s="914"/>
      <c r="R192" s="888"/>
      <c r="S192" s="913"/>
    </row>
    <row r="193" spans="1:19" ht="20.25" hidden="1">
      <c r="A193" s="888"/>
      <c r="B193" s="242"/>
      <c r="C193" s="897"/>
      <c r="D193" s="905" t="s">
        <v>1069</v>
      </c>
      <c r="E193" s="909"/>
      <c r="F193" s="909">
        <f t="shared" si="77"/>
        <v>250837</v>
      </c>
      <c r="G193" s="914">
        <v>545</v>
      </c>
      <c r="H193" s="914">
        <v>132</v>
      </c>
      <c r="I193" s="914">
        <f>56466+476</f>
        <v>56942</v>
      </c>
      <c r="J193" s="914">
        <v>160382</v>
      </c>
      <c r="K193" s="914"/>
      <c r="L193" s="914"/>
      <c r="M193" s="914"/>
      <c r="N193" s="914">
        <v>32836</v>
      </c>
      <c r="O193" s="923"/>
      <c r="P193" s="914"/>
      <c r="Q193" s="914"/>
      <c r="R193" s="888"/>
      <c r="S193" s="913"/>
    </row>
    <row r="194" spans="1:19" ht="20.25">
      <c r="A194" s="888"/>
      <c r="B194" s="242"/>
      <c r="C194" s="897"/>
      <c r="D194" s="905" t="s">
        <v>1072</v>
      </c>
      <c r="E194" s="909">
        <f>E192</f>
        <v>0</v>
      </c>
      <c r="F194" s="909">
        <f t="shared" si="77"/>
        <v>378077</v>
      </c>
      <c r="G194" s="913">
        <f>G192</f>
        <v>545</v>
      </c>
      <c r="H194" s="913">
        <f>H192</f>
        <v>132</v>
      </c>
      <c r="I194" s="913">
        <f>I192-2562-500-25500-5200-2278-170-77-827-940-787-1444-716-370-591-99-914-698-2070-2800-25</f>
        <v>75379</v>
      </c>
      <c r="J194" s="913">
        <f>J192</f>
        <v>160382</v>
      </c>
      <c r="K194" s="913">
        <f aca="true" t="shared" si="122" ref="K194:L194">K192</f>
        <v>0</v>
      </c>
      <c r="L194" s="913">
        <f t="shared" si="122"/>
        <v>0</v>
      </c>
      <c r="M194" s="913">
        <f>M192+200</f>
        <v>200</v>
      </c>
      <c r="N194" s="913">
        <v>141439</v>
      </c>
      <c r="O194" s="913">
        <f>O192</f>
        <v>0</v>
      </c>
      <c r="P194" s="913">
        <f aca="true" t="shared" si="123" ref="P194:R194">P192</f>
        <v>0</v>
      </c>
      <c r="Q194" s="913">
        <f t="shared" si="123"/>
        <v>0</v>
      </c>
      <c r="R194" s="913">
        <f t="shared" si="123"/>
        <v>0</v>
      </c>
      <c r="S194" s="913">
        <f>S192</f>
        <v>0</v>
      </c>
    </row>
    <row r="195" spans="1:19" ht="20.25" hidden="1">
      <c r="A195" s="888"/>
      <c r="B195" s="242"/>
      <c r="C195" s="897"/>
      <c r="D195" s="905" t="s">
        <v>1073</v>
      </c>
      <c r="E195" s="913">
        <f aca="true" t="shared" si="124" ref="E195:F195">E194-E193</f>
        <v>0</v>
      </c>
      <c r="F195" s="913">
        <f t="shared" si="124"/>
        <v>127240</v>
      </c>
      <c r="G195" s="913">
        <f>G194-G193</f>
        <v>0</v>
      </c>
      <c r="H195" s="913">
        <f aca="true" t="shared" si="125" ref="H195:S195">H194-H193</f>
        <v>0</v>
      </c>
      <c r="I195" s="913">
        <f t="shared" si="125"/>
        <v>18437</v>
      </c>
      <c r="J195" s="913">
        <f t="shared" si="125"/>
        <v>0</v>
      </c>
      <c r="K195" s="913">
        <f t="shared" si="125"/>
        <v>0</v>
      </c>
      <c r="L195" s="913">
        <f t="shared" si="125"/>
        <v>0</v>
      </c>
      <c r="M195" s="913">
        <f t="shared" si="125"/>
        <v>200</v>
      </c>
      <c r="N195" s="913">
        <f t="shared" si="125"/>
        <v>108603</v>
      </c>
      <c r="O195" s="913">
        <f t="shared" si="125"/>
        <v>0</v>
      </c>
      <c r="P195" s="913">
        <f t="shared" si="125"/>
        <v>0</v>
      </c>
      <c r="Q195" s="913">
        <f t="shared" si="125"/>
        <v>0</v>
      </c>
      <c r="R195" s="913">
        <f t="shared" si="125"/>
        <v>0</v>
      </c>
      <c r="S195" s="913">
        <f t="shared" si="125"/>
        <v>0</v>
      </c>
    </row>
    <row r="196" spans="1:19" ht="40.5">
      <c r="A196" s="888" t="s">
        <v>122</v>
      </c>
      <c r="B196" s="242" t="s">
        <v>642</v>
      </c>
      <c r="C196" s="897" t="s">
        <v>643</v>
      </c>
      <c r="D196" s="905" t="s">
        <v>4</v>
      </c>
      <c r="E196" s="909"/>
      <c r="F196" s="909">
        <f t="shared" si="77"/>
        <v>0</v>
      </c>
      <c r="G196" s="914"/>
      <c r="H196" s="914"/>
      <c r="I196" s="914"/>
      <c r="J196" s="914"/>
      <c r="K196" s="914"/>
      <c r="L196" s="914"/>
      <c r="M196" s="914"/>
      <c r="N196" s="914"/>
      <c r="O196" s="923"/>
      <c r="P196" s="914"/>
      <c r="Q196" s="914"/>
      <c r="R196" s="888"/>
      <c r="S196" s="913"/>
    </row>
    <row r="197" spans="1:19" ht="20.25" hidden="1">
      <c r="A197" s="888"/>
      <c r="B197" s="242"/>
      <c r="C197" s="897"/>
      <c r="D197" s="905" t="s">
        <v>859</v>
      </c>
      <c r="E197" s="909"/>
      <c r="F197" s="909">
        <f t="shared" si="77"/>
        <v>71041</v>
      </c>
      <c r="G197" s="914"/>
      <c r="H197" s="914"/>
      <c r="I197" s="914">
        <v>71041</v>
      </c>
      <c r="J197" s="914"/>
      <c r="K197" s="914"/>
      <c r="L197" s="914"/>
      <c r="M197" s="914"/>
      <c r="N197" s="914"/>
      <c r="O197" s="923"/>
      <c r="P197" s="914"/>
      <c r="Q197" s="914"/>
      <c r="R197" s="888"/>
      <c r="S197" s="913"/>
    </row>
    <row r="198" spans="1:19" ht="20.25">
      <c r="A198" s="888"/>
      <c r="B198" s="242"/>
      <c r="C198" s="897"/>
      <c r="D198" s="905" t="s">
        <v>861</v>
      </c>
      <c r="E198" s="909"/>
      <c r="F198" s="909">
        <f t="shared" si="77"/>
        <v>71041</v>
      </c>
      <c r="G198" s="914"/>
      <c r="H198" s="914"/>
      <c r="I198" s="914">
        <v>71041</v>
      </c>
      <c r="J198" s="914"/>
      <c r="K198" s="914"/>
      <c r="L198" s="914"/>
      <c r="M198" s="914"/>
      <c r="N198" s="914"/>
      <c r="O198" s="923"/>
      <c r="P198" s="914"/>
      <c r="Q198" s="914"/>
      <c r="R198" s="888"/>
      <c r="S198" s="913"/>
    </row>
    <row r="199" spans="1:19" ht="20.25" hidden="1">
      <c r="A199" s="888"/>
      <c r="B199" s="242"/>
      <c r="C199" s="897"/>
      <c r="D199" s="905" t="s">
        <v>1069</v>
      </c>
      <c r="E199" s="909">
        <v>5631</v>
      </c>
      <c r="F199" s="909">
        <f t="shared" si="77"/>
        <v>29338</v>
      </c>
      <c r="G199" s="914"/>
      <c r="H199" s="914"/>
      <c r="I199" s="914">
        <v>29338</v>
      </c>
      <c r="J199" s="914"/>
      <c r="K199" s="914"/>
      <c r="L199" s="914"/>
      <c r="M199" s="914"/>
      <c r="N199" s="914"/>
      <c r="O199" s="914"/>
      <c r="P199" s="914"/>
      <c r="Q199" s="914"/>
      <c r="R199" s="914"/>
      <c r="S199" s="913"/>
    </row>
    <row r="200" spans="1:19" ht="20.25">
      <c r="A200" s="888"/>
      <c r="B200" s="242"/>
      <c r="C200" s="897"/>
      <c r="D200" s="905" t="s">
        <v>1072</v>
      </c>
      <c r="E200" s="909">
        <f>E198</f>
        <v>0</v>
      </c>
      <c r="F200" s="909">
        <f t="shared" si="77"/>
        <v>31041</v>
      </c>
      <c r="G200" s="913">
        <f>G198</f>
        <v>0</v>
      </c>
      <c r="H200" s="913">
        <f aca="true" t="shared" si="126" ref="H200:S200">H198</f>
        <v>0</v>
      </c>
      <c r="I200" s="913">
        <f>I198-40000</f>
        <v>31041</v>
      </c>
      <c r="J200" s="913">
        <f t="shared" si="126"/>
        <v>0</v>
      </c>
      <c r="K200" s="913">
        <f t="shared" si="126"/>
        <v>0</v>
      </c>
      <c r="L200" s="913">
        <f t="shared" si="126"/>
        <v>0</v>
      </c>
      <c r="M200" s="913">
        <f t="shared" si="126"/>
        <v>0</v>
      </c>
      <c r="N200" s="913">
        <f t="shared" si="126"/>
        <v>0</v>
      </c>
      <c r="O200" s="913">
        <f t="shared" si="126"/>
        <v>0</v>
      </c>
      <c r="P200" s="913">
        <f t="shared" si="126"/>
        <v>0</v>
      </c>
      <c r="Q200" s="913">
        <f t="shared" si="126"/>
        <v>0</v>
      </c>
      <c r="R200" s="913">
        <f t="shared" si="126"/>
        <v>0</v>
      </c>
      <c r="S200" s="913">
        <f t="shared" si="126"/>
        <v>0</v>
      </c>
    </row>
    <row r="201" spans="1:19" ht="20.25" hidden="1">
      <c r="A201" s="888"/>
      <c r="B201" s="242"/>
      <c r="C201" s="897"/>
      <c r="D201" s="905" t="s">
        <v>1073</v>
      </c>
      <c r="E201" s="913">
        <f aca="true" t="shared" si="127" ref="E201:F201">E200-E199</f>
        <v>-5631</v>
      </c>
      <c r="F201" s="913">
        <f t="shared" si="127"/>
        <v>1703</v>
      </c>
      <c r="G201" s="913">
        <f>G200-G199</f>
        <v>0</v>
      </c>
      <c r="H201" s="913">
        <f aca="true" t="shared" si="128" ref="H201:S201">H200-H199</f>
        <v>0</v>
      </c>
      <c r="I201" s="913">
        <f t="shared" si="128"/>
        <v>1703</v>
      </c>
      <c r="J201" s="913">
        <f t="shared" si="128"/>
        <v>0</v>
      </c>
      <c r="K201" s="913">
        <f t="shared" si="128"/>
        <v>0</v>
      </c>
      <c r="L201" s="913">
        <f t="shared" si="128"/>
        <v>0</v>
      </c>
      <c r="M201" s="913">
        <f t="shared" si="128"/>
        <v>0</v>
      </c>
      <c r="N201" s="913">
        <f t="shared" si="128"/>
        <v>0</v>
      </c>
      <c r="O201" s="913">
        <f t="shared" si="128"/>
        <v>0</v>
      </c>
      <c r="P201" s="913">
        <f t="shared" si="128"/>
        <v>0</v>
      </c>
      <c r="Q201" s="913">
        <f t="shared" si="128"/>
        <v>0</v>
      </c>
      <c r="R201" s="913">
        <f t="shared" si="128"/>
        <v>0</v>
      </c>
      <c r="S201" s="913">
        <f t="shared" si="128"/>
        <v>0</v>
      </c>
    </row>
    <row r="202" spans="1:19" ht="20.25">
      <c r="A202" s="888" t="s">
        <v>122</v>
      </c>
      <c r="B202" s="242" t="s">
        <v>644</v>
      </c>
      <c r="C202" s="897" t="s">
        <v>645</v>
      </c>
      <c r="D202" s="905" t="s">
        <v>4</v>
      </c>
      <c r="E202" s="909">
        <v>215</v>
      </c>
      <c r="F202" s="909">
        <f t="shared" si="77"/>
        <v>11500</v>
      </c>
      <c r="G202" s="914">
        <v>5775</v>
      </c>
      <c r="H202" s="914">
        <v>2955</v>
      </c>
      <c r="I202" s="914">
        <v>2770</v>
      </c>
      <c r="J202" s="914"/>
      <c r="K202" s="914"/>
      <c r="L202" s="914"/>
      <c r="M202" s="914"/>
      <c r="N202" s="914"/>
      <c r="O202" s="914"/>
      <c r="P202" s="914"/>
      <c r="Q202" s="914"/>
      <c r="R202" s="888"/>
      <c r="S202" s="913"/>
    </row>
    <row r="203" spans="1:19" ht="20.25">
      <c r="A203" s="888"/>
      <c r="B203" s="242"/>
      <c r="C203" s="897"/>
      <c r="D203" s="905" t="s">
        <v>861</v>
      </c>
      <c r="E203" s="909">
        <v>215</v>
      </c>
      <c r="F203" s="909">
        <f t="shared" si="77"/>
        <v>13513</v>
      </c>
      <c r="G203" s="914">
        <v>6397</v>
      </c>
      <c r="H203" s="914">
        <v>3054</v>
      </c>
      <c r="I203" s="914">
        <v>3962</v>
      </c>
      <c r="J203" s="914">
        <v>100</v>
      </c>
      <c r="K203" s="914"/>
      <c r="L203" s="914"/>
      <c r="M203" s="914"/>
      <c r="N203" s="914"/>
      <c r="O203" s="914"/>
      <c r="P203" s="914"/>
      <c r="Q203" s="914"/>
      <c r="R203" s="888"/>
      <c r="S203" s="913"/>
    </row>
    <row r="204" spans="1:19" ht="20.25" hidden="1">
      <c r="A204" s="888"/>
      <c r="B204" s="242"/>
      <c r="C204" s="897"/>
      <c r="D204" s="905" t="s">
        <v>1069</v>
      </c>
      <c r="E204" s="909">
        <v>384</v>
      </c>
      <c r="F204" s="909">
        <f t="shared" si="77"/>
        <v>11478</v>
      </c>
      <c r="G204" s="914">
        <v>5832</v>
      </c>
      <c r="H204" s="914">
        <v>1460</v>
      </c>
      <c r="I204" s="914">
        <v>3986</v>
      </c>
      <c r="J204" s="914">
        <v>200</v>
      </c>
      <c r="K204" s="914"/>
      <c r="L204" s="914"/>
      <c r="M204" s="914"/>
      <c r="N204" s="914"/>
      <c r="O204" s="914"/>
      <c r="P204" s="914"/>
      <c r="Q204" s="914"/>
      <c r="R204" s="888"/>
      <c r="S204" s="913"/>
    </row>
    <row r="205" spans="1:19" ht="20.25">
      <c r="A205" s="888"/>
      <c r="B205" s="242"/>
      <c r="C205" s="897"/>
      <c r="D205" s="905" t="s">
        <v>1072</v>
      </c>
      <c r="E205" s="909">
        <f>E203+133</f>
        <v>348</v>
      </c>
      <c r="F205" s="909">
        <f t="shared" si="77"/>
        <v>13863</v>
      </c>
      <c r="G205" s="913">
        <f>G203</f>
        <v>6397</v>
      </c>
      <c r="H205" s="913">
        <f aca="true" t="shared" si="129" ref="H205">H203</f>
        <v>3054</v>
      </c>
      <c r="I205" s="913">
        <f>I203+250</f>
        <v>4212</v>
      </c>
      <c r="J205" s="913">
        <f>J203+100</f>
        <v>200</v>
      </c>
      <c r="K205" s="913">
        <f>K203</f>
        <v>0</v>
      </c>
      <c r="L205" s="913">
        <f aca="true" t="shared" si="130" ref="L205:S205">L203</f>
        <v>0</v>
      </c>
      <c r="M205" s="913">
        <f t="shared" si="130"/>
        <v>0</v>
      </c>
      <c r="N205" s="913">
        <f t="shared" si="130"/>
        <v>0</v>
      </c>
      <c r="O205" s="913">
        <f t="shared" si="130"/>
        <v>0</v>
      </c>
      <c r="P205" s="913">
        <f t="shared" si="130"/>
        <v>0</v>
      </c>
      <c r="Q205" s="913">
        <f t="shared" si="130"/>
        <v>0</v>
      </c>
      <c r="R205" s="913">
        <f t="shared" si="130"/>
        <v>0</v>
      </c>
      <c r="S205" s="913">
        <f t="shared" si="130"/>
        <v>0</v>
      </c>
    </row>
    <row r="206" spans="1:19" ht="20.25" hidden="1">
      <c r="A206" s="888"/>
      <c r="B206" s="242"/>
      <c r="C206" s="897"/>
      <c r="D206" s="905" t="s">
        <v>1073</v>
      </c>
      <c r="E206" s="913">
        <f aca="true" t="shared" si="131" ref="E206:F206">E205-E204</f>
        <v>-36</v>
      </c>
      <c r="F206" s="913">
        <f t="shared" si="131"/>
        <v>2385</v>
      </c>
      <c r="G206" s="913">
        <f>G205-G204</f>
        <v>565</v>
      </c>
      <c r="H206" s="913">
        <f aca="true" t="shared" si="132" ref="H206:S206">H205-H204</f>
        <v>1594</v>
      </c>
      <c r="I206" s="913">
        <f t="shared" si="132"/>
        <v>226</v>
      </c>
      <c r="J206" s="913">
        <f t="shared" si="132"/>
        <v>0</v>
      </c>
      <c r="K206" s="913">
        <f t="shared" si="132"/>
        <v>0</v>
      </c>
      <c r="L206" s="913">
        <f t="shared" si="132"/>
        <v>0</v>
      </c>
      <c r="M206" s="913">
        <f t="shared" si="132"/>
        <v>0</v>
      </c>
      <c r="N206" s="913">
        <f t="shared" si="132"/>
        <v>0</v>
      </c>
      <c r="O206" s="913">
        <f t="shared" si="132"/>
        <v>0</v>
      </c>
      <c r="P206" s="913">
        <f t="shared" si="132"/>
        <v>0</v>
      </c>
      <c r="Q206" s="913">
        <f t="shared" si="132"/>
        <v>0</v>
      </c>
      <c r="R206" s="913">
        <f t="shared" si="132"/>
        <v>0</v>
      </c>
      <c r="S206" s="913">
        <f t="shared" si="132"/>
        <v>0</v>
      </c>
    </row>
    <row r="207" spans="1:19" ht="20.25">
      <c r="A207" s="888" t="s">
        <v>122</v>
      </c>
      <c r="B207" s="242" t="s">
        <v>646</v>
      </c>
      <c r="C207" s="897" t="s">
        <v>647</v>
      </c>
      <c r="D207" s="905" t="s">
        <v>4</v>
      </c>
      <c r="E207" s="909"/>
      <c r="F207" s="909">
        <f t="shared" si="77"/>
        <v>1524</v>
      </c>
      <c r="G207" s="914"/>
      <c r="H207" s="914"/>
      <c r="I207" s="914">
        <v>1524</v>
      </c>
      <c r="J207" s="914"/>
      <c r="K207" s="914"/>
      <c r="L207" s="914"/>
      <c r="M207" s="914"/>
      <c r="N207" s="914"/>
      <c r="O207" s="923"/>
      <c r="P207" s="914"/>
      <c r="Q207" s="914"/>
      <c r="R207" s="888"/>
      <c r="S207" s="913"/>
    </row>
    <row r="208" spans="1:19" ht="20.25">
      <c r="A208" s="888"/>
      <c r="B208" s="242"/>
      <c r="C208" s="897"/>
      <c r="D208" s="905" t="s">
        <v>861</v>
      </c>
      <c r="E208" s="909"/>
      <c r="F208" s="909">
        <f t="shared" si="77"/>
        <v>65075</v>
      </c>
      <c r="G208" s="914"/>
      <c r="H208" s="914"/>
      <c r="I208" s="914">
        <v>1524</v>
      </c>
      <c r="J208" s="914"/>
      <c r="K208" s="914"/>
      <c r="L208" s="914"/>
      <c r="M208" s="914">
        <v>59964</v>
      </c>
      <c r="N208" s="914">
        <v>3587</v>
      </c>
      <c r="O208" s="923"/>
      <c r="P208" s="914"/>
      <c r="Q208" s="914"/>
      <c r="R208" s="888"/>
      <c r="S208" s="913"/>
    </row>
    <row r="209" spans="1:19" ht="20.25" hidden="1">
      <c r="A209" s="888"/>
      <c r="B209" s="242"/>
      <c r="C209" s="897"/>
      <c r="D209" s="905" t="s">
        <v>1069</v>
      </c>
      <c r="E209" s="909"/>
      <c r="F209" s="909">
        <f t="shared" si="77"/>
        <v>59842</v>
      </c>
      <c r="G209" s="914"/>
      <c r="H209" s="914"/>
      <c r="I209" s="914">
        <f>1091+1</f>
        <v>1092</v>
      </c>
      <c r="J209" s="914"/>
      <c r="K209" s="914"/>
      <c r="L209" s="914"/>
      <c r="M209" s="914">
        <v>56663</v>
      </c>
      <c r="N209" s="914">
        <v>2087</v>
      </c>
      <c r="O209" s="923"/>
      <c r="P209" s="914"/>
      <c r="Q209" s="914"/>
      <c r="R209" s="888"/>
      <c r="S209" s="913"/>
    </row>
    <row r="210" spans="1:19" ht="20.25">
      <c r="A210" s="888"/>
      <c r="B210" s="242"/>
      <c r="C210" s="897"/>
      <c r="D210" s="905" t="s">
        <v>1072</v>
      </c>
      <c r="E210" s="909">
        <f>E208</f>
        <v>0</v>
      </c>
      <c r="F210" s="909">
        <f t="shared" si="77"/>
        <v>63937</v>
      </c>
      <c r="G210" s="913">
        <f>+G208+1560</f>
        <v>1560</v>
      </c>
      <c r="H210" s="913">
        <f>H208</f>
        <v>0</v>
      </c>
      <c r="I210" s="913">
        <f>I208+25</f>
        <v>1549</v>
      </c>
      <c r="J210" s="913">
        <f>J208</f>
        <v>0</v>
      </c>
      <c r="K210" s="913">
        <f aca="true" t="shared" si="133" ref="K210:L210">K208</f>
        <v>0</v>
      </c>
      <c r="L210" s="913">
        <f t="shared" si="133"/>
        <v>0</v>
      </c>
      <c r="M210" s="913">
        <f>M208-673-2050</f>
        <v>57241</v>
      </c>
      <c r="N210" s="913">
        <f>N208</f>
        <v>3587</v>
      </c>
      <c r="O210" s="913">
        <f>O208</f>
        <v>0</v>
      </c>
      <c r="P210" s="913">
        <f aca="true" t="shared" si="134" ref="P210:S210">P208</f>
        <v>0</v>
      </c>
      <c r="Q210" s="913">
        <f t="shared" si="134"/>
        <v>0</v>
      </c>
      <c r="R210" s="913">
        <f t="shared" si="134"/>
        <v>0</v>
      </c>
      <c r="S210" s="913">
        <f t="shared" si="134"/>
        <v>0</v>
      </c>
    </row>
    <row r="211" spans="1:19" ht="20.25" hidden="1">
      <c r="A211" s="888"/>
      <c r="B211" s="242"/>
      <c r="C211" s="897"/>
      <c r="D211" s="905" t="s">
        <v>1073</v>
      </c>
      <c r="E211" s="913">
        <f aca="true" t="shared" si="135" ref="E211:F211">E210-E209</f>
        <v>0</v>
      </c>
      <c r="F211" s="913">
        <f t="shared" si="135"/>
        <v>4095</v>
      </c>
      <c r="G211" s="913">
        <f>G210-G209</f>
        <v>1560</v>
      </c>
      <c r="H211" s="913">
        <f aca="true" t="shared" si="136" ref="H211:S211">H210-H209</f>
        <v>0</v>
      </c>
      <c r="I211" s="913">
        <f t="shared" si="136"/>
        <v>457</v>
      </c>
      <c r="J211" s="913">
        <f t="shared" si="136"/>
        <v>0</v>
      </c>
      <c r="K211" s="913">
        <f t="shared" si="136"/>
        <v>0</v>
      </c>
      <c r="L211" s="913">
        <f t="shared" si="136"/>
        <v>0</v>
      </c>
      <c r="M211" s="913">
        <f t="shared" si="136"/>
        <v>578</v>
      </c>
      <c r="N211" s="913">
        <f t="shared" si="136"/>
        <v>1500</v>
      </c>
      <c r="O211" s="913">
        <f t="shared" si="136"/>
        <v>0</v>
      </c>
      <c r="P211" s="913">
        <f t="shared" si="136"/>
        <v>0</v>
      </c>
      <c r="Q211" s="913">
        <f t="shared" si="136"/>
        <v>0</v>
      </c>
      <c r="R211" s="913">
        <f t="shared" si="136"/>
        <v>0</v>
      </c>
      <c r="S211" s="913">
        <f t="shared" si="136"/>
        <v>0</v>
      </c>
    </row>
    <row r="212" spans="1:19" ht="20.25">
      <c r="A212" s="888" t="s">
        <v>121</v>
      </c>
      <c r="B212" s="242" t="s">
        <v>648</v>
      </c>
      <c r="C212" s="897" t="s">
        <v>649</v>
      </c>
      <c r="D212" s="905" t="s">
        <v>4</v>
      </c>
      <c r="E212" s="909"/>
      <c r="F212" s="909">
        <f t="shared" si="77"/>
        <v>127495</v>
      </c>
      <c r="G212" s="914"/>
      <c r="H212" s="914"/>
      <c r="I212" s="914"/>
      <c r="J212" s="914">
        <v>127495</v>
      </c>
      <c r="K212" s="914"/>
      <c r="L212" s="914"/>
      <c r="M212" s="914"/>
      <c r="N212" s="914"/>
      <c r="O212" s="914"/>
      <c r="P212" s="914"/>
      <c r="Q212" s="914"/>
      <c r="R212" s="888"/>
      <c r="S212" s="913"/>
    </row>
    <row r="213" spans="1:19" ht="20.25">
      <c r="A213" s="888"/>
      <c r="B213" s="242"/>
      <c r="C213" s="897"/>
      <c r="D213" s="905" t="s">
        <v>861</v>
      </c>
      <c r="E213" s="909"/>
      <c r="F213" s="909">
        <f t="shared" si="77"/>
        <v>166538</v>
      </c>
      <c r="G213" s="914"/>
      <c r="H213" s="914"/>
      <c r="I213" s="914">
        <v>3205</v>
      </c>
      <c r="J213" s="914">
        <v>142833</v>
      </c>
      <c r="K213" s="914"/>
      <c r="L213" s="914"/>
      <c r="M213" s="914">
        <v>2500</v>
      </c>
      <c r="N213" s="914"/>
      <c r="O213" s="914">
        <v>18000</v>
      </c>
      <c r="P213" s="914"/>
      <c r="Q213" s="914"/>
      <c r="R213" s="888"/>
      <c r="S213" s="913"/>
    </row>
    <row r="214" spans="1:19" ht="20.25" hidden="1">
      <c r="A214" s="888"/>
      <c r="B214" s="242"/>
      <c r="C214" s="897"/>
      <c r="D214" s="905" t="s">
        <v>1069</v>
      </c>
      <c r="E214" s="909"/>
      <c r="F214" s="909">
        <f t="shared" si="77"/>
        <v>168058</v>
      </c>
      <c r="G214" s="914"/>
      <c r="H214" s="914"/>
      <c r="I214" s="914">
        <v>30</v>
      </c>
      <c r="J214" s="914">
        <v>162633</v>
      </c>
      <c r="K214" s="914"/>
      <c r="L214" s="914"/>
      <c r="M214" s="914">
        <v>0</v>
      </c>
      <c r="N214" s="914">
        <v>5395</v>
      </c>
      <c r="O214" s="914">
        <v>0</v>
      </c>
      <c r="P214" s="914"/>
      <c r="Q214" s="914"/>
      <c r="R214" s="888"/>
      <c r="S214" s="913"/>
    </row>
    <row r="215" spans="1:19" ht="20.25">
      <c r="A215" s="888"/>
      <c r="B215" s="242"/>
      <c r="C215" s="897"/>
      <c r="D215" s="905" t="s">
        <v>1072</v>
      </c>
      <c r="E215" s="909">
        <f>E213</f>
        <v>0</v>
      </c>
      <c r="F215" s="909">
        <f t="shared" si="77"/>
        <v>173734</v>
      </c>
      <c r="G215" s="913">
        <f>G213</f>
        <v>0</v>
      </c>
      <c r="H215" s="913">
        <f aca="true" t="shared" si="137" ref="H215:I215">H213</f>
        <v>0</v>
      </c>
      <c r="I215" s="913">
        <f t="shared" si="137"/>
        <v>3205</v>
      </c>
      <c r="J215" s="913">
        <f>J213+1800+18000</f>
        <v>162633</v>
      </c>
      <c r="K215" s="913">
        <f>K213</f>
        <v>0</v>
      </c>
      <c r="L215" s="913">
        <f>L213</f>
        <v>0</v>
      </c>
      <c r="M215" s="913">
        <f>M213</f>
        <v>2500</v>
      </c>
      <c r="N215" s="913">
        <v>5396</v>
      </c>
      <c r="O215" s="913">
        <f>O213-18000</f>
        <v>0</v>
      </c>
      <c r="P215" s="913">
        <f>P213</f>
        <v>0</v>
      </c>
      <c r="Q215" s="913">
        <f aca="true" t="shared" si="138" ref="Q215:S215">Q213</f>
        <v>0</v>
      </c>
      <c r="R215" s="913">
        <f t="shared" si="138"/>
        <v>0</v>
      </c>
      <c r="S215" s="913">
        <f t="shared" si="138"/>
        <v>0</v>
      </c>
    </row>
    <row r="216" spans="1:19" ht="20.25" hidden="1">
      <c r="A216" s="888"/>
      <c r="B216" s="242"/>
      <c r="C216" s="897"/>
      <c r="D216" s="905" t="s">
        <v>1073</v>
      </c>
      <c r="E216" s="913">
        <f aca="true" t="shared" si="139" ref="E216:F216">E215-E214</f>
        <v>0</v>
      </c>
      <c r="F216" s="913">
        <f t="shared" si="139"/>
        <v>5676</v>
      </c>
      <c r="G216" s="913">
        <f>G215-G214</f>
        <v>0</v>
      </c>
      <c r="H216" s="913">
        <f aca="true" t="shared" si="140" ref="H216:S216">H215-H214</f>
        <v>0</v>
      </c>
      <c r="I216" s="913">
        <f t="shared" si="140"/>
        <v>3175</v>
      </c>
      <c r="J216" s="913">
        <f t="shared" si="140"/>
        <v>0</v>
      </c>
      <c r="K216" s="913">
        <f t="shared" si="140"/>
        <v>0</v>
      </c>
      <c r="L216" s="913">
        <f t="shared" si="140"/>
        <v>0</v>
      </c>
      <c r="M216" s="913">
        <f t="shared" si="140"/>
        <v>2500</v>
      </c>
      <c r="N216" s="913">
        <f t="shared" si="140"/>
        <v>1</v>
      </c>
      <c r="O216" s="913">
        <f t="shared" si="140"/>
        <v>0</v>
      </c>
      <c r="P216" s="913">
        <f t="shared" si="140"/>
        <v>0</v>
      </c>
      <c r="Q216" s="913">
        <f t="shared" si="140"/>
        <v>0</v>
      </c>
      <c r="R216" s="913">
        <f t="shared" si="140"/>
        <v>0</v>
      </c>
      <c r="S216" s="913">
        <f t="shared" si="140"/>
        <v>0</v>
      </c>
    </row>
    <row r="217" spans="1:19" ht="20.25">
      <c r="A217" s="888" t="s">
        <v>122</v>
      </c>
      <c r="B217" s="242" t="s">
        <v>650</v>
      </c>
      <c r="C217" s="897" t="s">
        <v>651</v>
      </c>
      <c r="D217" s="905" t="s">
        <v>4</v>
      </c>
      <c r="E217" s="909"/>
      <c r="F217" s="909">
        <f t="shared" si="77"/>
        <v>0</v>
      </c>
      <c r="G217" s="913"/>
      <c r="H217" s="913"/>
      <c r="I217" s="913"/>
      <c r="J217" s="913"/>
      <c r="K217" s="909"/>
      <c r="L217" s="909"/>
      <c r="M217" s="913"/>
      <c r="N217" s="913"/>
      <c r="O217" s="913"/>
      <c r="P217" s="913"/>
      <c r="Q217" s="913"/>
      <c r="R217" s="888"/>
      <c r="S217" s="913"/>
    </row>
    <row r="218" spans="1:19" ht="20.25">
      <c r="A218" s="888"/>
      <c r="B218" s="242"/>
      <c r="C218" s="897"/>
      <c r="D218" s="905" t="s">
        <v>861</v>
      </c>
      <c r="E218" s="909">
        <v>12</v>
      </c>
      <c r="F218" s="909">
        <f t="shared" si="77"/>
        <v>0</v>
      </c>
      <c r="G218" s="913"/>
      <c r="H218" s="913"/>
      <c r="I218" s="913"/>
      <c r="J218" s="913"/>
      <c r="K218" s="909"/>
      <c r="L218" s="909"/>
      <c r="M218" s="913"/>
      <c r="N218" s="913"/>
      <c r="O218" s="913"/>
      <c r="P218" s="913"/>
      <c r="Q218" s="913"/>
      <c r="R218" s="888"/>
      <c r="S218" s="913"/>
    </row>
    <row r="219" spans="1:19" ht="20.25" hidden="1">
      <c r="A219" s="888"/>
      <c r="B219" s="242"/>
      <c r="C219" s="897"/>
      <c r="D219" s="905" t="s">
        <v>1069</v>
      </c>
      <c r="E219" s="909">
        <v>12</v>
      </c>
      <c r="F219" s="909">
        <f t="shared" si="77"/>
        <v>0</v>
      </c>
      <c r="G219" s="913"/>
      <c r="H219" s="913"/>
      <c r="I219" s="913"/>
      <c r="J219" s="913"/>
      <c r="K219" s="909"/>
      <c r="L219" s="909"/>
      <c r="M219" s="913"/>
      <c r="N219" s="913"/>
      <c r="O219" s="913"/>
      <c r="P219" s="913"/>
      <c r="Q219" s="913"/>
      <c r="R219" s="888"/>
      <c r="S219" s="913"/>
    </row>
    <row r="220" spans="1:19" ht="20.25">
      <c r="A220" s="888"/>
      <c r="B220" s="242"/>
      <c r="C220" s="897"/>
      <c r="D220" s="905" t="s">
        <v>1072</v>
      </c>
      <c r="E220" s="909">
        <f>E218</f>
        <v>12</v>
      </c>
      <c r="F220" s="909">
        <f t="shared" si="77"/>
        <v>0</v>
      </c>
      <c r="G220" s="913">
        <f>G218</f>
        <v>0</v>
      </c>
      <c r="H220" s="913">
        <f aca="true" t="shared" si="141" ref="H220:R220">H218</f>
        <v>0</v>
      </c>
      <c r="I220" s="913">
        <f t="shared" si="141"/>
        <v>0</v>
      </c>
      <c r="J220" s="913">
        <f t="shared" si="141"/>
        <v>0</v>
      </c>
      <c r="K220" s="913">
        <f t="shared" si="141"/>
        <v>0</v>
      </c>
      <c r="L220" s="913">
        <f t="shared" si="141"/>
        <v>0</v>
      </c>
      <c r="M220" s="913">
        <f t="shared" si="141"/>
        <v>0</v>
      </c>
      <c r="N220" s="913">
        <f t="shared" si="141"/>
        <v>0</v>
      </c>
      <c r="O220" s="913">
        <f t="shared" si="141"/>
        <v>0</v>
      </c>
      <c r="P220" s="913">
        <f t="shared" si="141"/>
        <v>0</v>
      </c>
      <c r="Q220" s="913">
        <f t="shared" si="141"/>
        <v>0</v>
      </c>
      <c r="R220" s="913">
        <f t="shared" si="141"/>
        <v>0</v>
      </c>
      <c r="S220" s="913">
        <f>S218</f>
        <v>0</v>
      </c>
    </row>
    <row r="221" spans="1:19" ht="20.25" hidden="1">
      <c r="A221" s="888"/>
      <c r="B221" s="242"/>
      <c r="C221" s="897"/>
      <c r="D221" s="905" t="s">
        <v>1073</v>
      </c>
      <c r="E221" s="913">
        <f aca="true" t="shared" si="142" ref="E221:F221">E220-E219</f>
        <v>0</v>
      </c>
      <c r="F221" s="913">
        <f t="shared" si="142"/>
        <v>0</v>
      </c>
      <c r="G221" s="913">
        <f>G220-G219</f>
        <v>0</v>
      </c>
      <c r="H221" s="913">
        <f aca="true" t="shared" si="143" ref="H221:S221">H220-H219</f>
        <v>0</v>
      </c>
      <c r="I221" s="913">
        <f t="shared" si="143"/>
        <v>0</v>
      </c>
      <c r="J221" s="913">
        <f t="shared" si="143"/>
        <v>0</v>
      </c>
      <c r="K221" s="913">
        <f t="shared" si="143"/>
        <v>0</v>
      </c>
      <c r="L221" s="913">
        <f t="shared" si="143"/>
        <v>0</v>
      </c>
      <c r="M221" s="913">
        <f t="shared" si="143"/>
        <v>0</v>
      </c>
      <c r="N221" s="913">
        <f t="shared" si="143"/>
        <v>0</v>
      </c>
      <c r="O221" s="913">
        <f t="shared" si="143"/>
        <v>0</v>
      </c>
      <c r="P221" s="913">
        <f t="shared" si="143"/>
        <v>0</v>
      </c>
      <c r="Q221" s="913">
        <f t="shared" si="143"/>
        <v>0</v>
      </c>
      <c r="R221" s="913">
        <f t="shared" si="143"/>
        <v>0</v>
      </c>
      <c r="S221" s="913">
        <f t="shared" si="143"/>
        <v>0</v>
      </c>
    </row>
    <row r="222" spans="1:19" ht="20.25">
      <c r="A222" s="888" t="s">
        <v>122</v>
      </c>
      <c r="B222" s="242" t="s">
        <v>652</v>
      </c>
      <c r="C222" s="635" t="s">
        <v>653</v>
      </c>
      <c r="D222" s="905" t="s">
        <v>4</v>
      </c>
      <c r="E222" s="909"/>
      <c r="F222" s="909">
        <f t="shared" si="77"/>
        <v>24036</v>
      </c>
      <c r="G222" s="914">
        <v>3360</v>
      </c>
      <c r="H222" s="914">
        <v>816</v>
      </c>
      <c r="I222" s="914">
        <v>19860</v>
      </c>
      <c r="J222" s="914"/>
      <c r="K222" s="914"/>
      <c r="L222" s="914"/>
      <c r="M222" s="914"/>
      <c r="N222" s="914"/>
      <c r="O222" s="914"/>
      <c r="P222" s="914"/>
      <c r="Q222" s="914"/>
      <c r="R222" s="888"/>
      <c r="S222" s="913"/>
    </row>
    <row r="223" spans="1:19" ht="20.25">
      <c r="A223" s="888"/>
      <c r="B223" s="242"/>
      <c r="C223" s="635"/>
      <c r="D223" s="905" t="s">
        <v>861</v>
      </c>
      <c r="E223" s="909">
        <v>198</v>
      </c>
      <c r="F223" s="909">
        <f t="shared" si="77"/>
        <v>9816</v>
      </c>
      <c r="G223" s="914">
        <v>2610</v>
      </c>
      <c r="H223" s="914">
        <v>816</v>
      </c>
      <c r="I223" s="914">
        <v>6390</v>
      </c>
      <c r="J223" s="914"/>
      <c r="K223" s="914"/>
      <c r="L223" s="914"/>
      <c r="M223" s="914"/>
      <c r="N223" s="914"/>
      <c r="O223" s="914"/>
      <c r="P223" s="914"/>
      <c r="Q223" s="914"/>
      <c r="R223" s="888"/>
      <c r="S223" s="913"/>
    </row>
    <row r="224" spans="1:19" ht="20.25" hidden="1">
      <c r="A224" s="888"/>
      <c r="B224" s="242"/>
      <c r="C224" s="635"/>
      <c r="D224" s="905" t="s">
        <v>1069</v>
      </c>
      <c r="E224" s="909">
        <v>208</v>
      </c>
      <c r="F224" s="909">
        <f t="shared" si="77"/>
        <v>9650</v>
      </c>
      <c r="G224" s="914">
        <v>1120</v>
      </c>
      <c r="H224" s="914">
        <v>297</v>
      </c>
      <c r="I224" s="914">
        <f>8131+102</f>
        <v>8233</v>
      </c>
      <c r="J224" s="914"/>
      <c r="K224" s="914"/>
      <c r="L224" s="914"/>
      <c r="M224" s="914"/>
      <c r="N224" s="914"/>
      <c r="O224" s="914"/>
      <c r="P224" s="914"/>
      <c r="Q224" s="914"/>
      <c r="R224" s="888"/>
      <c r="S224" s="913"/>
    </row>
    <row r="225" spans="1:19" ht="20.25">
      <c r="A225" s="888"/>
      <c r="B225" s="242"/>
      <c r="C225" s="897"/>
      <c r="D225" s="905" t="s">
        <v>1072</v>
      </c>
      <c r="E225" s="909">
        <f>E223</f>
        <v>198</v>
      </c>
      <c r="F225" s="909">
        <f t="shared" si="77"/>
        <v>9966</v>
      </c>
      <c r="G225" s="913">
        <f>G223-1400</f>
        <v>1210</v>
      </c>
      <c r="H225" s="913">
        <f>H223-350</f>
        <v>466</v>
      </c>
      <c r="I225" s="913">
        <f>I223+1400+350+150</f>
        <v>8290</v>
      </c>
      <c r="J225" s="913"/>
      <c r="K225" s="913">
        <f aca="true" t="shared" si="144" ref="K225:S225">K223</f>
        <v>0</v>
      </c>
      <c r="L225" s="913">
        <f t="shared" si="144"/>
        <v>0</v>
      </c>
      <c r="M225" s="913">
        <f t="shared" si="144"/>
        <v>0</v>
      </c>
      <c r="N225" s="913">
        <f t="shared" si="144"/>
        <v>0</v>
      </c>
      <c r="O225" s="913">
        <f t="shared" si="144"/>
        <v>0</v>
      </c>
      <c r="P225" s="913">
        <f t="shared" si="144"/>
        <v>0</v>
      </c>
      <c r="Q225" s="913">
        <f t="shared" si="144"/>
        <v>0</v>
      </c>
      <c r="R225" s="913">
        <f t="shared" si="144"/>
        <v>0</v>
      </c>
      <c r="S225" s="913">
        <f t="shared" si="144"/>
        <v>0</v>
      </c>
    </row>
    <row r="226" spans="1:19" ht="20.25" hidden="1">
      <c r="A226" s="888"/>
      <c r="B226" s="242"/>
      <c r="C226" s="897"/>
      <c r="D226" s="905" t="s">
        <v>1073</v>
      </c>
      <c r="E226" s="913">
        <f aca="true" t="shared" si="145" ref="E226:F226">E225-E224</f>
        <v>-10</v>
      </c>
      <c r="F226" s="913">
        <f t="shared" si="145"/>
        <v>316</v>
      </c>
      <c r="G226" s="913">
        <f>G225-G224</f>
        <v>90</v>
      </c>
      <c r="H226" s="913">
        <f aca="true" t="shared" si="146" ref="H226:S226">H225-H224</f>
        <v>169</v>
      </c>
      <c r="I226" s="913">
        <f t="shared" si="146"/>
        <v>57</v>
      </c>
      <c r="J226" s="913">
        <f t="shared" si="146"/>
        <v>0</v>
      </c>
      <c r="K226" s="913">
        <f t="shared" si="146"/>
        <v>0</v>
      </c>
      <c r="L226" s="913">
        <f t="shared" si="146"/>
        <v>0</v>
      </c>
      <c r="M226" s="913">
        <f t="shared" si="146"/>
        <v>0</v>
      </c>
      <c r="N226" s="913">
        <f t="shared" si="146"/>
        <v>0</v>
      </c>
      <c r="O226" s="913">
        <f t="shared" si="146"/>
        <v>0</v>
      </c>
      <c r="P226" s="913">
        <f t="shared" si="146"/>
        <v>0</v>
      </c>
      <c r="Q226" s="913">
        <f t="shared" si="146"/>
        <v>0</v>
      </c>
      <c r="R226" s="913">
        <f t="shared" si="146"/>
        <v>0</v>
      </c>
      <c r="S226" s="913">
        <f t="shared" si="146"/>
        <v>0</v>
      </c>
    </row>
    <row r="227" spans="1:19" ht="20.25">
      <c r="A227" s="888" t="s">
        <v>122</v>
      </c>
      <c r="B227" s="242" t="s">
        <v>654</v>
      </c>
      <c r="C227" s="897" t="s">
        <v>655</v>
      </c>
      <c r="D227" s="905" t="s">
        <v>4</v>
      </c>
      <c r="E227" s="909">
        <v>2000</v>
      </c>
      <c r="F227" s="909">
        <f t="shared" si="77"/>
        <v>375952</v>
      </c>
      <c r="G227" s="913"/>
      <c r="H227" s="913"/>
      <c r="I227" s="913"/>
      <c r="J227" s="913">
        <v>191978</v>
      </c>
      <c r="K227" s="913"/>
      <c r="L227" s="913"/>
      <c r="M227" s="913"/>
      <c r="N227" s="913"/>
      <c r="O227" s="913">
        <v>181974</v>
      </c>
      <c r="P227" s="913"/>
      <c r="Q227" s="913">
        <v>2000</v>
      </c>
      <c r="R227" s="888"/>
      <c r="S227" s="913"/>
    </row>
    <row r="228" spans="1:19" ht="20.25">
      <c r="A228" s="888"/>
      <c r="B228" s="242"/>
      <c r="C228" s="897"/>
      <c r="D228" s="905" t="s">
        <v>861</v>
      </c>
      <c r="E228" s="909">
        <v>16190</v>
      </c>
      <c r="F228" s="909">
        <f t="shared" si="77"/>
        <v>439635</v>
      </c>
      <c r="G228" s="913"/>
      <c r="H228" s="913"/>
      <c r="I228" s="913"/>
      <c r="J228" s="913">
        <v>221444</v>
      </c>
      <c r="K228" s="913"/>
      <c r="L228" s="913"/>
      <c r="M228" s="913"/>
      <c r="N228" s="913"/>
      <c r="O228" s="913">
        <v>218191</v>
      </c>
      <c r="P228" s="913"/>
      <c r="Q228" s="913">
        <v>0</v>
      </c>
      <c r="R228" s="888"/>
      <c r="S228" s="913"/>
    </row>
    <row r="229" spans="1:19" ht="20.25" hidden="1">
      <c r="A229" s="888"/>
      <c r="B229" s="242"/>
      <c r="C229" s="897"/>
      <c r="D229" s="905" t="s">
        <v>1069</v>
      </c>
      <c r="E229" s="909">
        <v>16190</v>
      </c>
      <c r="F229" s="909">
        <f t="shared" si="77"/>
        <v>414801</v>
      </c>
      <c r="G229" s="913"/>
      <c r="H229" s="913"/>
      <c r="I229" s="913"/>
      <c r="J229" s="913">
        <v>217591</v>
      </c>
      <c r="K229" s="913"/>
      <c r="L229" s="913"/>
      <c r="M229" s="913"/>
      <c r="N229" s="913"/>
      <c r="O229" s="913">
        <v>197210</v>
      </c>
      <c r="P229" s="913"/>
      <c r="Q229" s="913"/>
      <c r="R229" s="888"/>
      <c r="S229" s="913"/>
    </row>
    <row r="230" spans="1:19" ht="20.25">
      <c r="A230" s="888"/>
      <c r="B230" s="242"/>
      <c r="C230" s="897"/>
      <c r="D230" s="905" t="s">
        <v>1072</v>
      </c>
      <c r="E230" s="909">
        <f>E229</f>
        <v>16190</v>
      </c>
      <c r="F230" s="909">
        <f t="shared" si="77"/>
        <v>431711</v>
      </c>
      <c r="G230" s="913">
        <f>G228</f>
        <v>0</v>
      </c>
      <c r="H230" s="913">
        <f aca="true" t="shared" si="147" ref="H230:I230">H228</f>
        <v>0</v>
      </c>
      <c r="I230" s="913">
        <f t="shared" si="147"/>
        <v>0</v>
      </c>
      <c r="J230" s="913">
        <f>J228+460-2900+330</f>
        <v>219334</v>
      </c>
      <c r="K230" s="913">
        <f>K228</f>
        <v>0</v>
      </c>
      <c r="L230" s="913">
        <f aca="true" t="shared" si="148" ref="L230:S230">L228</f>
        <v>0</v>
      </c>
      <c r="M230" s="913">
        <f t="shared" si="148"/>
        <v>0</v>
      </c>
      <c r="N230" s="913">
        <f t="shared" si="148"/>
        <v>0</v>
      </c>
      <c r="O230" s="913">
        <f>O228-5814</f>
        <v>212377</v>
      </c>
      <c r="P230" s="913">
        <f t="shared" si="148"/>
        <v>0</v>
      </c>
      <c r="Q230" s="913">
        <f t="shared" si="148"/>
        <v>0</v>
      </c>
      <c r="R230" s="913">
        <f t="shared" si="148"/>
        <v>0</v>
      </c>
      <c r="S230" s="913">
        <f t="shared" si="148"/>
        <v>0</v>
      </c>
    </row>
    <row r="231" spans="1:19" ht="20.25" hidden="1">
      <c r="A231" s="888"/>
      <c r="B231" s="242"/>
      <c r="C231" s="897"/>
      <c r="D231" s="905" t="s">
        <v>1073</v>
      </c>
      <c r="E231" s="913">
        <f aca="true" t="shared" si="149" ref="E231:F231">E230-E229</f>
        <v>0</v>
      </c>
      <c r="F231" s="913">
        <f t="shared" si="149"/>
        <v>16910</v>
      </c>
      <c r="G231" s="913">
        <f>G230-G229</f>
        <v>0</v>
      </c>
      <c r="H231" s="913">
        <f aca="true" t="shared" si="150" ref="H231:S231">H230-H229</f>
        <v>0</v>
      </c>
      <c r="I231" s="913">
        <f t="shared" si="150"/>
        <v>0</v>
      </c>
      <c r="J231" s="913">
        <f t="shared" si="150"/>
        <v>1743</v>
      </c>
      <c r="K231" s="913">
        <f t="shared" si="150"/>
        <v>0</v>
      </c>
      <c r="L231" s="913">
        <f t="shared" si="150"/>
        <v>0</v>
      </c>
      <c r="M231" s="913">
        <f t="shared" si="150"/>
        <v>0</v>
      </c>
      <c r="N231" s="913">
        <f t="shared" si="150"/>
        <v>0</v>
      </c>
      <c r="O231" s="913">
        <f t="shared" si="150"/>
        <v>15167</v>
      </c>
      <c r="P231" s="913">
        <f t="shared" si="150"/>
        <v>0</v>
      </c>
      <c r="Q231" s="913">
        <f t="shared" si="150"/>
        <v>0</v>
      </c>
      <c r="R231" s="913">
        <f t="shared" si="150"/>
        <v>0</v>
      </c>
      <c r="S231" s="913">
        <f t="shared" si="150"/>
        <v>0</v>
      </c>
    </row>
    <row r="232" spans="1:19" ht="40.5">
      <c r="A232" s="888" t="s">
        <v>121</v>
      </c>
      <c r="B232" s="242" t="s">
        <v>656</v>
      </c>
      <c r="C232" s="897" t="s">
        <v>657</v>
      </c>
      <c r="D232" s="905" t="s">
        <v>4</v>
      </c>
      <c r="E232" s="909"/>
      <c r="F232" s="909">
        <f t="shared" si="77"/>
        <v>2400</v>
      </c>
      <c r="G232" s="914"/>
      <c r="H232" s="914"/>
      <c r="I232" s="914"/>
      <c r="J232" s="914">
        <v>2400</v>
      </c>
      <c r="K232" s="914"/>
      <c r="L232" s="914"/>
      <c r="M232" s="914"/>
      <c r="N232" s="914"/>
      <c r="O232" s="914"/>
      <c r="P232" s="914"/>
      <c r="Q232" s="914"/>
      <c r="R232" s="888"/>
      <c r="S232" s="913"/>
    </row>
    <row r="233" spans="1:19" ht="20.25">
      <c r="A233" s="888"/>
      <c r="B233" s="242"/>
      <c r="C233" s="897"/>
      <c r="D233" s="905" t="s">
        <v>861</v>
      </c>
      <c r="E233" s="909"/>
      <c r="F233" s="909">
        <f aca="true" t="shared" si="151" ref="F233:F343">G233+H233+I233+J233+K233+L233+M233+N233+O233+P233+Q233+R233+S233</f>
        <v>2400</v>
      </c>
      <c r="G233" s="914"/>
      <c r="H233" s="914"/>
      <c r="I233" s="914">
        <v>2400</v>
      </c>
      <c r="J233" s="914">
        <v>0</v>
      </c>
      <c r="K233" s="914"/>
      <c r="L233" s="914"/>
      <c r="M233" s="914"/>
      <c r="N233" s="914"/>
      <c r="O233" s="914"/>
      <c r="P233" s="914"/>
      <c r="Q233" s="914"/>
      <c r="R233" s="888"/>
      <c r="S233" s="913"/>
    </row>
    <row r="234" spans="1:19" ht="20.25" hidden="1">
      <c r="A234" s="888"/>
      <c r="B234" s="242"/>
      <c r="C234" s="897"/>
      <c r="D234" s="905" t="s">
        <v>1069</v>
      </c>
      <c r="E234" s="909"/>
      <c r="F234" s="909">
        <f t="shared" si="151"/>
        <v>2365</v>
      </c>
      <c r="G234" s="914"/>
      <c r="H234" s="914"/>
      <c r="I234" s="914">
        <v>2365</v>
      </c>
      <c r="J234" s="914"/>
      <c r="K234" s="914"/>
      <c r="L234" s="914"/>
      <c r="M234" s="914"/>
      <c r="N234" s="914"/>
      <c r="O234" s="914"/>
      <c r="P234" s="914"/>
      <c r="Q234" s="914"/>
      <c r="R234" s="888"/>
      <c r="S234" s="913"/>
    </row>
    <row r="235" spans="1:19" ht="20.25">
      <c r="A235" s="888"/>
      <c r="B235" s="242"/>
      <c r="C235" s="897"/>
      <c r="D235" s="905" t="s">
        <v>1072</v>
      </c>
      <c r="E235" s="909">
        <f>E233</f>
        <v>0</v>
      </c>
      <c r="F235" s="909">
        <f t="shared" si="151"/>
        <v>2400</v>
      </c>
      <c r="G235" s="913">
        <f>G233</f>
        <v>0</v>
      </c>
      <c r="H235" s="913">
        <f aca="true" t="shared" si="152" ref="H235:R235">H233</f>
        <v>0</v>
      </c>
      <c r="I235" s="913">
        <f t="shared" si="152"/>
        <v>2400</v>
      </c>
      <c r="J235" s="913">
        <f t="shared" si="152"/>
        <v>0</v>
      </c>
      <c r="K235" s="913">
        <f t="shared" si="152"/>
        <v>0</v>
      </c>
      <c r="L235" s="913">
        <f t="shared" si="152"/>
        <v>0</v>
      </c>
      <c r="M235" s="913">
        <f t="shared" si="152"/>
        <v>0</v>
      </c>
      <c r="N235" s="913">
        <f t="shared" si="152"/>
        <v>0</v>
      </c>
      <c r="O235" s="913">
        <f t="shared" si="152"/>
        <v>0</v>
      </c>
      <c r="P235" s="913">
        <f t="shared" si="152"/>
        <v>0</v>
      </c>
      <c r="Q235" s="913">
        <f t="shared" si="152"/>
        <v>0</v>
      </c>
      <c r="R235" s="913">
        <f t="shared" si="152"/>
        <v>0</v>
      </c>
      <c r="S235" s="913">
        <f>S233</f>
        <v>0</v>
      </c>
    </row>
    <row r="236" spans="1:19" ht="20.25" hidden="1">
      <c r="A236" s="888"/>
      <c r="B236" s="242"/>
      <c r="C236" s="897"/>
      <c r="D236" s="905" t="s">
        <v>1073</v>
      </c>
      <c r="E236" s="913">
        <f aca="true" t="shared" si="153" ref="E236:F236">E235-E234</f>
        <v>0</v>
      </c>
      <c r="F236" s="913">
        <f t="shared" si="153"/>
        <v>35</v>
      </c>
      <c r="G236" s="913">
        <f>G235-G234</f>
        <v>0</v>
      </c>
      <c r="H236" s="913">
        <f aca="true" t="shared" si="154" ref="H236:S236">H235-H234</f>
        <v>0</v>
      </c>
      <c r="I236" s="913">
        <f t="shared" si="154"/>
        <v>35</v>
      </c>
      <c r="J236" s="913">
        <f t="shared" si="154"/>
        <v>0</v>
      </c>
      <c r="K236" s="913">
        <f t="shared" si="154"/>
        <v>0</v>
      </c>
      <c r="L236" s="913">
        <f t="shared" si="154"/>
        <v>0</v>
      </c>
      <c r="M236" s="913">
        <f t="shared" si="154"/>
        <v>0</v>
      </c>
      <c r="N236" s="913">
        <f t="shared" si="154"/>
        <v>0</v>
      </c>
      <c r="O236" s="913">
        <f t="shared" si="154"/>
        <v>0</v>
      </c>
      <c r="P236" s="913">
        <f t="shared" si="154"/>
        <v>0</v>
      </c>
      <c r="Q236" s="913">
        <f t="shared" si="154"/>
        <v>0</v>
      </c>
      <c r="R236" s="913">
        <f t="shared" si="154"/>
        <v>0</v>
      </c>
      <c r="S236" s="913">
        <f t="shared" si="154"/>
        <v>0</v>
      </c>
    </row>
    <row r="237" spans="1:19" ht="36.75" customHeight="1">
      <c r="A237" s="888" t="s">
        <v>122</v>
      </c>
      <c r="B237" s="242" t="s">
        <v>658</v>
      </c>
      <c r="C237" s="897" t="s">
        <v>659</v>
      </c>
      <c r="D237" s="905" t="s">
        <v>4</v>
      </c>
      <c r="E237" s="909">
        <v>210</v>
      </c>
      <c r="F237" s="909">
        <f t="shared" si="151"/>
        <v>15460</v>
      </c>
      <c r="G237" s="914">
        <v>3250</v>
      </c>
      <c r="H237" s="914">
        <v>1665</v>
      </c>
      <c r="I237" s="914">
        <v>6145</v>
      </c>
      <c r="J237" s="914">
        <v>3400</v>
      </c>
      <c r="K237" s="914">
        <v>1000</v>
      </c>
      <c r="L237" s="914"/>
      <c r="M237" s="914"/>
      <c r="N237" s="914"/>
      <c r="O237" s="914"/>
      <c r="P237" s="914"/>
      <c r="Q237" s="914"/>
      <c r="R237" s="888"/>
      <c r="S237" s="913"/>
    </row>
    <row r="238" spans="1:19" ht="20.25" hidden="1">
      <c r="A238" s="888"/>
      <c r="B238" s="242"/>
      <c r="C238" s="897"/>
      <c r="D238" s="905" t="s">
        <v>859</v>
      </c>
      <c r="E238" s="909">
        <v>210</v>
      </c>
      <c r="F238" s="909">
        <f t="shared" si="151"/>
        <v>18315</v>
      </c>
      <c r="G238" s="914">
        <v>6850</v>
      </c>
      <c r="H238" s="914">
        <v>2540</v>
      </c>
      <c r="I238" s="914">
        <v>5425</v>
      </c>
      <c r="J238" s="914">
        <v>3400</v>
      </c>
      <c r="K238" s="914">
        <v>0</v>
      </c>
      <c r="L238" s="914"/>
      <c r="M238" s="914"/>
      <c r="N238" s="914"/>
      <c r="O238" s="914">
        <v>100</v>
      </c>
      <c r="P238" s="914"/>
      <c r="Q238" s="914"/>
      <c r="R238" s="888"/>
      <c r="S238" s="913"/>
    </row>
    <row r="239" spans="1:19" ht="20.25">
      <c r="A239" s="888"/>
      <c r="B239" s="242"/>
      <c r="C239" s="897"/>
      <c r="D239" s="905" t="s">
        <v>861</v>
      </c>
      <c r="E239" s="909">
        <f>E238+110</f>
        <v>320</v>
      </c>
      <c r="F239" s="909">
        <f t="shared" si="151"/>
        <v>18425</v>
      </c>
      <c r="G239" s="914">
        <v>6850</v>
      </c>
      <c r="H239" s="914">
        <v>2540</v>
      </c>
      <c r="I239" s="914">
        <f>I238+5</f>
        <v>5430</v>
      </c>
      <c r="J239" s="914">
        <v>3400</v>
      </c>
      <c r="K239" s="914">
        <v>105</v>
      </c>
      <c r="L239" s="914"/>
      <c r="M239" s="914"/>
      <c r="N239" s="914"/>
      <c r="O239" s="914">
        <v>100</v>
      </c>
      <c r="P239" s="914"/>
      <c r="Q239" s="914"/>
      <c r="R239" s="888"/>
      <c r="S239" s="913"/>
    </row>
    <row r="240" spans="1:19" ht="20.25" hidden="1">
      <c r="A240" s="888"/>
      <c r="B240" s="242"/>
      <c r="C240" s="897"/>
      <c r="D240" s="905" t="s">
        <v>1069</v>
      </c>
      <c r="E240" s="909">
        <v>545</v>
      </c>
      <c r="F240" s="909">
        <f t="shared" si="151"/>
        <v>13166</v>
      </c>
      <c r="G240" s="914">
        <v>6510</v>
      </c>
      <c r="H240" s="914">
        <v>2270</v>
      </c>
      <c r="I240" s="914">
        <f>1262+51</f>
        <v>1313</v>
      </c>
      <c r="J240" s="914">
        <v>2973</v>
      </c>
      <c r="K240" s="914">
        <v>0</v>
      </c>
      <c r="L240" s="914"/>
      <c r="M240" s="914"/>
      <c r="N240" s="914"/>
      <c r="O240" s="914">
        <v>100</v>
      </c>
      <c r="P240" s="914"/>
      <c r="Q240" s="914"/>
      <c r="R240" s="888"/>
      <c r="S240" s="913"/>
    </row>
    <row r="241" spans="1:19" ht="20.25">
      <c r="A241" s="888"/>
      <c r="B241" s="242"/>
      <c r="C241" s="897"/>
      <c r="D241" s="905" t="s">
        <v>1072</v>
      </c>
      <c r="E241" s="909">
        <f>E239+225</f>
        <v>545</v>
      </c>
      <c r="F241" s="909">
        <f t="shared" si="151"/>
        <v>17890</v>
      </c>
      <c r="G241" s="913">
        <f>G239</f>
        <v>6850</v>
      </c>
      <c r="H241" s="913">
        <f aca="true" t="shared" si="155" ref="H241">H239</f>
        <v>2540</v>
      </c>
      <c r="I241" s="913">
        <f>I239-100</f>
        <v>5330</v>
      </c>
      <c r="J241" s="913">
        <f>J239-115+115-330</f>
        <v>3070</v>
      </c>
      <c r="K241" s="913">
        <f>K239-105</f>
        <v>0</v>
      </c>
      <c r="L241" s="913">
        <f>L239</f>
        <v>0</v>
      </c>
      <c r="M241" s="913">
        <f aca="true" t="shared" si="156" ref="M241:N241">M239</f>
        <v>0</v>
      </c>
      <c r="N241" s="913">
        <f t="shared" si="156"/>
        <v>0</v>
      </c>
      <c r="O241" s="913">
        <f>O239</f>
        <v>100</v>
      </c>
      <c r="P241" s="913">
        <f aca="true" t="shared" si="157" ref="P241:S241">P239</f>
        <v>0</v>
      </c>
      <c r="Q241" s="913">
        <f t="shared" si="157"/>
        <v>0</v>
      </c>
      <c r="R241" s="913">
        <f t="shared" si="157"/>
        <v>0</v>
      </c>
      <c r="S241" s="913">
        <f t="shared" si="157"/>
        <v>0</v>
      </c>
    </row>
    <row r="242" spans="1:19" ht="20.25" hidden="1">
      <c r="A242" s="888"/>
      <c r="B242" s="242"/>
      <c r="C242" s="897"/>
      <c r="D242" s="905" t="s">
        <v>1073</v>
      </c>
      <c r="E242" s="913">
        <f aca="true" t="shared" si="158" ref="E242:F242">E241-E240</f>
        <v>0</v>
      </c>
      <c r="F242" s="913">
        <f t="shared" si="158"/>
        <v>4724</v>
      </c>
      <c r="G242" s="913">
        <f>G241-G240</f>
        <v>340</v>
      </c>
      <c r="H242" s="913">
        <f aca="true" t="shared" si="159" ref="H242:S242">H241-H240</f>
        <v>270</v>
      </c>
      <c r="I242" s="913">
        <f t="shared" si="159"/>
        <v>4017</v>
      </c>
      <c r="J242" s="913">
        <f t="shared" si="159"/>
        <v>97</v>
      </c>
      <c r="K242" s="913">
        <f t="shared" si="159"/>
        <v>0</v>
      </c>
      <c r="L242" s="913">
        <f t="shared" si="159"/>
        <v>0</v>
      </c>
      <c r="M242" s="913">
        <f t="shared" si="159"/>
        <v>0</v>
      </c>
      <c r="N242" s="913">
        <f t="shared" si="159"/>
        <v>0</v>
      </c>
      <c r="O242" s="913">
        <f t="shared" si="159"/>
        <v>0</v>
      </c>
      <c r="P242" s="913">
        <f t="shared" si="159"/>
        <v>0</v>
      </c>
      <c r="Q242" s="913">
        <f t="shared" si="159"/>
        <v>0</v>
      </c>
      <c r="R242" s="913">
        <f t="shared" si="159"/>
        <v>0</v>
      </c>
      <c r="S242" s="913">
        <f t="shared" si="159"/>
        <v>0</v>
      </c>
    </row>
    <row r="243" spans="1:19" ht="40.5">
      <c r="A243" s="888" t="s">
        <v>122</v>
      </c>
      <c r="B243" s="242" t="s">
        <v>660</v>
      </c>
      <c r="C243" s="897" t="s">
        <v>661</v>
      </c>
      <c r="D243" s="905" t="s">
        <v>4</v>
      </c>
      <c r="E243" s="909"/>
      <c r="F243" s="909">
        <f t="shared" si="151"/>
        <v>27000</v>
      </c>
      <c r="G243" s="914">
        <v>9000</v>
      </c>
      <c r="H243" s="914">
        <v>5000</v>
      </c>
      <c r="I243" s="914">
        <v>13000</v>
      </c>
      <c r="J243" s="914"/>
      <c r="K243" s="914"/>
      <c r="L243" s="914"/>
      <c r="M243" s="914"/>
      <c r="N243" s="914"/>
      <c r="O243" s="914"/>
      <c r="P243" s="914"/>
      <c r="Q243" s="914"/>
      <c r="R243" s="888"/>
      <c r="S243" s="913"/>
    </row>
    <row r="244" spans="1:19" ht="20.25">
      <c r="A244" s="888"/>
      <c r="B244" s="242"/>
      <c r="C244" s="897"/>
      <c r="D244" s="905" t="s">
        <v>861</v>
      </c>
      <c r="E244" s="909"/>
      <c r="F244" s="909">
        <f t="shared" si="151"/>
        <v>28000</v>
      </c>
      <c r="G244" s="914">
        <v>13000</v>
      </c>
      <c r="H244" s="914">
        <v>5000</v>
      </c>
      <c r="I244" s="914">
        <v>8900</v>
      </c>
      <c r="J244" s="914">
        <v>1100</v>
      </c>
      <c r="K244" s="914"/>
      <c r="L244" s="914"/>
      <c r="M244" s="914"/>
      <c r="N244" s="914"/>
      <c r="O244" s="914"/>
      <c r="P244" s="914"/>
      <c r="Q244" s="914"/>
      <c r="R244" s="888"/>
      <c r="S244" s="913"/>
    </row>
    <row r="245" spans="1:19" ht="20.25" hidden="1">
      <c r="A245" s="888"/>
      <c r="B245" s="242"/>
      <c r="C245" s="897"/>
      <c r="D245" s="905" t="s">
        <v>1069</v>
      </c>
      <c r="E245" s="909">
        <v>384</v>
      </c>
      <c r="F245" s="909">
        <f t="shared" si="151"/>
        <v>30544</v>
      </c>
      <c r="G245" s="914">
        <v>13656</v>
      </c>
      <c r="H245" s="914">
        <v>7930</v>
      </c>
      <c r="I245" s="914">
        <f>7538+150</f>
        <v>7688</v>
      </c>
      <c r="J245" s="914">
        <v>1270</v>
      </c>
      <c r="K245" s="914"/>
      <c r="L245" s="914"/>
      <c r="M245" s="914"/>
      <c r="N245" s="914"/>
      <c r="O245" s="914"/>
      <c r="P245" s="914"/>
      <c r="Q245" s="914"/>
      <c r="R245" s="888"/>
      <c r="S245" s="913"/>
    </row>
    <row r="246" spans="1:19" ht="20.25">
      <c r="A246" s="888"/>
      <c r="B246" s="242"/>
      <c r="C246" s="897"/>
      <c r="D246" s="905" t="s">
        <v>1072</v>
      </c>
      <c r="E246" s="909">
        <f>E244</f>
        <v>0</v>
      </c>
      <c r="F246" s="909">
        <f t="shared" si="151"/>
        <v>30594</v>
      </c>
      <c r="G246" s="913">
        <f>G244+705</f>
        <v>13705</v>
      </c>
      <c r="H246" s="913">
        <f>H244+2278+653</f>
        <v>7931</v>
      </c>
      <c r="I246" s="913">
        <f>I244-705-653+146</f>
        <v>7688</v>
      </c>
      <c r="J246" s="913">
        <f>J244+170</f>
        <v>1270</v>
      </c>
      <c r="K246" s="913">
        <f>K244</f>
        <v>0</v>
      </c>
      <c r="L246" s="913">
        <f aca="true" t="shared" si="160" ref="L246:S246">L244</f>
        <v>0</v>
      </c>
      <c r="M246" s="913">
        <f t="shared" si="160"/>
        <v>0</v>
      </c>
      <c r="N246" s="913">
        <f t="shared" si="160"/>
        <v>0</v>
      </c>
      <c r="O246" s="913">
        <f t="shared" si="160"/>
        <v>0</v>
      </c>
      <c r="P246" s="913">
        <f t="shared" si="160"/>
        <v>0</v>
      </c>
      <c r="Q246" s="913">
        <f t="shared" si="160"/>
        <v>0</v>
      </c>
      <c r="R246" s="913">
        <f t="shared" si="160"/>
        <v>0</v>
      </c>
      <c r="S246" s="913">
        <f t="shared" si="160"/>
        <v>0</v>
      </c>
    </row>
    <row r="247" spans="1:19" ht="20.25" hidden="1">
      <c r="A247" s="888"/>
      <c r="B247" s="242"/>
      <c r="C247" s="897"/>
      <c r="D247" s="905" t="s">
        <v>1073</v>
      </c>
      <c r="E247" s="913">
        <f aca="true" t="shared" si="161" ref="E247:F247">E246-E245</f>
        <v>-384</v>
      </c>
      <c r="F247" s="913">
        <f t="shared" si="161"/>
        <v>50</v>
      </c>
      <c r="G247" s="913">
        <f>G246-G245</f>
        <v>49</v>
      </c>
      <c r="H247" s="913">
        <f aca="true" t="shared" si="162" ref="H247:S247">H246-H245</f>
        <v>1</v>
      </c>
      <c r="I247" s="913">
        <f t="shared" si="162"/>
        <v>0</v>
      </c>
      <c r="J247" s="913">
        <f t="shared" si="162"/>
        <v>0</v>
      </c>
      <c r="K247" s="913">
        <f t="shared" si="162"/>
        <v>0</v>
      </c>
      <c r="L247" s="913">
        <f t="shared" si="162"/>
        <v>0</v>
      </c>
      <c r="M247" s="913">
        <f t="shared" si="162"/>
        <v>0</v>
      </c>
      <c r="N247" s="913">
        <f t="shared" si="162"/>
        <v>0</v>
      </c>
      <c r="O247" s="913">
        <f t="shared" si="162"/>
        <v>0</v>
      </c>
      <c r="P247" s="913">
        <f t="shared" si="162"/>
        <v>0</v>
      </c>
      <c r="Q247" s="913">
        <f t="shared" si="162"/>
        <v>0</v>
      </c>
      <c r="R247" s="913">
        <f t="shared" si="162"/>
        <v>0</v>
      </c>
      <c r="S247" s="913">
        <f t="shared" si="162"/>
        <v>0</v>
      </c>
    </row>
    <row r="248" spans="1:19" ht="40.5">
      <c r="A248" s="888" t="s">
        <v>122</v>
      </c>
      <c r="B248" s="242" t="s">
        <v>662</v>
      </c>
      <c r="C248" s="897" t="s">
        <v>663</v>
      </c>
      <c r="D248" s="905" t="s">
        <v>4</v>
      </c>
      <c r="E248" s="909"/>
      <c r="F248" s="909">
        <f t="shared" si="151"/>
        <v>4000</v>
      </c>
      <c r="G248" s="914"/>
      <c r="H248" s="914"/>
      <c r="I248" s="914">
        <v>4000</v>
      </c>
      <c r="J248" s="914"/>
      <c r="K248" s="914"/>
      <c r="L248" s="914"/>
      <c r="M248" s="914"/>
      <c r="N248" s="914"/>
      <c r="O248" s="923"/>
      <c r="P248" s="914"/>
      <c r="Q248" s="914"/>
      <c r="R248" s="888"/>
      <c r="S248" s="913"/>
    </row>
    <row r="249" spans="1:19" ht="20.25">
      <c r="A249" s="888"/>
      <c r="B249" s="242"/>
      <c r="C249" s="897"/>
      <c r="D249" s="905" t="s">
        <v>861</v>
      </c>
      <c r="E249" s="909"/>
      <c r="F249" s="909">
        <f t="shared" si="151"/>
        <v>4001</v>
      </c>
      <c r="G249" s="914">
        <v>100</v>
      </c>
      <c r="H249" s="914">
        <v>24</v>
      </c>
      <c r="I249" s="914">
        <v>3349</v>
      </c>
      <c r="J249" s="914"/>
      <c r="K249" s="914"/>
      <c r="L249" s="914"/>
      <c r="M249" s="914"/>
      <c r="N249" s="914">
        <v>528</v>
      </c>
      <c r="O249" s="923"/>
      <c r="P249" s="914"/>
      <c r="Q249" s="914"/>
      <c r="R249" s="888"/>
      <c r="S249" s="913"/>
    </row>
    <row r="250" spans="1:19" ht="20.25" hidden="1">
      <c r="A250" s="888"/>
      <c r="B250" s="242"/>
      <c r="C250" s="897"/>
      <c r="D250" s="905" t="s">
        <v>1069</v>
      </c>
      <c r="E250" s="909"/>
      <c r="F250" s="909">
        <f t="shared" si="151"/>
        <v>3427</v>
      </c>
      <c r="G250" s="914">
        <v>435</v>
      </c>
      <c r="H250" s="914">
        <v>62</v>
      </c>
      <c r="I250" s="914">
        <f>825+1577</f>
        <v>2402</v>
      </c>
      <c r="J250" s="914"/>
      <c r="K250" s="914"/>
      <c r="L250" s="914"/>
      <c r="M250" s="914"/>
      <c r="N250" s="914">
        <v>528</v>
      </c>
      <c r="O250" s="923"/>
      <c r="P250" s="914"/>
      <c r="Q250" s="914"/>
      <c r="R250" s="888"/>
      <c r="S250" s="913"/>
    </row>
    <row r="251" spans="1:19" ht="20.25">
      <c r="A251" s="888"/>
      <c r="B251" s="242"/>
      <c r="C251" s="897"/>
      <c r="D251" s="905" t="s">
        <v>1072</v>
      </c>
      <c r="E251" s="909">
        <f>E249</f>
        <v>0</v>
      </c>
      <c r="F251" s="909">
        <f t="shared" si="151"/>
        <v>3461</v>
      </c>
      <c r="G251" s="913">
        <f>G249+335</f>
        <v>435</v>
      </c>
      <c r="H251" s="913">
        <f>H249+38</f>
        <v>62</v>
      </c>
      <c r="I251" s="913">
        <f>I249-640-335-38+100</f>
        <v>2436</v>
      </c>
      <c r="J251" s="913">
        <f>J249</f>
        <v>0</v>
      </c>
      <c r="K251" s="913">
        <f aca="true" t="shared" si="163" ref="K251:R251">K249</f>
        <v>0</v>
      </c>
      <c r="L251" s="913">
        <f t="shared" si="163"/>
        <v>0</v>
      </c>
      <c r="M251" s="913">
        <f t="shared" si="163"/>
        <v>0</v>
      </c>
      <c r="N251" s="913">
        <f t="shared" si="163"/>
        <v>528</v>
      </c>
      <c r="O251" s="913">
        <f t="shared" si="163"/>
        <v>0</v>
      </c>
      <c r="P251" s="913">
        <f t="shared" si="163"/>
        <v>0</v>
      </c>
      <c r="Q251" s="913">
        <f t="shared" si="163"/>
        <v>0</v>
      </c>
      <c r="R251" s="913">
        <f t="shared" si="163"/>
        <v>0</v>
      </c>
      <c r="S251" s="913">
        <f>S249</f>
        <v>0</v>
      </c>
    </row>
    <row r="252" spans="1:19" ht="20.25" hidden="1">
      <c r="A252" s="888"/>
      <c r="B252" s="242"/>
      <c r="C252" s="897"/>
      <c r="D252" s="905" t="s">
        <v>1073</v>
      </c>
      <c r="E252" s="913">
        <f aca="true" t="shared" si="164" ref="E252:F252">E251-E250</f>
        <v>0</v>
      </c>
      <c r="F252" s="913">
        <f t="shared" si="164"/>
        <v>34</v>
      </c>
      <c r="G252" s="913">
        <f>G251-G250</f>
        <v>0</v>
      </c>
      <c r="H252" s="913">
        <f aca="true" t="shared" si="165" ref="H252:S252">H251-H250</f>
        <v>0</v>
      </c>
      <c r="I252" s="913">
        <f t="shared" si="165"/>
        <v>34</v>
      </c>
      <c r="J252" s="913">
        <f t="shared" si="165"/>
        <v>0</v>
      </c>
      <c r="K252" s="913">
        <f t="shared" si="165"/>
        <v>0</v>
      </c>
      <c r="L252" s="913">
        <f t="shared" si="165"/>
        <v>0</v>
      </c>
      <c r="M252" s="913">
        <f t="shared" si="165"/>
        <v>0</v>
      </c>
      <c r="N252" s="913">
        <f t="shared" si="165"/>
        <v>0</v>
      </c>
      <c r="O252" s="913">
        <f t="shared" si="165"/>
        <v>0</v>
      </c>
      <c r="P252" s="913">
        <f t="shared" si="165"/>
        <v>0</v>
      </c>
      <c r="Q252" s="913">
        <f t="shared" si="165"/>
        <v>0</v>
      </c>
      <c r="R252" s="913">
        <f t="shared" si="165"/>
        <v>0</v>
      </c>
      <c r="S252" s="913">
        <f t="shared" si="165"/>
        <v>0</v>
      </c>
    </row>
    <row r="253" spans="1:19" ht="40.5">
      <c r="A253" s="888" t="s">
        <v>122</v>
      </c>
      <c r="B253" s="242" t="s">
        <v>664</v>
      </c>
      <c r="C253" s="897" t="s">
        <v>665</v>
      </c>
      <c r="D253" s="905" t="s">
        <v>4</v>
      </c>
      <c r="E253" s="909"/>
      <c r="F253" s="909">
        <f t="shared" si="151"/>
        <v>5900</v>
      </c>
      <c r="G253" s="914"/>
      <c r="H253" s="914"/>
      <c r="I253" s="914"/>
      <c r="J253" s="914"/>
      <c r="K253" s="914">
        <v>5900</v>
      </c>
      <c r="L253" s="914"/>
      <c r="M253" s="914"/>
      <c r="N253" s="914"/>
      <c r="O253" s="914"/>
      <c r="P253" s="914"/>
      <c r="Q253" s="914"/>
      <c r="R253" s="888"/>
      <c r="S253" s="913"/>
    </row>
    <row r="254" spans="1:19" ht="20.25">
      <c r="A254" s="888"/>
      <c r="B254" s="242"/>
      <c r="C254" s="897"/>
      <c r="D254" s="905" t="s">
        <v>861</v>
      </c>
      <c r="E254" s="909"/>
      <c r="F254" s="909">
        <f t="shared" si="151"/>
        <v>5900</v>
      </c>
      <c r="G254" s="914"/>
      <c r="H254" s="914"/>
      <c r="I254" s="914"/>
      <c r="J254" s="914"/>
      <c r="K254" s="914">
        <v>5900</v>
      </c>
      <c r="L254" s="914"/>
      <c r="M254" s="914"/>
      <c r="N254" s="914"/>
      <c r="O254" s="914"/>
      <c r="P254" s="914"/>
      <c r="Q254" s="914"/>
      <c r="R254" s="888"/>
      <c r="S254" s="913"/>
    </row>
    <row r="255" spans="1:19" ht="20.25" hidden="1">
      <c r="A255" s="888"/>
      <c r="B255" s="242"/>
      <c r="C255" s="897"/>
      <c r="D255" s="905" t="s">
        <v>1069</v>
      </c>
      <c r="E255" s="909"/>
      <c r="F255" s="909">
        <f t="shared" si="151"/>
        <v>6210</v>
      </c>
      <c r="G255" s="914"/>
      <c r="H255" s="914"/>
      <c r="I255" s="914"/>
      <c r="J255" s="914"/>
      <c r="K255" s="914">
        <v>6210</v>
      </c>
      <c r="L255" s="914"/>
      <c r="M255" s="914"/>
      <c r="N255" s="914"/>
      <c r="O255" s="914"/>
      <c r="P255" s="914"/>
      <c r="Q255" s="914"/>
      <c r="R255" s="888"/>
      <c r="S255" s="913"/>
    </row>
    <row r="256" spans="1:19" ht="20.25">
      <c r="A256" s="888"/>
      <c r="B256" s="242"/>
      <c r="C256" s="897"/>
      <c r="D256" s="905" t="s">
        <v>1072</v>
      </c>
      <c r="E256" s="909">
        <f>E254</f>
        <v>0</v>
      </c>
      <c r="F256" s="909">
        <f t="shared" si="151"/>
        <v>6211</v>
      </c>
      <c r="G256" s="913">
        <f>G254</f>
        <v>0</v>
      </c>
      <c r="H256" s="913">
        <f aca="true" t="shared" si="166" ref="H256:J256">H254</f>
        <v>0</v>
      </c>
      <c r="I256" s="913">
        <f t="shared" si="166"/>
        <v>0</v>
      </c>
      <c r="J256" s="913">
        <f t="shared" si="166"/>
        <v>0</v>
      </c>
      <c r="K256" s="913">
        <f>K254+117+194</f>
        <v>6211</v>
      </c>
      <c r="L256" s="913">
        <f>L254</f>
        <v>0</v>
      </c>
      <c r="M256" s="913">
        <f aca="true" t="shared" si="167" ref="M256:S256">M254</f>
        <v>0</v>
      </c>
      <c r="N256" s="913">
        <f t="shared" si="167"/>
        <v>0</v>
      </c>
      <c r="O256" s="913">
        <f t="shared" si="167"/>
        <v>0</v>
      </c>
      <c r="P256" s="913">
        <f t="shared" si="167"/>
        <v>0</v>
      </c>
      <c r="Q256" s="913">
        <f t="shared" si="167"/>
        <v>0</v>
      </c>
      <c r="R256" s="913">
        <f t="shared" si="167"/>
        <v>0</v>
      </c>
      <c r="S256" s="913">
        <f t="shared" si="167"/>
        <v>0</v>
      </c>
    </row>
    <row r="257" spans="1:19" ht="20.25" hidden="1">
      <c r="A257" s="888"/>
      <c r="B257" s="242"/>
      <c r="C257" s="897"/>
      <c r="D257" s="905" t="s">
        <v>1073</v>
      </c>
      <c r="E257" s="913">
        <f aca="true" t="shared" si="168" ref="E257:F257">E256-E255</f>
        <v>0</v>
      </c>
      <c r="F257" s="913">
        <f t="shared" si="168"/>
        <v>1</v>
      </c>
      <c r="G257" s="913">
        <f>G256-G255</f>
        <v>0</v>
      </c>
      <c r="H257" s="913">
        <f aca="true" t="shared" si="169" ref="H257:S257">H256-H255</f>
        <v>0</v>
      </c>
      <c r="I257" s="913">
        <f t="shared" si="169"/>
        <v>0</v>
      </c>
      <c r="J257" s="913">
        <f t="shared" si="169"/>
        <v>0</v>
      </c>
      <c r="K257" s="913">
        <f t="shared" si="169"/>
        <v>1</v>
      </c>
      <c r="L257" s="913">
        <f t="shared" si="169"/>
        <v>0</v>
      </c>
      <c r="M257" s="913">
        <f t="shared" si="169"/>
        <v>0</v>
      </c>
      <c r="N257" s="913">
        <f t="shared" si="169"/>
        <v>0</v>
      </c>
      <c r="O257" s="913">
        <f t="shared" si="169"/>
        <v>0</v>
      </c>
      <c r="P257" s="913">
        <f t="shared" si="169"/>
        <v>0</v>
      </c>
      <c r="Q257" s="913">
        <f t="shared" si="169"/>
        <v>0</v>
      </c>
      <c r="R257" s="913">
        <f t="shared" si="169"/>
        <v>0</v>
      </c>
      <c r="S257" s="913">
        <f t="shared" si="169"/>
        <v>0</v>
      </c>
    </row>
    <row r="258" spans="1:19" ht="40.5">
      <c r="A258" s="888" t="s">
        <v>122</v>
      </c>
      <c r="B258" s="242" t="s">
        <v>664</v>
      </c>
      <c r="C258" s="897" t="s">
        <v>665</v>
      </c>
      <c r="D258" s="905" t="s">
        <v>4</v>
      </c>
      <c r="E258" s="909"/>
      <c r="F258" s="909">
        <f t="shared" si="151"/>
        <v>0</v>
      </c>
      <c r="G258" s="914"/>
      <c r="H258" s="914"/>
      <c r="I258" s="914"/>
      <c r="J258" s="914"/>
      <c r="K258" s="914"/>
      <c r="L258" s="914"/>
      <c r="M258" s="914"/>
      <c r="N258" s="914"/>
      <c r="O258" s="914"/>
      <c r="P258" s="914"/>
      <c r="Q258" s="914"/>
      <c r="R258" s="888"/>
      <c r="S258" s="913"/>
    </row>
    <row r="259" spans="1:19" ht="20.25">
      <c r="A259" s="888"/>
      <c r="B259" s="242"/>
      <c r="C259" s="897"/>
      <c r="D259" s="905" t="s">
        <v>861</v>
      </c>
      <c r="E259" s="909"/>
      <c r="F259" s="909">
        <f t="shared" si="151"/>
        <v>0</v>
      </c>
      <c r="G259" s="914"/>
      <c r="H259" s="914"/>
      <c r="I259" s="914"/>
      <c r="J259" s="914"/>
      <c r="K259" s="914"/>
      <c r="L259" s="914"/>
      <c r="M259" s="914"/>
      <c r="N259" s="914"/>
      <c r="O259" s="914"/>
      <c r="P259" s="914"/>
      <c r="Q259" s="914"/>
      <c r="R259" s="888"/>
      <c r="S259" s="913"/>
    </row>
    <row r="260" spans="1:19" ht="20.25" hidden="1">
      <c r="A260" s="888"/>
      <c r="B260" s="242"/>
      <c r="C260" s="897"/>
      <c r="D260" s="905" t="s">
        <v>1069</v>
      </c>
      <c r="E260" s="909"/>
      <c r="F260" s="909"/>
      <c r="G260" s="914"/>
      <c r="H260" s="914"/>
      <c r="I260" s="914"/>
      <c r="J260" s="914"/>
      <c r="K260" s="914"/>
      <c r="L260" s="914"/>
      <c r="M260" s="914"/>
      <c r="N260" s="914"/>
      <c r="O260" s="914"/>
      <c r="P260" s="914"/>
      <c r="Q260" s="914"/>
      <c r="R260" s="888"/>
      <c r="S260" s="913"/>
    </row>
    <row r="261" spans="1:19" ht="20.25">
      <c r="A261" s="888"/>
      <c r="B261" s="242"/>
      <c r="C261" s="897"/>
      <c r="D261" s="905" t="s">
        <v>1072</v>
      </c>
      <c r="E261" s="909">
        <f>E259</f>
        <v>0</v>
      </c>
      <c r="F261" s="909">
        <f aca="true" t="shared" si="170" ref="F261">G261+H261+I261+J261+K261+L261+M261+N261+O261+P261+Q261+R261+S261</f>
        <v>0</v>
      </c>
      <c r="G261" s="913">
        <f>G259</f>
        <v>0</v>
      </c>
      <c r="H261" s="913">
        <f aca="true" t="shared" si="171" ref="H261:S261">H259</f>
        <v>0</v>
      </c>
      <c r="I261" s="913">
        <f t="shared" si="171"/>
        <v>0</v>
      </c>
      <c r="J261" s="913">
        <f t="shared" si="171"/>
        <v>0</v>
      </c>
      <c r="K261" s="913">
        <v>0</v>
      </c>
      <c r="L261" s="913">
        <f t="shared" si="171"/>
        <v>0</v>
      </c>
      <c r="M261" s="913">
        <f t="shared" si="171"/>
        <v>0</v>
      </c>
      <c r="N261" s="913">
        <f t="shared" si="171"/>
        <v>0</v>
      </c>
      <c r="O261" s="913">
        <f t="shared" si="171"/>
        <v>0</v>
      </c>
      <c r="P261" s="913">
        <f t="shared" si="171"/>
        <v>0</v>
      </c>
      <c r="Q261" s="913">
        <f t="shared" si="171"/>
        <v>0</v>
      </c>
      <c r="R261" s="913">
        <f t="shared" si="171"/>
        <v>0</v>
      </c>
      <c r="S261" s="913">
        <f t="shared" si="171"/>
        <v>0</v>
      </c>
    </row>
    <row r="262" spans="1:19" ht="20.25" hidden="1">
      <c r="A262" s="888"/>
      <c r="B262" s="242"/>
      <c r="C262" s="897"/>
      <c r="D262" s="905" t="s">
        <v>1073</v>
      </c>
      <c r="E262" s="913">
        <f aca="true" t="shared" si="172" ref="E262:F262">E261-E260</f>
        <v>0</v>
      </c>
      <c r="F262" s="913">
        <f t="shared" si="172"/>
        <v>0</v>
      </c>
      <c r="G262" s="913">
        <f>G261-G260</f>
        <v>0</v>
      </c>
      <c r="H262" s="913">
        <f aca="true" t="shared" si="173" ref="H262:S262">H261-H260</f>
        <v>0</v>
      </c>
      <c r="I262" s="913">
        <f t="shared" si="173"/>
        <v>0</v>
      </c>
      <c r="J262" s="913">
        <f t="shared" si="173"/>
        <v>0</v>
      </c>
      <c r="K262" s="913">
        <f t="shared" si="173"/>
        <v>0</v>
      </c>
      <c r="L262" s="913">
        <f t="shared" si="173"/>
        <v>0</v>
      </c>
      <c r="M262" s="913">
        <f t="shared" si="173"/>
        <v>0</v>
      </c>
      <c r="N262" s="913">
        <f t="shared" si="173"/>
        <v>0</v>
      </c>
      <c r="O262" s="913">
        <f t="shared" si="173"/>
        <v>0</v>
      </c>
      <c r="P262" s="913">
        <f t="shared" si="173"/>
        <v>0</v>
      </c>
      <c r="Q262" s="913">
        <f t="shared" si="173"/>
        <v>0</v>
      </c>
      <c r="R262" s="913">
        <f t="shared" si="173"/>
        <v>0</v>
      </c>
      <c r="S262" s="913">
        <f t="shared" si="173"/>
        <v>0</v>
      </c>
    </row>
    <row r="263" spans="1:19" ht="27.75" customHeight="1">
      <c r="A263" s="888" t="s">
        <v>122</v>
      </c>
      <c r="B263" s="242" t="s">
        <v>666</v>
      </c>
      <c r="C263" s="897" t="s">
        <v>667</v>
      </c>
      <c r="D263" s="905" t="s">
        <v>4</v>
      </c>
      <c r="E263" s="909"/>
      <c r="F263" s="909">
        <f t="shared" si="151"/>
        <v>0</v>
      </c>
      <c r="G263" s="914"/>
      <c r="H263" s="914"/>
      <c r="I263" s="914"/>
      <c r="J263" s="914"/>
      <c r="K263" s="914"/>
      <c r="L263" s="914"/>
      <c r="M263" s="914"/>
      <c r="N263" s="914"/>
      <c r="O263" s="914"/>
      <c r="P263" s="914"/>
      <c r="Q263" s="914"/>
      <c r="R263" s="888"/>
      <c r="S263" s="913"/>
    </row>
    <row r="264" spans="1:19" ht="20.25">
      <c r="A264" s="888"/>
      <c r="B264" s="242"/>
      <c r="C264" s="897"/>
      <c r="D264" s="905" t="s">
        <v>861</v>
      </c>
      <c r="E264" s="909"/>
      <c r="F264" s="909">
        <f t="shared" si="151"/>
        <v>0</v>
      </c>
      <c r="G264" s="914"/>
      <c r="H264" s="914"/>
      <c r="I264" s="914"/>
      <c r="J264" s="914">
        <v>0</v>
      </c>
      <c r="K264" s="914"/>
      <c r="L264" s="914"/>
      <c r="M264" s="914"/>
      <c r="N264" s="914"/>
      <c r="O264" s="914"/>
      <c r="P264" s="914"/>
      <c r="Q264" s="914"/>
      <c r="R264" s="888"/>
      <c r="S264" s="913"/>
    </row>
    <row r="265" spans="1:19" ht="20.25" hidden="1">
      <c r="A265" s="888"/>
      <c r="B265" s="242"/>
      <c r="C265" s="897"/>
      <c r="D265" s="905" t="s">
        <v>1069</v>
      </c>
      <c r="E265" s="909"/>
      <c r="F265" s="909"/>
      <c r="G265" s="914"/>
      <c r="H265" s="914"/>
      <c r="I265" s="914"/>
      <c r="J265" s="914"/>
      <c r="K265" s="914"/>
      <c r="L265" s="914"/>
      <c r="M265" s="914"/>
      <c r="N265" s="914"/>
      <c r="O265" s="914"/>
      <c r="P265" s="914"/>
      <c r="Q265" s="914"/>
      <c r="R265" s="888"/>
      <c r="S265" s="913"/>
    </row>
    <row r="266" spans="1:19" ht="20.25">
      <c r="A266" s="888"/>
      <c r="B266" s="242"/>
      <c r="C266" s="897"/>
      <c r="D266" s="905" t="s">
        <v>1072</v>
      </c>
      <c r="E266" s="909">
        <f>E264</f>
        <v>0</v>
      </c>
      <c r="F266" s="909">
        <f aca="true" t="shared" si="174" ref="F266">G266+H266+I266+J266+K266+L266+M266+N266+O266+P266+Q266+R266+S266</f>
        <v>0</v>
      </c>
      <c r="G266" s="913">
        <f aca="true" t="shared" si="175" ref="G266:R266">G264</f>
        <v>0</v>
      </c>
      <c r="H266" s="913">
        <f t="shared" si="175"/>
        <v>0</v>
      </c>
      <c r="I266" s="913">
        <f t="shared" si="175"/>
        <v>0</v>
      </c>
      <c r="J266" s="913">
        <f t="shared" si="175"/>
        <v>0</v>
      </c>
      <c r="K266" s="913">
        <f t="shared" si="175"/>
        <v>0</v>
      </c>
      <c r="L266" s="913">
        <f t="shared" si="175"/>
        <v>0</v>
      </c>
      <c r="M266" s="913">
        <f t="shared" si="175"/>
        <v>0</v>
      </c>
      <c r="N266" s="913">
        <f t="shared" si="175"/>
        <v>0</v>
      </c>
      <c r="O266" s="913">
        <f t="shared" si="175"/>
        <v>0</v>
      </c>
      <c r="P266" s="913">
        <f t="shared" si="175"/>
        <v>0</v>
      </c>
      <c r="Q266" s="913">
        <f t="shared" si="175"/>
        <v>0</v>
      </c>
      <c r="R266" s="913">
        <f t="shared" si="175"/>
        <v>0</v>
      </c>
      <c r="S266" s="913">
        <f>S264</f>
        <v>0</v>
      </c>
    </row>
    <row r="267" spans="1:19" ht="20.25" hidden="1">
      <c r="A267" s="888"/>
      <c r="B267" s="242"/>
      <c r="C267" s="897"/>
      <c r="D267" s="905" t="s">
        <v>1073</v>
      </c>
      <c r="E267" s="913">
        <f aca="true" t="shared" si="176" ref="E267:F267">E266-E265</f>
        <v>0</v>
      </c>
      <c r="F267" s="913">
        <f t="shared" si="176"/>
        <v>0</v>
      </c>
      <c r="G267" s="913">
        <f>G266-G265</f>
        <v>0</v>
      </c>
      <c r="H267" s="913">
        <f aca="true" t="shared" si="177" ref="H267:S267">H266-H265</f>
        <v>0</v>
      </c>
      <c r="I267" s="913">
        <f t="shared" si="177"/>
        <v>0</v>
      </c>
      <c r="J267" s="913">
        <f t="shared" si="177"/>
        <v>0</v>
      </c>
      <c r="K267" s="913">
        <f t="shared" si="177"/>
        <v>0</v>
      </c>
      <c r="L267" s="913">
        <f t="shared" si="177"/>
        <v>0</v>
      </c>
      <c r="M267" s="913">
        <f t="shared" si="177"/>
        <v>0</v>
      </c>
      <c r="N267" s="913">
        <f t="shared" si="177"/>
        <v>0</v>
      </c>
      <c r="O267" s="913">
        <f t="shared" si="177"/>
        <v>0</v>
      </c>
      <c r="P267" s="913">
        <f t="shared" si="177"/>
        <v>0</v>
      </c>
      <c r="Q267" s="913">
        <f t="shared" si="177"/>
        <v>0</v>
      </c>
      <c r="R267" s="913">
        <f t="shared" si="177"/>
        <v>0</v>
      </c>
      <c r="S267" s="913">
        <f t="shared" si="177"/>
        <v>0</v>
      </c>
    </row>
    <row r="268" spans="1:19" ht="40.5">
      <c r="A268" s="888" t="s">
        <v>121</v>
      </c>
      <c r="B268" s="242" t="s">
        <v>668</v>
      </c>
      <c r="C268" s="897" t="s">
        <v>669</v>
      </c>
      <c r="D268" s="905" t="s">
        <v>4</v>
      </c>
      <c r="E268" s="909"/>
      <c r="F268" s="909">
        <f t="shared" si="151"/>
        <v>0</v>
      </c>
      <c r="G268" s="913"/>
      <c r="H268" s="913"/>
      <c r="I268" s="913"/>
      <c r="J268" s="913"/>
      <c r="K268" s="913"/>
      <c r="L268" s="913"/>
      <c r="M268" s="913"/>
      <c r="N268" s="913"/>
      <c r="O268" s="913"/>
      <c r="P268" s="913"/>
      <c r="Q268" s="913"/>
      <c r="R268" s="888"/>
      <c r="S268" s="913"/>
    </row>
    <row r="269" spans="1:19" ht="20.25">
      <c r="A269" s="888"/>
      <c r="B269" s="242"/>
      <c r="C269" s="897"/>
      <c r="D269" s="905" t="s">
        <v>861</v>
      </c>
      <c r="E269" s="909"/>
      <c r="F269" s="909">
        <f t="shared" si="151"/>
        <v>0</v>
      </c>
      <c r="G269" s="913"/>
      <c r="H269" s="913"/>
      <c r="I269" s="913"/>
      <c r="J269" s="913"/>
      <c r="K269" s="913"/>
      <c r="L269" s="913"/>
      <c r="M269" s="913"/>
      <c r="N269" s="913"/>
      <c r="O269" s="913"/>
      <c r="P269" s="913"/>
      <c r="Q269" s="913"/>
      <c r="R269" s="888"/>
      <c r="S269" s="913"/>
    </row>
    <row r="270" spans="1:19" ht="20.25" hidden="1">
      <c r="A270" s="888"/>
      <c r="B270" s="242"/>
      <c r="C270" s="897"/>
      <c r="D270" s="905" t="s">
        <v>1069</v>
      </c>
      <c r="E270" s="909"/>
      <c r="F270" s="909"/>
      <c r="G270" s="913"/>
      <c r="H270" s="913"/>
      <c r="I270" s="913"/>
      <c r="J270" s="913"/>
      <c r="K270" s="913"/>
      <c r="L270" s="913"/>
      <c r="M270" s="913"/>
      <c r="N270" s="913"/>
      <c r="O270" s="913"/>
      <c r="P270" s="913"/>
      <c r="Q270" s="913"/>
      <c r="R270" s="888"/>
      <c r="S270" s="913"/>
    </row>
    <row r="271" spans="1:19" ht="20.25">
      <c r="A271" s="888"/>
      <c r="B271" s="242"/>
      <c r="C271" s="897"/>
      <c r="D271" s="905" t="s">
        <v>1072</v>
      </c>
      <c r="E271" s="909">
        <f>E269</f>
        <v>0</v>
      </c>
      <c r="F271" s="909">
        <f aca="true" t="shared" si="178" ref="F271">G271+H271+I271+J271+K271+L271+M271+N271+O271+P271+Q271+R271+S271</f>
        <v>0</v>
      </c>
      <c r="G271" s="913">
        <f>G269</f>
        <v>0</v>
      </c>
      <c r="H271" s="913">
        <f aca="true" t="shared" si="179" ref="H271:S271">H269</f>
        <v>0</v>
      </c>
      <c r="I271" s="913">
        <f t="shared" si="179"/>
        <v>0</v>
      </c>
      <c r="J271" s="913">
        <f t="shared" si="179"/>
        <v>0</v>
      </c>
      <c r="K271" s="913">
        <f t="shared" si="179"/>
        <v>0</v>
      </c>
      <c r="L271" s="913">
        <f t="shared" si="179"/>
        <v>0</v>
      </c>
      <c r="M271" s="913">
        <f t="shared" si="179"/>
        <v>0</v>
      </c>
      <c r="N271" s="913">
        <f t="shared" si="179"/>
        <v>0</v>
      </c>
      <c r="O271" s="913">
        <f t="shared" si="179"/>
        <v>0</v>
      </c>
      <c r="P271" s="913">
        <f t="shared" si="179"/>
        <v>0</v>
      </c>
      <c r="Q271" s="913">
        <f t="shared" si="179"/>
        <v>0</v>
      </c>
      <c r="R271" s="913">
        <f t="shared" si="179"/>
        <v>0</v>
      </c>
      <c r="S271" s="913">
        <f t="shared" si="179"/>
        <v>0</v>
      </c>
    </row>
    <row r="272" spans="1:19" ht="20.25" hidden="1">
      <c r="A272" s="888"/>
      <c r="B272" s="242"/>
      <c r="C272" s="897"/>
      <c r="D272" s="905" t="s">
        <v>1073</v>
      </c>
      <c r="E272" s="913">
        <f aca="true" t="shared" si="180" ref="E272:F272">E271-E270</f>
        <v>0</v>
      </c>
      <c r="F272" s="913">
        <f t="shared" si="180"/>
        <v>0</v>
      </c>
      <c r="G272" s="913">
        <f>G271-G270</f>
        <v>0</v>
      </c>
      <c r="H272" s="913">
        <f aca="true" t="shared" si="181" ref="H272:S272">H271-H270</f>
        <v>0</v>
      </c>
      <c r="I272" s="913">
        <f t="shared" si="181"/>
        <v>0</v>
      </c>
      <c r="J272" s="913">
        <f t="shared" si="181"/>
        <v>0</v>
      </c>
      <c r="K272" s="913">
        <f t="shared" si="181"/>
        <v>0</v>
      </c>
      <c r="L272" s="913">
        <f t="shared" si="181"/>
        <v>0</v>
      </c>
      <c r="M272" s="913">
        <f t="shared" si="181"/>
        <v>0</v>
      </c>
      <c r="N272" s="913">
        <f t="shared" si="181"/>
        <v>0</v>
      </c>
      <c r="O272" s="913">
        <f t="shared" si="181"/>
        <v>0</v>
      </c>
      <c r="P272" s="913">
        <f t="shared" si="181"/>
        <v>0</v>
      </c>
      <c r="Q272" s="913">
        <f t="shared" si="181"/>
        <v>0</v>
      </c>
      <c r="R272" s="913">
        <f t="shared" si="181"/>
        <v>0</v>
      </c>
      <c r="S272" s="913">
        <f t="shared" si="181"/>
        <v>0</v>
      </c>
    </row>
    <row r="273" spans="1:19" ht="40.5">
      <c r="A273" s="888" t="s">
        <v>121</v>
      </c>
      <c r="B273" s="242" t="s">
        <v>670</v>
      </c>
      <c r="C273" s="897" t="s">
        <v>671</v>
      </c>
      <c r="D273" s="905" t="s">
        <v>4</v>
      </c>
      <c r="E273" s="909">
        <v>0</v>
      </c>
      <c r="F273" s="909">
        <f t="shared" si="151"/>
        <v>0</v>
      </c>
      <c r="G273" s="914"/>
      <c r="H273" s="914"/>
      <c r="I273" s="914"/>
      <c r="J273" s="914"/>
      <c r="K273" s="914"/>
      <c r="L273" s="914"/>
      <c r="M273" s="914"/>
      <c r="N273" s="914"/>
      <c r="O273" s="914"/>
      <c r="P273" s="914"/>
      <c r="Q273" s="914"/>
      <c r="R273" s="888"/>
      <c r="S273" s="913"/>
    </row>
    <row r="274" spans="1:19" ht="20.25">
      <c r="A274" s="888"/>
      <c r="B274" s="242"/>
      <c r="C274" s="897"/>
      <c r="D274" s="905" t="s">
        <v>861</v>
      </c>
      <c r="E274" s="909">
        <v>2871</v>
      </c>
      <c r="F274" s="909">
        <f t="shared" si="151"/>
        <v>2865</v>
      </c>
      <c r="G274" s="914"/>
      <c r="H274" s="914"/>
      <c r="I274" s="914"/>
      <c r="J274" s="914"/>
      <c r="K274" s="914">
        <v>2865</v>
      </c>
      <c r="L274" s="914"/>
      <c r="M274" s="914"/>
      <c r="N274" s="914"/>
      <c r="O274" s="914"/>
      <c r="P274" s="914"/>
      <c r="Q274" s="914"/>
      <c r="R274" s="888"/>
      <c r="S274" s="913"/>
    </row>
    <row r="275" spans="1:19" ht="20.25" hidden="1">
      <c r="A275" s="888"/>
      <c r="B275" s="242"/>
      <c r="C275" s="897"/>
      <c r="D275" s="905" t="s">
        <v>1069</v>
      </c>
      <c r="E275" s="909">
        <v>5406</v>
      </c>
      <c r="F275" s="909">
        <f t="shared" si="151"/>
        <v>5046</v>
      </c>
      <c r="G275" s="914"/>
      <c r="H275" s="914"/>
      <c r="I275" s="914"/>
      <c r="J275" s="914"/>
      <c r="K275" s="914">
        <v>5046</v>
      </c>
      <c r="L275" s="914"/>
      <c r="M275" s="914"/>
      <c r="N275" s="914"/>
      <c r="O275" s="914"/>
      <c r="P275" s="914"/>
      <c r="Q275" s="914"/>
      <c r="R275" s="888"/>
      <c r="S275" s="913"/>
    </row>
    <row r="276" spans="1:19" ht="20.25">
      <c r="A276" s="888"/>
      <c r="B276" s="242"/>
      <c r="C276" s="897"/>
      <c r="D276" s="905" t="s">
        <v>1072</v>
      </c>
      <c r="E276" s="909">
        <f>E274+2535</f>
        <v>5406</v>
      </c>
      <c r="F276" s="909">
        <f t="shared" si="151"/>
        <v>5400</v>
      </c>
      <c r="G276" s="913">
        <f>G274</f>
        <v>0</v>
      </c>
      <c r="H276" s="913">
        <f aca="true" t="shared" si="182" ref="H276:S276">H274</f>
        <v>0</v>
      </c>
      <c r="I276" s="913">
        <f t="shared" si="182"/>
        <v>0</v>
      </c>
      <c r="J276" s="913">
        <f t="shared" si="182"/>
        <v>0</v>
      </c>
      <c r="K276" s="913">
        <f>K274+2535</f>
        <v>5400</v>
      </c>
      <c r="L276" s="913">
        <f t="shared" si="182"/>
        <v>0</v>
      </c>
      <c r="M276" s="913">
        <f t="shared" si="182"/>
        <v>0</v>
      </c>
      <c r="N276" s="913">
        <f t="shared" si="182"/>
        <v>0</v>
      </c>
      <c r="O276" s="913">
        <f t="shared" si="182"/>
        <v>0</v>
      </c>
      <c r="P276" s="913">
        <f t="shared" si="182"/>
        <v>0</v>
      </c>
      <c r="Q276" s="913">
        <f t="shared" si="182"/>
        <v>0</v>
      </c>
      <c r="R276" s="913">
        <f t="shared" si="182"/>
        <v>0</v>
      </c>
      <c r="S276" s="913">
        <f t="shared" si="182"/>
        <v>0</v>
      </c>
    </row>
    <row r="277" spans="1:19" ht="20.25" hidden="1">
      <c r="A277" s="888"/>
      <c r="B277" s="242"/>
      <c r="C277" s="897"/>
      <c r="D277" s="905" t="s">
        <v>1073</v>
      </c>
      <c r="E277" s="913">
        <f aca="true" t="shared" si="183" ref="E277:F277">E276-E275</f>
        <v>0</v>
      </c>
      <c r="F277" s="913">
        <f t="shared" si="183"/>
        <v>354</v>
      </c>
      <c r="G277" s="913">
        <f>G276-G275</f>
        <v>0</v>
      </c>
      <c r="H277" s="913">
        <f aca="true" t="shared" si="184" ref="H277:S277">H276-H275</f>
        <v>0</v>
      </c>
      <c r="I277" s="913">
        <f t="shared" si="184"/>
        <v>0</v>
      </c>
      <c r="J277" s="913">
        <f t="shared" si="184"/>
        <v>0</v>
      </c>
      <c r="K277" s="913">
        <f t="shared" si="184"/>
        <v>354</v>
      </c>
      <c r="L277" s="913">
        <f t="shared" si="184"/>
        <v>0</v>
      </c>
      <c r="M277" s="913">
        <f t="shared" si="184"/>
        <v>0</v>
      </c>
      <c r="N277" s="913">
        <f t="shared" si="184"/>
        <v>0</v>
      </c>
      <c r="O277" s="913">
        <f t="shared" si="184"/>
        <v>0</v>
      </c>
      <c r="P277" s="913">
        <f t="shared" si="184"/>
        <v>0</v>
      </c>
      <c r="Q277" s="913">
        <f t="shared" si="184"/>
        <v>0</v>
      </c>
      <c r="R277" s="913">
        <f t="shared" si="184"/>
        <v>0</v>
      </c>
      <c r="S277" s="913">
        <f t="shared" si="184"/>
        <v>0</v>
      </c>
    </row>
    <row r="278" spans="1:19" ht="40.5">
      <c r="A278" s="888" t="s">
        <v>121</v>
      </c>
      <c r="B278" s="242" t="s">
        <v>672</v>
      </c>
      <c r="C278" s="897" t="s">
        <v>673</v>
      </c>
      <c r="D278" s="905" t="s">
        <v>4</v>
      </c>
      <c r="E278" s="909">
        <v>27000</v>
      </c>
      <c r="F278" s="909">
        <f t="shared" si="151"/>
        <v>59945</v>
      </c>
      <c r="G278" s="913"/>
      <c r="H278" s="913"/>
      <c r="I278" s="913">
        <v>59945</v>
      </c>
      <c r="J278" s="913"/>
      <c r="K278" s="913"/>
      <c r="L278" s="913"/>
      <c r="M278" s="913"/>
      <c r="N278" s="913"/>
      <c r="O278" s="913"/>
      <c r="P278" s="913"/>
      <c r="Q278" s="913"/>
      <c r="R278" s="888"/>
      <c r="S278" s="913"/>
    </row>
    <row r="279" spans="1:19" ht="20.25">
      <c r="A279" s="888"/>
      <c r="B279" s="242"/>
      <c r="C279" s="897"/>
      <c r="D279" s="905" t="s">
        <v>923</v>
      </c>
      <c r="E279" s="909">
        <v>27000</v>
      </c>
      <c r="F279" s="909">
        <f t="shared" si="151"/>
        <v>49945</v>
      </c>
      <c r="G279" s="913"/>
      <c r="H279" s="913"/>
      <c r="I279" s="913">
        <v>49945</v>
      </c>
      <c r="J279" s="913"/>
      <c r="K279" s="913"/>
      <c r="L279" s="913"/>
      <c r="M279" s="913"/>
      <c r="N279" s="913"/>
      <c r="O279" s="913"/>
      <c r="P279" s="913"/>
      <c r="Q279" s="913"/>
      <c r="R279" s="888"/>
      <c r="S279" s="913"/>
    </row>
    <row r="280" spans="1:19" ht="20.25" hidden="1">
      <c r="A280" s="888"/>
      <c r="B280" s="242"/>
      <c r="C280" s="897"/>
      <c r="D280" s="905" t="s">
        <v>1069</v>
      </c>
      <c r="E280" s="909">
        <v>38028</v>
      </c>
      <c r="F280" s="909">
        <f t="shared" si="151"/>
        <v>37516</v>
      </c>
      <c r="G280" s="913"/>
      <c r="H280" s="913"/>
      <c r="I280" s="913">
        <v>37516</v>
      </c>
      <c r="J280" s="913"/>
      <c r="K280" s="913"/>
      <c r="L280" s="913"/>
      <c r="M280" s="913">
        <v>0</v>
      </c>
      <c r="N280" s="913">
        <v>0</v>
      </c>
      <c r="O280" s="913"/>
      <c r="P280" s="913"/>
      <c r="Q280" s="913"/>
      <c r="R280" s="888"/>
      <c r="S280" s="913"/>
    </row>
    <row r="281" spans="1:19" ht="20.25">
      <c r="A281" s="888"/>
      <c r="B281" s="242"/>
      <c r="C281" s="897"/>
      <c r="D281" s="905" t="s">
        <v>1072</v>
      </c>
      <c r="E281" s="909">
        <f>E279+11002</f>
        <v>38002</v>
      </c>
      <c r="F281" s="909">
        <f t="shared" si="151"/>
        <v>49945</v>
      </c>
      <c r="G281" s="913">
        <f>G279</f>
        <v>0</v>
      </c>
      <c r="H281" s="913">
        <f aca="true" t="shared" si="185" ref="H281:S281">H279</f>
        <v>0</v>
      </c>
      <c r="I281" s="913">
        <f t="shared" si="185"/>
        <v>49945</v>
      </c>
      <c r="J281" s="913">
        <f t="shared" si="185"/>
        <v>0</v>
      </c>
      <c r="K281" s="913">
        <f t="shared" si="185"/>
        <v>0</v>
      </c>
      <c r="L281" s="913">
        <f t="shared" si="185"/>
        <v>0</v>
      </c>
      <c r="M281" s="913">
        <f t="shared" si="185"/>
        <v>0</v>
      </c>
      <c r="N281" s="913">
        <f t="shared" si="185"/>
        <v>0</v>
      </c>
      <c r="O281" s="913">
        <f t="shared" si="185"/>
        <v>0</v>
      </c>
      <c r="P281" s="913">
        <f t="shared" si="185"/>
        <v>0</v>
      </c>
      <c r="Q281" s="913">
        <f t="shared" si="185"/>
        <v>0</v>
      </c>
      <c r="R281" s="913">
        <f t="shared" si="185"/>
        <v>0</v>
      </c>
      <c r="S281" s="913">
        <f t="shared" si="185"/>
        <v>0</v>
      </c>
    </row>
    <row r="282" spans="1:19" ht="20.25" hidden="1">
      <c r="A282" s="888"/>
      <c r="B282" s="242"/>
      <c r="C282" s="897"/>
      <c r="D282" s="905" t="s">
        <v>1073</v>
      </c>
      <c r="E282" s="913">
        <f aca="true" t="shared" si="186" ref="E282:F282">E281-E280</f>
        <v>-26</v>
      </c>
      <c r="F282" s="913">
        <f t="shared" si="186"/>
        <v>12429</v>
      </c>
      <c r="G282" s="913">
        <f>G281-G280</f>
        <v>0</v>
      </c>
      <c r="H282" s="913">
        <f aca="true" t="shared" si="187" ref="H282:S282">H281-H280</f>
        <v>0</v>
      </c>
      <c r="I282" s="913">
        <f t="shared" si="187"/>
        <v>12429</v>
      </c>
      <c r="J282" s="913">
        <f t="shared" si="187"/>
        <v>0</v>
      </c>
      <c r="K282" s="913">
        <f t="shared" si="187"/>
        <v>0</v>
      </c>
      <c r="L282" s="913">
        <f t="shared" si="187"/>
        <v>0</v>
      </c>
      <c r="M282" s="913">
        <f t="shared" si="187"/>
        <v>0</v>
      </c>
      <c r="N282" s="913">
        <f t="shared" si="187"/>
        <v>0</v>
      </c>
      <c r="O282" s="913">
        <f t="shared" si="187"/>
        <v>0</v>
      </c>
      <c r="P282" s="913">
        <f t="shared" si="187"/>
        <v>0</v>
      </c>
      <c r="Q282" s="913">
        <f t="shared" si="187"/>
        <v>0</v>
      </c>
      <c r="R282" s="913">
        <f t="shared" si="187"/>
        <v>0</v>
      </c>
      <c r="S282" s="913">
        <f t="shared" si="187"/>
        <v>0</v>
      </c>
    </row>
    <row r="283" spans="1:19" ht="40.5">
      <c r="A283" s="888" t="s">
        <v>121</v>
      </c>
      <c r="B283" s="242" t="s">
        <v>674</v>
      </c>
      <c r="C283" s="897" t="s">
        <v>675</v>
      </c>
      <c r="D283" s="905" t="s">
        <v>4</v>
      </c>
      <c r="E283" s="909"/>
      <c r="F283" s="909">
        <f t="shared" si="151"/>
        <v>15000</v>
      </c>
      <c r="G283" s="914"/>
      <c r="H283" s="914"/>
      <c r="I283" s="914"/>
      <c r="J283" s="914"/>
      <c r="K283" s="914">
        <v>15000</v>
      </c>
      <c r="L283" s="914"/>
      <c r="M283" s="914"/>
      <c r="N283" s="914"/>
      <c r="O283" s="914"/>
      <c r="P283" s="914"/>
      <c r="Q283" s="914"/>
      <c r="R283" s="888"/>
      <c r="S283" s="913"/>
    </row>
    <row r="284" spans="1:19" ht="20.25">
      <c r="A284" s="888"/>
      <c r="B284" s="242"/>
      <c r="C284" s="897"/>
      <c r="D284" s="905" t="s">
        <v>861</v>
      </c>
      <c r="E284" s="909"/>
      <c r="F284" s="909">
        <f t="shared" si="151"/>
        <v>12990</v>
      </c>
      <c r="G284" s="914"/>
      <c r="H284" s="914"/>
      <c r="I284" s="914"/>
      <c r="J284" s="914"/>
      <c r="K284" s="914">
        <v>12990</v>
      </c>
      <c r="L284" s="914"/>
      <c r="M284" s="914"/>
      <c r="N284" s="914"/>
      <c r="O284" s="914"/>
      <c r="P284" s="914"/>
      <c r="Q284" s="914"/>
      <c r="R284" s="888"/>
      <c r="S284" s="913"/>
    </row>
    <row r="285" spans="1:19" ht="20.25" hidden="1">
      <c r="A285" s="888"/>
      <c r="B285" s="242"/>
      <c r="C285" s="897"/>
      <c r="D285" s="905" t="s">
        <v>1069</v>
      </c>
      <c r="E285" s="909"/>
      <c r="F285" s="909">
        <f t="shared" si="151"/>
        <v>8567</v>
      </c>
      <c r="G285" s="914"/>
      <c r="H285" s="914"/>
      <c r="I285" s="914"/>
      <c r="J285" s="914"/>
      <c r="K285" s="914">
        <v>8567</v>
      </c>
      <c r="L285" s="914"/>
      <c r="M285" s="914"/>
      <c r="N285" s="914"/>
      <c r="O285" s="914"/>
      <c r="P285" s="914"/>
      <c r="Q285" s="914"/>
      <c r="R285" s="888"/>
      <c r="S285" s="913"/>
    </row>
    <row r="286" spans="1:19" ht="20.25">
      <c r="A286" s="888"/>
      <c r="B286" s="242"/>
      <c r="C286" s="897"/>
      <c r="D286" s="905" t="s">
        <v>1072</v>
      </c>
      <c r="E286" s="909">
        <f>E284</f>
        <v>0</v>
      </c>
      <c r="F286" s="909">
        <f t="shared" si="151"/>
        <v>12679</v>
      </c>
      <c r="G286" s="913">
        <f>G284</f>
        <v>0</v>
      </c>
      <c r="H286" s="913">
        <f aca="true" t="shared" si="188" ref="H286:J286">H284</f>
        <v>0</v>
      </c>
      <c r="I286" s="913">
        <f t="shared" si="188"/>
        <v>0</v>
      </c>
      <c r="J286" s="913">
        <f t="shared" si="188"/>
        <v>0</v>
      </c>
      <c r="K286" s="913">
        <f>K284-117-194+470-470</f>
        <v>12679</v>
      </c>
      <c r="L286" s="913">
        <f>L284</f>
        <v>0</v>
      </c>
      <c r="M286" s="913">
        <f aca="true" t="shared" si="189" ref="M286:S286">M284</f>
        <v>0</v>
      </c>
      <c r="N286" s="913">
        <f t="shared" si="189"/>
        <v>0</v>
      </c>
      <c r="O286" s="913">
        <f t="shared" si="189"/>
        <v>0</v>
      </c>
      <c r="P286" s="913">
        <f t="shared" si="189"/>
        <v>0</v>
      </c>
      <c r="Q286" s="913">
        <f t="shared" si="189"/>
        <v>0</v>
      </c>
      <c r="R286" s="913">
        <f t="shared" si="189"/>
        <v>0</v>
      </c>
      <c r="S286" s="913">
        <f t="shared" si="189"/>
        <v>0</v>
      </c>
    </row>
    <row r="287" spans="1:19" ht="20.25" hidden="1">
      <c r="A287" s="888"/>
      <c r="B287" s="242"/>
      <c r="C287" s="897"/>
      <c r="D287" s="905" t="s">
        <v>1073</v>
      </c>
      <c r="E287" s="913">
        <f aca="true" t="shared" si="190" ref="E287:F287">E286-E285</f>
        <v>0</v>
      </c>
      <c r="F287" s="913">
        <f t="shared" si="190"/>
        <v>4112</v>
      </c>
      <c r="G287" s="913">
        <f>G286-G285</f>
        <v>0</v>
      </c>
      <c r="H287" s="913">
        <f aca="true" t="shared" si="191" ref="H287:S287">H286-H285</f>
        <v>0</v>
      </c>
      <c r="I287" s="913">
        <f t="shared" si="191"/>
        <v>0</v>
      </c>
      <c r="J287" s="913">
        <f t="shared" si="191"/>
        <v>0</v>
      </c>
      <c r="K287" s="913">
        <f t="shared" si="191"/>
        <v>4112</v>
      </c>
      <c r="L287" s="913">
        <f t="shared" si="191"/>
        <v>0</v>
      </c>
      <c r="M287" s="913">
        <f t="shared" si="191"/>
        <v>0</v>
      </c>
      <c r="N287" s="913">
        <f t="shared" si="191"/>
        <v>0</v>
      </c>
      <c r="O287" s="913">
        <f t="shared" si="191"/>
        <v>0</v>
      </c>
      <c r="P287" s="913">
        <f t="shared" si="191"/>
        <v>0</v>
      </c>
      <c r="Q287" s="913">
        <f t="shared" si="191"/>
        <v>0</v>
      </c>
      <c r="R287" s="913">
        <f t="shared" si="191"/>
        <v>0</v>
      </c>
      <c r="S287" s="913">
        <f t="shared" si="191"/>
        <v>0</v>
      </c>
    </row>
    <row r="288" spans="1:19" ht="40.5">
      <c r="A288" s="888" t="s">
        <v>121</v>
      </c>
      <c r="B288" s="242" t="s">
        <v>676</v>
      </c>
      <c r="C288" s="897" t="s">
        <v>125</v>
      </c>
      <c r="D288" s="905" t="s">
        <v>4</v>
      </c>
      <c r="E288" s="909"/>
      <c r="F288" s="909">
        <f t="shared" si="151"/>
        <v>50050</v>
      </c>
      <c r="G288" s="914"/>
      <c r="H288" s="914"/>
      <c r="I288" s="914"/>
      <c r="J288" s="914"/>
      <c r="K288" s="914">
        <v>50050</v>
      </c>
      <c r="L288" s="914"/>
      <c r="M288" s="914"/>
      <c r="N288" s="914"/>
      <c r="O288" s="914"/>
      <c r="P288" s="914"/>
      <c r="Q288" s="914"/>
      <c r="R288" s="888"/>
      <c r="S288" s="913"/>
    </row>
    <row r="289" spans="1:19" ht="20.25">
      <c r="A289" s="888"/>
      <c r="B289" s="242"/>
      <c r="C289" s="897"/>
      <c r="D289" s="905" t="s">
        <v>861</v>
      </c>
      <c r="E289" s="909">
        <v>130</v>
      </c>
      <c r="F289" s="909">
        <f t="shared" si="151"/>
        <v>52770</v>
      </c>
      <c r="G289" s="914"/>
      <c r="H289" s="914"/>
      <c r="I289" s="914"/>
      <c r="J289" s="914">
        <v>20</v>
      </c>
      <c r="K289" s="914">
        <v>52750</v>
      </c>
      <c r="L289" s="914"/>
      <c r="M289" s="914"/>
      <c r="N289" s="914"/>
      <c r="O289" s="914"/>
      <c r="P289" s="914"/>
      <c r="Q289" s="914"/>
      <c r="R289" s="888"/>
      <c r="S289" s="913"/>
    </row>
    <row r="290" spans="1:19" ht="20.25" hidden="1">
      <c r="A290" s="888"/>
      <c r="B290" s="242"/>
      <c r="C290" s="897"/>
      <c r="D290" s="905" t="s">
        <v>1069</v>
      </c>
      <c r="E290" s="909">
        <v>130</v>
      </c>
      <c r="F290" s="909">
        <f t="shared" si="151"/>
        <v>50595</v>
      </c>
      <c r="G290" s="914"/>
      <c r="H290" s="914"/>
      <c r="I290" s="914"/>
      <c r="J290" s="914">
        <v>11</v>
      </c>
      <c r="K290" s="914">
        <f>47070+3514</f>
        <v>50584</v>
      </c>
      <c r="L290" s="914"/>
      <c r="M290" s="914"/>
      <c r="N290" s="914"/>
      <c r="O290" s="914"/>
      <c r="P290" s="914"/>
      <c r="Q290" s="914"/>
      <c r="R290" s="888"/>
      <c r="S290" s="913"/>
    </row>
    <row r="291" spans="1:19" ht="20.25">
      <c r="A291" s="888"/>
      <c r="B291" s="242"/>
      <c r="C291" s="897"/>
      <c r="D291" s="905" t="s">
        <v>1072</v>
      </c>
      <c r="E291" s="909">
        <f>E289</f>
        <v>130</v>
      </c>
      <c r="F291" s="909">
        <f t="shared" si="151"/>
        <v>51595</v>
      </c>
      <c r="G291" s="913">
        <f>G289</f>
        <v>0</v>
      </c>
      <c r="H291" s="913">
        <f aca="true" t="shared" si="192" ref="H291:J291">H289</f>
        <v>0</v>
      </c>
      <c r="I291" s="913">
        <f t="shared" si="192"/>
        <v>0</v>
      </c>
      <c r="J291" s="913">
        <f t="shared" si="192"/>
        <v>20</v>
      </c>
      <c r="K291" s="913">
        <f>K289+105-1280</f>
        <v>51575</v>
      </c>
      <c r="L291" s="913">
        <f>L289</f>
        <v>0</v>
      </c>
      <c r="M291" s="913">
        <f aca="true" t="shared" si="193" ref="M291:S291">M289</f>
        <v>0</v>
      </c>
      <c r="N291" s="913">
        <f t="shared" si="193"/>
        <v>0</v>
      </c>
      <c r="O291" s="913">
        <f t="shared" si="193"/>
        <v>0</v>
      </c>
      <c r="P291" s="913">
        <f t="shared" si="193"/>
        <v>0</v>
      </c>
      <c r="Q291" s="913">
        <f t="shared" si="193"/>
        <v>0</v>
      </c>
      <c r="R291" s="913">
        <f t="shared" si="193"/>
        <v>0</v>
      </c>
      <c r="S291" s="913">
        <f t="shared" si="193"/>
        <v>0</v>
      </c>
    </row>
    <row r="292" spans="1:19" ht="20.25" hidden="1">
      <c r="A292" s="888"/>
      <c r="B292" s="242"/>
      <c r="C292" s="897"/>
      <c r="D292" s="905" t="s">
        <v>1073</v>
      </c>
      <c r="E292" s="913">
        <f aca="true" t="shared" si="194" ref="E292:F292">E291-E290</f>
        <v>0</v>
      </c>
      <c r="F292" s="913">
        <f t="shared" si="194"/>
        <v>1000</v>
      </c>
      <c r="G292" s="913">
        <f>G291-G290</f>
        <v>0</v>
      </c>
      <c r="H292" s="913">
        <f aca="true" t="shared" si="195" ref="H292:S292">H291-H290</f>
        <v>0</v>
      </c>
      <c r="I292" s="913">
        <f t="shared" si="195"/>
        <v>0</v>
      </c>
      <c r="J292" s="913">
        <f t="shared" si="195"/>
        <v>9</v>
      </c>
      <c r="K292" s="913">
        <f t="shared" si="195"/>
        <v>991</v>
      </c>
      <c r="L292" s="913">
        <f t="shared" si="195"/>
        <v>0</v>
      </c>
      <c r="M292" s="913">
        <f t="shared" si="195"/>
        <v>0</v>
      </c>
      <c r="N292" s="913">
        <f t="shared" si="195"/>
        <v>0</v>
      </c>
      <c r="O292" s="913">
        <f t="shared" si="195"/>
        <v>0</v>
      </c>
      <c r="P292" s="913">
        <f t="shared" si="195"/>
        <v>0</v>
      </c>
      <c r="Q292" s="913">
        <f t="shared" si="195"/>
        <v>0</v>
      </c>
      <c r="R292" s="913">
        <f t="shared" si="195"/>
        <v>0</v>
      </c>
      <c r="S292" s="913">
        <f t="shared" si="195"/>
        <v>0</v>
      </c>
    </row>
    <row r="293" spans="1:19" ht="40.5">
      <c r="A293" s="888" t="s">
        <v>120</v>
      </c>
      <c r="B293" s="242" t="s">
        <v>677</v>
      </c>
      <c r="C293" s="897" t="s">
        <v>678</v>
      </c>
      <c r="D293" s="905" t="s">
        <v>4</v>
      </c>
      <c r="E293" s="909">
        <v>63314</v>
      </c>
      <c r="F293" s="909">
        <f t="shared" si="151"/>
        <v>94955</v>
      </c>
      <c r="G293" s="914"/>
      <c r="H293" s="914"/>
      <c r="I293" s="914">
        <v>21690</v>
      </c>
      <c r="J293" s="914"/>
      <c r="K293" s="914"/>
      <c r="L293" s="914"/>
      <c r="M293" s="914"/>
      <c r="N293" s="914"/>
      <c r="O293" s="914"/>
      <c r="P293" s="914"/>
      <c r="Q293" s="914">
        <v>73265</v>
      </c>
      <c r="R293" s="888"/>
      <c r="S293" s="913"/>
    </row>
    <row r="294" spans="1:19" ht="20.25" hidden="1">
      <c r="A294" s="888"/>
      <c r="B294" s="242"/>
      <c r="C294" s="897"/>
      <c r="D294" s="905" t="s">
        <v>859</v>
      </c>
      <c r="E294" s="909">
        <v>2034144</v>
      </c>
      <c r="F294" s="909">
        <f t="shared" si="151"/>
        <v>2065785</v>
      </c>
      <c r="G294" s="914"/>
      <c r="H294" s="914"/>
      <c r="I294" s="914">
        <v>21690</v>
      </c>
      <c r="J294" s="914"/>
      <c r="K294" s="914"/>
      <c r="L294" s="914"/>
      <c r="M294" s="914"/>
      <c r="N294" s="914"/>
      <c r="O294" s="914"/>
      <c r="P294" s="914"/>
      <c r="Q294" s="914">
        <v>73265</v>
      </c>
      <c r="R294" s="888"/>
      <c r="S294" s="913">
        <v>1970830</v>
      </c>
    </row>
    <row r="295" spans="1:19" ht="20.25">
      <c r="A295" s="888"/>
      <c r="B295" s="242"/>
      <c r="C295" s="897"/>
      <c r="D295" s="905" t="s">
        <v>861</v>
      </c>
      <c r="E295" s="909">
        <f>E294+461624</f>
        <v>2495768</v>
      </c>
      <c r="F295" s="909">
        <f t="shared" si="151"/>
        <v>2528683</v>
      </c>
      <c r="G295" s="914"/>
      <c r="H295" s="914"/>
      <c r="I295" s="914">
        <v>21690</v>
      </c>
      <c r="J295" s="914"/>
      <c r="K295" s="914"/>
      <c r="L295" s="914"/>
      <c r="M295" s="914"/>
      <c r="N295" s="914"/>
      <c r="O295" s="914"/>
      <c r="P295" s="914"/>
      <c r="Q295" s="914">
        <f>Q294+462898</f>
        <v>536163</v>
      </c>
      <c r="R295" s="888"/>
      <c r="S295" s="913">
        <v>1970830</v>
      </c>
    </row>
    <row r="296" spans="1:19" ht="20.25" hidden="1">
      <c r="A296" s="888"/>
      <c r="B296" s="242"/>
      <c r="C296" s="897"/>
      <c r="D296" s="905" t="s">
        <v>1069</v>
      </c>
      <c r="E296" s="909">
        <v>2490537</v>
      </c>
      <c r="F296" s="909">
        <f t="shared" si="151"/>
        <v>2522686</v>
      </c>
      <c r="G296" s="914"/>
      <c r="H296" s="914"/>
      <c r="I296" s="914">
        <v>18142</v>
      </c>
      <c r="J296" s="914"/>
      <c r="K296" s="914"/>
      <c r="L296" s="914"/>
      <c r="M296" s="914"/>
      <c r="N296" s="914"/>
      <c r="O296" s="914"/>
      <c r="P296" s="914"/>
      <c r="Q296" s="914">
        <f>533714-350000</f>
        <v>183714</v>
      </c>
      <c r="R296" s="888"/>
      <c r="S296" s="913">
        <f>1970830+350000</f>
        <v>2320830</v>
      </c>
    </row>
    <row r="297" spans="1:19" ht="20.25">
      <c r="A297" s="888"/>
      <c r="B297" s="242"/>
      <c r="C297" s="897"/>
      <c r="D297" s="905" t="s">
        <v>1072</v>
      </c>
      <c r="E297" s="909">
        <f>E295-5918+514</f>
        <v>2490364</v>
      </c>
      <c r="F297" s="909">
        <f t="shared" si="151"/>
        <v>2522687</v>
      </c>
      <c r="G297" s="913">
        <f>G295</f>
        <v>0</v>
      </c>
      <c r="H297" s="913">
        <f aca="true" t="shared" si="196" ref="H297:R297">H295</f>
        <v>0</v>
      </c>
      <c r="I297" s="913">
        <f>I295-3548</f>
        <v>18142</v>
      </c>
      <c r="J297" s="913">
        <f t="shared" si="196"/>
        <v>0</v>
      </c>
      <c r="K297" s="913">
        <f t="shared" si="196"/>
        <v>0</v>
      </c>
      <c r="L297" s="913">
        <f t="shared" si="196"/>
        <v>0</v>
      </c>
      <c r="M297" s="913">
        <f t="shared" si="196"/>
        <v>0</v>
      </c>
      <c r="N297" s="913">
        <f t="shared" si="196"/>
        <v>0</v>
      </c>
      <c r="O297" s="913">
        <f t="shared" si="196"/>
        <v>0</v>
      </c>
      <c r="P297" s="913">
        <f t="shared" si="196"/>
        <v>0</v>
      </c>
      <c r="Q297" s="913">
        <f>Q295-2448-350000</f>
        <v>183715</v>
      </c>
      <c r="R297" s="913">
        <f t="shared" si="196"/>
        <v>0</v>
      </c>
      <c r="S297" s="913">
        <f>S295+350000</f>
        <v>2320830</v>
      </c>
    </row>
    <row r="298" spans="1:19" ht="20.25" hidden="1">
      <c r="A298" s="888"/>
      <c r="B298" s="242"/>
      <c r="C298" s="897"/>
      <c r="D298" s="905" t="s">
        <v>1073</v>
      </c>
      <c r="E298" s="913">
        <f aca="true" t="shared" si="197" ref="E298:F298">E297-E296</f>
        <v>-173</v>
      </c>
      <c r="F298" s="913">
        <f t="shared" si="197"/>
        <v>1</v>
      </c>
      <c r="G298" s="913">
        <f>G297-G296</f>
        <v>0</v>
      </c>
      <c r="H298" s="913">
        <f aca="true" t="shared" si="198" ref="H298:S298">H297-H296</f>
        <v>0</v>
      </c>
      <c r="I298" s="913">
        <f t="shared" si="198"/>
        <v>0</v>
      </c>
      <c r="J298" s="913">
        <f t="shared" si="198"/>
        <v>0</v>
      </c>
      <c r="K298" s="913">
        <f t="shared" si="198"/>
        <v>0</v>
      </c>
      <c r="L298" s="913">
        <f t="shared" si="198"/>
        <v>0</v>
      </c>
      <c r="M298" s="913">
        <f t="shared" si="198"/>
        <v>0</v>
      </c>
      <c r="N298" s="913">
        <f t="shared" si="198"/>
        <v>0</v>
      </c>
      <c r="O298" s="913">
        <f t="shared" si="198"/>
        <v>0</v>
      </c>
      <c r="P298" s="913">
        <f t="shared" si="198"/>
        <v>0</v>
      </c>
      <c r="Q298" s="913">
        <f t="shared" si="198"/>
        <v>1</v>
      </c>
      <c r="R298" s="913">
        <f t="shared" si="198"/>
        <v>0</v>
      </c>
      <c r="S298" s="913">
        <f t="shared" si="198"/>
        <v>0</v>
      </c>
    </row>
    <row r="299" spans="1:19" ht="40.5">
      <c r="A299" s="888" t="s">
        <v>120</v>
      </c>
      <c r="B299" s="242" t="s">
        <v>679</v>
      </c>
      <c r="C299" s="897" t="s">
        <v>680</v>
      </c>
      <c r="D299" s="905" t="s">
        <v>4</v>
      </c>
      <c r="E299" s="909"/>
      <c r="F299" s="909">
        <f t="shared" si="151"/>
        <v>296800</v>
      </c>
      <c r="G299" s="914"/>
      <c r="H299" s="914"/>
      <c r="I299" s="914"/>
      <c r="J299" s="914"/>
      <c r="K299" s="914"/>
      <c r="L299" s="914">
        <v>146800</v>
      </c>
      <c r="M299" s="914"/>
      <c r="N299" s="914"/>
      <c r="O299" s="914"/>
      <c r="P299" s="914">
        <v>150000</v>
      </c>
      <c r="Q299" s="914"/>
      <c r="R299" s="888"/>
      <c r="S299" s="913"/>
    </row>
    <row r="300" spans="1:19" ht="20.25">
      <c r="A300" s="888"/>
      <c r="B300" s="242"/>
      <c r="C300" s="897"/>
      <c r="D300" s="905" t="s">
        <v>861</v>
      </c>
      <c r="E300" s="909"/>
      <c r="F300" s="909">
        <f t="shared" si="151"/>
        <v>0</v>
      </c>
      <c r="G300" s="914"/>
      <c r="H300" s="914"/>
      <c r="I300" s="914"/>
      <c r="J300" s="914"/>
      <c r="K300" s="914"/>
      <c r="L300" s="914"/>
      <c r="M300" s="914"/>
      <c r="N300" s="914"/>
      <c r="O300" s="914"/>
      <c r="P300" s="914"/>
      <c r="Q300" s="914"/>
      <c r="R300" s="888"/>
      <c r="S300" s="913"/>
    </row>
    <row r="301" spans="1:19" ht="20.25" hidden="1">
      <c r="A301" s="888"/>
      <c r="B301" s="242"/>
      <c r="C301" s="897"/>
      <c r="D301" s="905" t="s">
        <v>1069</v>
      </c>
      <c r="E301" s="909"/>
      <c r="F301" s="909"/>
      <c r="G301" s="914"/>
      <c r="H301" s="914"/>
      <c r="I301" s="914"/>
      <c r="J301" s="914"/>
      <c r="K301" s="914"/>
      <c r="L301" s="914"/>
      <c r="M301" s="914"/>
      <c r="N301" s="914"/>
      <c r="O301" s="914"/>
      <c r="P301" s="914"/>
      <c r="Q301" s="914"/>
      <c r="R301" s="888"/>
      <c r="S301" s="913"/>
    </row>
    <row r="302" spans="1:19" ht="20.25">
      <c r="A302" s="888"/>
      <c r="B302" s="242"/>
      <c r="C302" s="897"/>
      <c r="D302" s="905" t="s">
        <v>1072</v>
      </c>
      <c r="E302" s="909">
        <f>E300</f>
        <v>0</v>
      </c>
      <c r="F302" s="909">
        <f aca="true" t="shared" si="199" ref="F302">G302+H302+I302+J302+K302+L302+M302+N302+O302+P302+Q302+R302+S302</f>
        <v>0</v>
      </c>
      <c r="G302" s="913">
        <f>G300</f>
        <v>0</v>
      </c>
      <c r="H302" s="913">
        <f aca="true" t="shared" si="200" ref="H302:S302">H300</f>
        <v>0</v>
      </c>
      <c r="I302" s="913">
        <f t="shared" si="200"/>
        <v>0</v>
      </c>
      <c r="J302" s="913">
        <f t="shared" si="200"/>
        <v>0</v>
      </c>
      <c r="K302" s="913">
        <f t="shared" si="200"/>
        <v>0</v>
      </c>
      <c r="L302" s="913">
        <f t="shared" si="200"/>
        <v>0</v>
      </c>
      <c r="M302" s="913">
        <f t="shared" si="200"/>
        <v>0</v>
      </c>
      <c r="N302" s="913">
        <f t="shared" si="200"/>
        <v>0</v>
      </c>
      <c r="O302" s="913">
        <f t="shared" si="200"/>
        <v>0</v>
      </c>
      <c r="P302" s="913">
        <f t="shared" si="200"/>
        <v>0</v>
      </c>
      <c r="Q302" s="913">
        <f t="shared" si="200"/>
        <v>0</v>
      </c>
      <c r="R302" s="913">
        <f t="shared" si="200"/>
        <v>0</v>
      </c>
      <c r="S302" s="913">
        <f t="shared" si="200"/>
        <v>0</v>
      </c>
    </row>
    <row r="303" spans="1:19" ht="20.25" hidden="1">
      <c r="A303" s="888"/>
      <c r="B303" s="242"/>
      <c r="C303" s="897"/>
      <c r="D303" s="905" t="s">
        <v>1073</v>
      </c>
      <c r="E303" s="913">
        <f aca="true" t="shared" si="201" ref="E303:F303">E302-E301</f>
        <v>0</v>
      </c>
      <c r="F303" s="913">
        <f t="shared" si="201"/>
        <v>0</v>
      </c>
      <c r="G303" s="913">
        <f>G302-G301</f>
        <v>0</v>
      </c>
      <c r="H303" s="913">
        <f aca="true" t="shared" si="202" ref="H303:S303">H302-H301</f>
        <v>0</v>
      </c>
      <c r="I303" s="913">
        <f t="shared" si="202"/>
        <v>0</v>
      </c>
      <c r="J303" s="913">
        <f t="shared" si="202"/>
        <v>0</v>
      </c>
      <c r="K303" s="913">
        <f t="shared" si="202"/>
        <v>0</v>
      </c>
      <c r="L303" s="913">
        <f t="shared" si="202"/>
        <v>0</v>
      </c>
      <c r="M303" s="913">
        <f t="shared" si="202"/>
        <v>0</v>
      </c>
      <c r="N303" s="913">
        <f t="shared" si="202"/>
        <v>0</v>
      </c>
      <c r="O303" s="913">
        <f t="shared" si="202"/>
        <v>0</v>
      </c>
      <c r="P303" s="913">
        <f t="shared" si="202"/>
        <v>0</v>
      </c>
      <c r="Q303" s="913">
        <f t="shared" si="202"/>
        <v>0</v>
      </c>
      <c r="R303" s="913">
        <f t="shared" si="202"/>
        <v>0</v>
      </c>
      <c r="S303" s="913">
        <f t="shared" si="202"/>
        <v>0</v>
      </c>
    </row>
    <row r="304" spans="1:19" ht="48" customHeight="1">
      <c r="A304" s="888" t="s">
        <v>121</v>
      </c>
      <c r="B304" s="242" t="s">
        <v>722</v>
      </c>
      <c r="C304" s="897" t="s">
        <v>721</v>
      </c>
      <c r="D304" s="905" t="s">
        <v>4</v>
      </c>
      <c r="E304" s="909">
        <v>0</v>
      </c>
      <c r="F304" s="909">
        <f t="shared" si="151"/>
        <v>0</v>
      </c>
      <c r="G304" s="914"/>
      <c r="H304" s="914"/>
      <c r="I304" s="914"/>
      <c r="J304" s="914"/>
      <c r="K304" s="914"/>
      <c r="L304" s="914"/>
      <c r="M304" s="914"/>
      <c r="N304" s="914"/>
      <c r="O304" s="914"/>
      <c r="P304" s="914"/>
      <c r="Q304" s="914"/>
      <c r="R304" s="888"/>
      <c r="S304" s="913"/>
    </row>
    <row r="305" spans="1:19" ht="20.25" hidden="1">
      <c r="A305" s="888"/>
      <c r="B305" s="242"/>
      <c r="C305" s="897"/>
      <c r="D305" s="905" t="s">
        <v>859</v>
      </c>
      <c r="E305" s="909">
        <v>2107748</v>
      </c>
      <c r="F305" s="909">
        <f t="shared" si="151"/>
        <v>0</v>
      </c>
      <c r="G305" s="914"/>
      <c r="H305" s="914"/>
      <c r="I305" s="914"/>
      <c r="J305" s="914"/>
      <c r="K305" s="914"/>
      <c r="L305" s="914"/>
      <c r="M305" s="914"/>
      <c r="N305" s="914"/>
      <c r="O305" s="914"/>
      <c r="P305" s="914"/>
      <c r="Q305" s="914"/>
      <c r="R305" s="888"/>
      <c r="S305" s="913"/>
    </row>
    <row r="306" spans="1:19" ht="20.25">
      <c r="A306" s="888"/>
      <c r="B306" s="242"/>
      <c r="C306" s="897"/>
      <c r="D306" s="905" t="s">
        <v>861</v>
      </c>
      <c r="E306" s="909">
        <f>E305+41204</f>
        <v>2148952</v>
      </c>
      <c r="F306" s="909">
        <f t="shared" si="151"/>
        <v>0</v>
      </c>
      <c r="G306" s="914"/>
      <c r="H306" s="914"/>
      <c r="I306" s="914"/>
      <c r="J306" s="914"/>
      <c r="K306" s="914"/>
      <c r="L306" s="914"/>
      <c r="M306" s="914"/>
      <c r="N306" s="914"/>
      <c r="O306" s="914"/>
      <c r="P306" s="914"/>
      <c r="Q306" s="914"/>
      <c r="R306" s="888"/>
      <c r="S306" s="913"/>
    </row>
    <row r="307" spans="1:19" ht="20.25" hidden="1">
      <c r="A307" s="888"/>
      <c r="B307" s="242"/>
      <c r="C307" s="897"/>
      <c r="D307" s="905" t="s">
        <v>1069</v>
      </c>
      <c r="E307" s="909">
        <v>1967390</v>
      </c>
      <c r="F307" s="909">
        <f t="shared" si="151"/>
        <v>0</v>
      </c>
      <c r="G307" s="914"/>
      <c r="H307" s="914"/>
      <c r="I307" s="914"/>
      <c r="J307" s="914"/>
      <c r="K307" s="914"/>
      <c r="L307" s="914"/>
      <c r="M307" s="914"/>
      <c r="N307" s="914"/>
      <c r="O307" s="914"/>
      <c r="P307" s="914"/>
      <c r="Q307" s="914"/>
      <c r="R307" s="888"/>
      <c r="S307" s="913"/>
    </row>
    <row r="308" spans="1:19" ht="20.25">
      <c r="A308" s="888"/>
      <c r="B308" s="242"/>
      <c r="C308" s="897"/>
      <c r="D308" s="905" t="s">
        <v>1072</v>
      </c>
      <c r="E308" s="909">
        <f>E306+1881-5106+44-148624-7652-481-20487+162+1-15</f>
        <v>1968675</v>
      </c>
      <c r="F308" s="909">
        <f t="shared" si="151"/>
        <v>0</v>
      </c>
      <c r="G308" s="913">
        <f>G306</f>
        <v>0</v>
      </c>
      <c r="H308" s="913">
        <f aca="true" t="shared" si="203" ref="H308:S308">H306</f>
        <v>0</v>
      </c>
      <c r="I308" s="913">
        <f t="shared" si="203"/>
        <v>0</v>
      </c>
      <c r="J308" s="913">
        <f t="shared" si="203"/>
        <v>0</v>
      </c>
      <c r="K308" s="913">
        <f t="shared" si="203"/>
        <v>0</v>
      </c>
      <c r="L308" s="913">
        <f t="shared" si="203"/>
        <v>0</v>
      </c>
      <c r="M308" s="913">
        <f t="shared" si="203"/>
        <v>0</v>
      </c>
      <c r="N308" s="913">
        <f t="shared" si="203"/>
        <v>0</v>
      </c>
      <c r="O308" s="913">
        <f t="shared" si="203"/>
        <v>0</v>
      </c>
      <c r="P308" s="913">
        <f t="shared" si="203"/>
        <v>0</v>
      </c>
      <c r="Q308" s="913">
        <f t="shared" si="203"/>
        <v>0</v>
      </c>
      <c r="R308" s="913">
        <f t="shared" si="203"/>
        <v>0</v>
      </c>
      <c r="S308" s="913">
        <f t="shared" si="203"/>
        <v>0</v>
      </c>
    </row>
    <row r="309" spans="1:19" ht="20.25" hidden="1">
      <c r="A309" s="888"/>
      <c r="B309" s="242"/>
      <c r="C309" s="897"/>
      <c r="D309" s="905" t="s">
        <v>1073</v>
      </c>
      <c r="E309" s="913">
        <f aca="true" t="shared" si="204" ref="E309:F309">E308-E307</f>
        <v>1285</v>
      </c>
      <c r="F309" s="913">
        <f t="shared" si="204"/>
        <v>0</v>
      </c>
      <c r="G309" s="913">
        <f>G308-G307</f>
        <v>0</v>
      </c>
      <c r="H309" s="913">
        <f aca="true" t="shared" si="205" ref="H309:S309">H308-H307</f>
        <v>0</v>
      </c>
      <c r="I309" s="913">
        <f t="shared" si="205"/>
        <v>0</v>
      </c>
      <c r="J309" s="913">
        <f t="shared" si="205"/>
        <v>0</v>
      </c>
      <c r="K309" s="913">
        <f t="shared" si="205"/>
        <v>0</v>
      </c>
      <c r="L309" s="913">
        <f t="shared" si="205"/>
        <v>0</v>
      </c>
      <c r="M309" s="913">
        <f t="shared" si="205"/>
        <v>0</v>
      </c>
      <c r="N309" s="913">
        <f t="shared" si="205"/>
        <v>0</v>
      </c>
      <c r="O309" s="913">
        <f t="shared" si="205"/>
        <v>0</v>
      </c>
      <c r="P309" s="913">
        <f t="shared" si="205"/>
        <v>0</v>
      </c>
      <c r="Q309" s="913">
        <f t="shared" si="205"/>
        <v>0</v>
      </c>
      <c r="R309" s="913">
        <f t="shared" si="205"/>
        <v>0</v>
      </c>
      <c r="S309" s="913">
        <f t="shared" si="205"/>
        <v>0</v>
      </c>
    </row>
    <row r="310" spans="1:19" ht="27" customHeight="1">
      <c r="A310" s="888" t="s">
        <v>121</v>
      </c>
      <c r="B310" s="242" t="s">
        <v>720</v>
      </c>
      <c r="C310" s="897" t="s">
        <v>719</v>
      </c>
      <c r="D310" s="905" t="s">
        <v>4</v>
      </c>
      <c r="E310" s="909"/>
      <c r="F310" s="909">
        <f t="shared" si="151"/>
        <v>0</v>
      </c>
      <c r="G310" s="914"/>
      <c r="H310" s="914"/>
      <c r="I310" s="914"/>
      <c r="J310" s="914"/>
      <c r="K310" s="914"/>
      <c r="L310" s="914"/>
      <c r="M310" s="914"/>
      <c r="N310" s="914"/>
      <c r="O310" s="914"/>
      <c r="P310" s="914"/>
      <c r="Q310" s="914"/>
      <c r="R310" s="888"/>
      <c r="S310" s="913"/>
    </row>
    <row r="311" spans="1:19" ht="20.25">
      <c r="A311" s="888"/>
      <c r="B311" s="242"/>
      <c r="C311" s="897"/>
      <c r="D311" s="905" t="s">
        <v>861</v>
      </c>
      <c r="E311" s="909"/>
      <c r="F311" s="909">
        <f t="shared" si="151"/>
        <v>0</v>
      </c>
      <c r="G311" s="914"/>
      <c r="H311" s="914"/>
      <c r="I311" s="914"/>
      <c r="J311" s="914">
        <v>0</v>
      </c>
      <c r="K311" s="914"/>
      <c r="L311" s="914"/>
      <c r="M311" s="914"/>
      <c r="N311" s="914"/>
      <c r="O311" s="914"/>
      <c r="P311" s="914"/>
      <c r="Q311" s="914"/>
      <c r="R311" s="888"/>
      <c r="S311" s="913"/>
    </row>
    <row r="312" spans="1:19" ht="20.25" hidden="1">
      <c r="A312" s="888"/>
      <c r="B312" s="242"/>
      <c r="C312" s="897"/>
      <c r="D312" s="905" t="s">
        <v>1069</v>
      </c>
      <c r="E312" s="909"/>
      <c r="F312" s="909"/>
      <c r="G312" s="914"/>
      <c r="H312" s="914"/>
      <c r="I312" s="914"/>
      <c r="J312" s="914"/>
      <c r="K312" s="914"/>
      <c r="L312" s="914"/>
      <c r="M312" s="914"/>
      <c r="N312" s="914"/>
      <c r="O312" s="914"/>
      <c r="P312" s="914"/>
      <c r="Q312" s="914"/>
      <c r="R312" s="888"/>
      <c r="S312" s="913"/>
    </row>
    <row r="313" spans="1:19" ht="20.25">
      <c r="A313" s="888"/>
      <c r="B313" s="242"/>
      <c r="C313" s="897"/>
      <c r="D313" s="905" t="s">
        <v>1072</v>
      </c>
      <c r="E313" s="909">
        <f>E311</f>
        <v>0</v>
      </c>
      <c r="F313" s="909">
        <f aca="true" t="shared" si="206" ref="F313">G313+H313+I313+J313+K313+L313+M313+N313+O313+P313+Q313+R313+S313</f>
        <v>0</v>
      </c>
      <c r="G313" s="913">
        <f>G311</f>
        <v>0</v>
      </c>
      <c r="H313" s="913">
        <f aca="true" t="shared" si="207" ref="H313:S313">H311</f>
        <v>0</v>
      </c>
      <c r="I313" s="913">
        <f t="shared" si="207"/>
        <v>0</v>
      </c>
      <c r="J313" s="913">
        <f t="shared" si="207"/>
        <v>0</v>
      </c>
      <c r="K313" s="913">
        <f t="shared" si="207"/>
        <v>0</v>
      </c>
      <c r="L313" s="913">
        <f t="shared" si="207"/>
        <v>0</v>
      </c>
      <c r="M313" s="913">
        <f t="shared" si="207"/>
        <v>0</v>
      </c>
      <c r="N313" s="913">
        <f t="shared" si="207"/>
        <v>0</v>
      </c>
      <c r="O313" s="913">
        <f t="shared" si="207"/>
        <v>0</v>
      </c>
      <c r="P313" s="913">
        <f t="shared" si="207"/>
        <v>0</v>
      </c>
      <c r="Q313" s="913">
        <f t="shared" si="207"/>
        <v>0</v>
      </c>
      <c r="R313" s="913">
        <f t="shared" si="207"/>
        <v>0</v>
      </c>
      <c r="S313" s="913">
        <f t="shared" si="207"/>
        <v>0</v>
      </c>
    </row>
    <row r="314" spans="1:19" ht="20.25" hidden="1">
      <c r="A314" s="888"/>
      <c r="B314" s="242"/>
      <c r="C314" s="897"/>
      <c r="D314" s="905" t="s">
        <v>1073</v>
      </c>
      <c r="E314" s="913">
        <f aca="true" t="shared" si="208" ref="E314:F314">E313-E312</f>
        <v>0</v>
      </c>
      <c r="F314" s="913">
        <f t="shared" si="208"/>
        <v>0</v>
      </c>
      <c r="G314" s="913">
        <f>G313-G312</f>
        <v>0</v>
      </c>
      <c r="H314" s="913">
        <f aca="true" t="shared" si="209" ref="H314:S314">H313-H312</f>
        <v>0</v>
      </c>
      <c r="I314" s="913">
        <f t="shared" si="209"/>
        <v>0</v>
      </c>
      <c r="J314" s="913">
        <f t="shared" si="209"/>
        <v>0</v>
      </c>
      <c r="K314" s="913">
        <f t="shared" si="209"/>
        <v>0</v>
      </c>
      <c r="L314" s="913">
        <f t="shared" si="209"/>
        <v>0</v>
      </c>
      <c r="M314" s="913">
        <f t="shared" si="209"/>
        <v>0</v>
      </c>
      <c r="N314" s="913">
        <f t="shared" si="209"/>
        <v>0</v>
      </c>
      <c r="O314" s="913">
        <f t="shared" si="209"/>
        <v>0</v>
      </c>
      <c r="P314" s="913">
        <f t="shared" si="209"/>
        <v>0</v>
      </c>
      <c r="Q314" s="913">
        <f t="shared" si="209"/>
        <v>0</v>
      </c>
      <c r="R314" s="913">
        <f t="shared" si="209"/>
        <v>0</v>
      </c>
      <c r="S314" s="913">
        <f t="shared" si="209"/>
        <v>0</v>
      </c>
    </row>
    <row r="315" spans="1:19" ht="20.25">
      <c r="A315" s="888" t="s">
        <v>121</v>
      </c>
      <c r="B315" s="242" t="s">
        <v>718</v>
      </c>
      <c r="C315" s="897" t="s">
        <v>717</v>
      </c>
      <c r="D315" s="905" t="s">
        <v>4</v>
      </c>
      <c r="E315" s="909"/>
      <c r="F315" s="909">
        <f t="shared" si="151"/>
        <v>0</v>
      </c>
      <c r="G315" s="914"/>
      <c r="H315" s="914"/>
      <c r="I315" s="914"/>
      <c r="J315" s="914"/>
      <c r="K315" s="914"/>
      <c r="L315" s="914"/>
      <c r="M315" s="914"/>
      <c r="N315" s="914"/>
      <c r="O315" s="914"/>
      <c r="P315" s="914"/>
      <c r="Q315" s="914"/>
      <c r="R315" s="888"/>
      <c r="S315" s="913"/>
    </row>
    <row r="316" spans="1:19" ht="20.25">
      <c r="A316" s="888"/>
      <c r="B316" s="242"/>
      <c r="C316" s="897"/>
      <c r="D316" s="905" t="s">
        <v>861</v>
      </c>
      <c r="E316" s="909"/>
      <c r="F316" s="909">
        <f t="shared" si="151"/>
        <v>0</v>
      </c>
      <c r="G316" s="914"/>
      <c r="H316" s="914"/>
      <c r="I316" s="914"/>
      <c r="J316" s="914">
        <v>0</v>
      </c>
      <c r="K316" s="914"/>
      <c r="L316" s="914"/>
      <c r="M316" s="914"/>
      <c r="N316" s="914"/>
      <c r="O316" s="914"/>
      <c r="P316" s="914"/>
      <c r="Q316" s="914"/>
      <c r="R316" s="888"/>
      <c r="S316" s="913"/>
    </row>
    <row r="317" spans="1:19" ht="20.25" hidden="1">
      <c r="A317" s="888"/>
      <c r="B317" s="242"/>
      <c r="C317" s="897"/>
      <c r="D317" s="905" t="s">
        <v>1069</v>
      </c>
      <c r="E317" s="909"/>
      <c r="F317" s="909"/>
      <c r="G317" s="914"/>
      <c r="H317" s="914"/>
      <c r="I317" s="914"/>
      <c r="J317" s="914"/>
      <c r="K317" s="914"/>
      <c r="L317" s="914"/>
      <c r="M317" s="914"/>
      <c r="N317" s="914"/>
      <c r="O317" s="914"/>
      <c r="P317" s="914"/>
      <c r="Q317" s="914"/>
      <c r="R317" s="888"/>
      <c r="S317" s="913"/>
    </row>
    <row r="318" spans="1:19" ht="20.25">
      <c r="A318" s="888"/>
      <c r="B318" s="242"/>
      <c r="C318" s="897"/>
      <c r="D318" s="905" t="s">
        <v>1072</v>
      </c>
      <c r="E318" s="909">
        <f aca="true" t="shared" si="210" ref="E318:S318">E316</f>
        <v>0</v>
      </c>
      <c r="F318" s="909">
        <f t="shared" si="210"/>
        <v>0</v>
      </c>
      <c r="G318" s="913">
        <f t="shared" si="210"/>
        <v>0</v>
      </c>
      <c r="H318" s="913">
        <f t="shared" si="210"/>
        <v>0</v>
      </c>
      <c r="I318" s="913">
        <f t="shared" si="210"/>
        <v>0</v>
      </c>
      <c r="J318" s="913">
        <f t="shared" si="210"/>
        <v>0</v>
      </c>
      <c r="K318" s="913">
        <f t="shared" si="210"/>
        <v>0</v>
      </c>
      <c r="L318" s="913">
        <f t="shared" si="210"/>
        <v>0</v>
      </c>
      <c r="M318" s="913">
        <f t="shared" si="210"/>
        <v>0</v>
      </c>
      <c r="N318" s="913">
        <f t="shared" si="210"/>
        <v>0</v>
      </c>
      <c r="O318" s="913">
        <f t="shared" si="210"/>
        <v>0</v>
      </c>
      <c r="P318" s="913">
        <f t="shared" si="210"/>
        <v>0</v>
      </c>
      <c r="Q318" s="913">
        <f t="shared" si="210"/>
        <v>0</v>
      </c>
      <c r="R318" s="888">
        <f t="shared" si="210"/>
        <v>0</v>
      </c>
      <c r="S318" s="913">
        <f t="shared" si="210"/>
        <v>0</v>
      </c>
    </row>
    <row r="319" spans="1:19" ht="20.25" hidden="1">
      <c r="A319" s="888"/>
      <c r="B319" s="242"/>
      <c r="C319" s="897"/>
      <c r="D319" s="905" t="s">
        <v>1073</v>
      </c>
      <c r="E319" s="913">
        <f aca="true" t="shared" si="211" ref="E319:F319">E318-E317</f>
        <v>0</v>
      </c>
      <c r="F319" s="913">
        <f t="shared" si="211"/>
        <v>0</v>
      </c>
      <c r="G319" s="913">
        <f>G318-G317</f>
        <v>0</v>
      </c>
      <c r="H319" s="913">
        <f aca="true" t="shared" si="212" ref="H319:S319">H318-H317</f>
        <v>0</v>
      </c>
      <c r="I319" s="913">
        <f t="shared" si="212"/>
        <v>0</v>
      </c>
      <c r="J319" s="913">
        <f t="shared" si="212"/>
        <v>0</v>
      </c>
      <c r="K319" s="913">
        <f t="shared" si="212"/>
        <v>0</v>
      </c>
      <c r="L319" s="913">
        <f t="shared" si="212"/>
        <v>0</v>
      </c>
      <c r="M319" s="913">
        <f t="shared" si="212"/>
        <v>0</v>
      </c>
      <c r="N319" s="913">
        <f t="shared" si="212"/>
        <v>0</v>
      </c>
      <c r="O319" s="913">
        <f t="shared" si="212"/>
        <v>0</v>
      </c>
      <c r="P319" s="913">
        <f t="shared" si="212"/>
        <v>0</v>
      </c>
      <c r="Q319" s="913">
        <f t="shared" si="212"/>
        <v>0</v>
      </c>
      <c r="R319" s="913">
        <f t="shared" si="212"/>
        <v>0</v>
      </c>
      <c r="S319" s="913">
        <f t="shared" si="212"/>
        <v>0</v>
      </c>
    </row>
    <row r="320" spans="1:19" ht="20.25">
      <c r="A320" s="888" t="s">
        <v>121</v>
      </c>
      <c r="B320" s="242" t="s">
        <v>716</v>
      </c>
      <c r="C320" s="897" t="s">
        <v>715</v>
      </c>
      <c r="D320" s="905" t="s">
        <v>4</v>
      </c>
      <c r="E320" s="909"/>
      <c r="F320" s="909">
        <f t="shared" si="151"/>
        <v>0</v>
      </c>
      <c r="G320" s="914"/>
      <c r="H320" s="914"/>
      <c r="I320" s="914"/>
      <c r="J320" s="914"/>
      <c r="K320" s="914"/>
      <c r="L320" s="914"/>
      <c r="M320" s="914"/>
      <c r="N320" s="914"/>
      <c r="O320" s="914"/>
      <c r="P320" s="914"/>
      <c r="Q320" s="914"/>
      <c r="R320" s="888"/>
      <c r="S320" s="913"/>
    </row>
    <row r="321" spans="1:19" ht="20.25">
      <c r="A321" s="888"/>
      <c r="B321" s="242"/>
      <c r="C321" s="897"/>
      <c r="D321" s="905" t="s">
        <v>861</v>
      </c>
      <c r="E321" s="909"/>
      <c r="F321" s="909">
        <f t="shared" si="151"/>
        <v>0</v>
      </c>
      <c r="G321" s="914"/>
      <c r="H321" s="914"/>
      <c r="I321" s="914"/>
      <c r="J321" s="914">
        <v>0</v>
      </c>
      <c r="K321" s="914"/>
      <c r="L321" s="914"/>
      <c r="M321" s="914"/>
      <c r="N321" s="914"/>
      <c r="O321" s="914"/>
      <c r="P321" s="914"/>
      <c r="Q321" s="914"/>
      <c r="R321" s="888"/>
      <c r="S321" s="913"/>
    </row>
    <row r="322" spans="1:19" ht="20.25" hidden="1">
      <c r="A322" s="888"/>
      <c r="B322" s="242"/>
      <c r="C322" s="897"/>
      <c r="D322" s="905" t="s">
        <v>1069</v>
      </c>
      <c r="E322" s="909"/>
      <c r="F322" s="909"/>
      <c r="G322" s="914"/>
      <c r="H322" s="914"/>
      <c r="I322" s="914"/>
      <c r="J322" s="914"/>
      <c r="K322" s="914"/>
      <c r="L322" s="914"/>
      <c r="M322" s="914"/>
      <c r="N322" s="914"/>
      <c r="O322" s="914"/>
      <c r="P322" s="914"/>
      <c r="Q322" s="914"/>
      <c r="R322" s="888"/>
      <c r="S322" s="913"/>
    </row>
    <row r="323" spans="1:19" ht="20.25">
      <c r="A323" s="888"/>
      <c r="B323" s="242"/>
      <c r="C323" s="897"/>
      <c r="D323" s="905" t="s">
        <v>1072</v>
      </c>
      <c r="E323" s="909">
        <f aca="true" t="shared" si="213" ref="E323:S323">E321</f>
        <v>0</v>
      </c>
      <c r="F323" s="909">
        <f t="shared" si="213"/>
        <v>0</v>
      </c>
      <c r="G323" s="913">
        <f t="shared" si="213"/>
        <v>0</v>
      </c>
      <c r="H323" s="913">
        <f t="shared" si="213"/>
        <v>0</v>
      </c>
      <c r="I323" s="913">
        <f t="shared" si="213"/>
        <v>0</v>
      </c>
      <c r="J323" s="913">
        <f t="shared" si="213"/>
        <v>0</v>
      </c>
      <c r="K323" s="913">
        <f t="shared" si="213"/>
        <v>0</v>
      </c>
      <c r="L323" s="913">
        <f t="shared" si="213"/>
        <v>0</v>
      </c>
      <c r="M323" s="913">
        <f t="shared" si="213"/>
        <v>0</v>
      </c>
      <c r="N323" s="913">
        <f t="shared" si="213"/>
        <v>0</v>
      </c>
      <c r="O323" s="913">
        <f t="shared" si="213"/>
        <v>0</v>
      </c>
      <c r="P323" s="913">
        <f t="shared" si="213"/>
        <v>0</v>
      </c>
      <c r="Q323" s="913">
        <f t="shared" si="213"/>
        <v>0</v>
      </c>
      <c r="R323" s="888">
        <f t="shared" si="213"/>
        <v>0</v>
      </c>
      <c r="S323" s="913">
        <f t="shared" si="213"/>
        <v>0</v>
      </c>
    </row>
    <row r="324" spans="1:19" ht="20.25" hidden="1">
      <c r="A324" s="888"/>
      <c r="B324" s="242"/>
      <c r="C324" s="897"/>
      <c r="D324" s="905" t="s">
        <v>1073</v>
      </c>
      <c r="E324" s="913">
        <f aca="true" t="shared" si="214" ref="E324:F324">E323-E322</f>
        <v>0</v>
      </c>
      <c r="F324" s="913">
        <f t="shared" si="214"/>
        <v>0</v>
      </c>
      <c r="G324" s="913">
        <f>G323-G322</f>
        <v>0</v>
      </c>
      <c r="H324" s="913">
        <f aca="true" t="shared" si="215" ref="H324:S324">H323-H322</f>
        <v>0</v>
      </c>
      <c r="I324" s="913">
        <f t="shared" si="215"/>
        <v>0</v>
      </c>
      <c r="J324" s="913">
        <f t="shared" si="215"/>
        <v>0</v>
      </c>
      <c r="K324" s="913">
        <f t="shared" si="215"/>
        <v>0</v>
      </c>
      <c r="L324" s="913">
        <f t="shared" si="215"/>
        <v>0</v>
      </c>
      <c r="M324" s="913">
        <f t="shared" si="215"/>
        <v>0</v>
      </c>
      <c r="N324" s="913">
        <f t="shared" si="215"/>
        <v>0</v>
      </c>
      <c r="O324" s="913">
        <f t="shared" si="215"/>
        <v>0</v>
      </c>
      <c r="P324" s="913">
        <f t="shared" si="215"/>
        <v>0</v>
      </c>
      <c r="Q324" s="913">
        <f t="shared" si="215"/>
        <v>0</v>
      </c>
      <c r="R324" s="913">
        <f t="shared" si="215"/>
        <v>0</v>
      </c>
      <c r="S324" s="913">
        <f t="shared" si="215"/>
        <v>0</v>
      </c>
    </row>
    <row r="325" spans="1:19" ht="20.25">
      <c r="A325" s="888" t="s">
        <v>121</v>
      </c>
      <c r="B325" s="242" t="s">
        <v>714</v>
      </c>
      <c r="C325" s="897" t="s">
        <v>713</v>
      </c>
      <c r="D325" s="905" t="s">
        <v>4</v>
      </c>
      <c r="E325" s="909"/>
      <c r="F325" s="909">
        <f t="shared" si="151"/>
        <v>0</v>
      </c>
      <c r="G325" s="914"/>
      <c r="H325" s="914"/>
      <c r="I325" s="914"/>
      <c r="J325" s="914"/>
      <c r="K325" s="914"/>
      <c r="L325" s="914"/>
      <c r="M325" s="914"/>
      <c r="N325" s="914"/>
      <c r="O325" s="914"/>
      <c r="P325" s="914"/>
      <c r="Q325" s="914"/>
      <c r="R325" s="888"/>
      <c r="S325" s="913"/>
    </row>
    <row r="326" spans="1:19" ht="20.25">
      <c r="A326" s="888"/>
      <c r="B326" s="242"/>
      <c r="C326" s="897"/>
      <c r="D326" s="905" t="s">
        <v>861</v>
      </c>
      <c r="E326" s="909"/>
      <c r="F326" s="909">
        <f t="shared" si="151"/>
        <v>0</v>
      </c>
      <c r="G326" s="914"/>
      <c r="H326" s="914"/>
      <c r="I326" s="914"/>
      <c r="J326" s="914">
        <v>0</v>
      </c>
      <c r="K326" s="914"/>
      <c r="L326" s="914"/>
      <c r="M326" s="914"/>
      <c r="N326" s="914"/>
      <c r="O326" s="914"/>
      <c r="P326" s="914"/>
      <c r="Q326" s="914"/>
      <c r="R326" s="888"/>
      <c r="S326" s="913"/>
    </row>
    <row r="327" spans="1:19" ht="20.25" hidden="1">
      <c r="A327" s="888"/>
      <c r="B327" s="242"/>
      <c r="C327" s="897"/>
      <c r="D327" s="905" t="s">
        <v>1069</v>
      </c>
      <c r="E327" s="909"/>
      <c r="F327" s="909"/>
      <c r="G327" s="914"/>
      <c r="H327" s="914"/>
      <c r="I327" s="914"/>
      <c r="J327" s="914"/>
      <c r="K327" s="914"/>
      <c r="L327" s="914"/>
      <c r="M327" s="914"/>
      <c r="N327" s="914"/>
      <c r="O327" s="914"/>
      <c r="P327" s="914"/>
      <c r="Q327" s="914"/>
      <c r="R327" s="888"/>
      <c r="S327" s="913"/>
    </row>
    <row r="328" spans="1:19" ht="20.25">
      <c r="A328" s="888"/>
      <c r="B328" s="242"/>
      <c r="C328" s="897"/>
      <c r="D328" s="905" t="s">
        <v>1072</v>
      </c>
      <c r="E328" s="909">
        <f aca="true" t="shared" si="216" ref="E328:S328">E326</f>
        <v>0</v>
      </c>
      <c r="F328" s="909">
        <f t="shared" si="216"/>
        <v>0</v>
      </c>
      <c r="G328" s="913">
        <f t="shared" si="216"/>
        <v>0</v>
      </c>
      <c r="H328" s="913">
        <f t="shared" si="216"/>
        <v>0</v>
      </c>
      <c r="I328" s="913">
        <f t="shared" si="216"/>
        <v>0</v>
      </c>
      <c r="J328" s="913">
        <f t="shared" si="216"/>
        <v>0</v>
      </c>
      <c r="K328" s="913">
        <f t="shared" si="216"/>
        <v>0</v>
      </c>
      <c r="L328" s="913">
        <f t="shared" si="216"/>
        <v>0</v>
      </c>
      <c r="M328" s="913">
        <f t="shared" si="216"/>
        <v>0</v>
      </c>
      <c r="N328" s="913">
        <f t="shared" si="216"/>
        <v>0</v>
      </c>
      <c r="O328" s="913">
        <f t="shared" si="216"/>
        <v>0</v>
      </c>
      <c r="P328" s="913">
        <f t="shared" si="216"/>
        <v>0</v>
      </c>
      <c r="Q328" s="913">
        <f t="shared" si="216"/>
        <v>0</v>
      </c>
      <c r="R328" s="888">
        <f t="shared" si="216"/>
        <v>0</v>
      </c>
      <c r="S328" s="913">
        <f t="shared" si="216"/>
        <v>0</v>
      </c>
    </row>
    <row r="329" spans="1:19" ht="20.25" hidden="1">
      <c r="A329" s="888"/>
      <c r="B329" s="242"/>
      <c r="C329" s="897"/>
      <c r="D329" s="905" t="s">
        <v>1073</v>
      </c>
      <c r="E329" s="913">
        <f aca="true" t="shared" si="217" ref="E329:F329">E328-E327</f>
        <v>0</v>
      </c>
      <c r="F329" s="913">
        <f t="shared" si="217"/>
        <v>0</v>
      </c>
      <c r="G329" s="913">
        <f>G328-G327</f>
        <v>0</v>
      </c>
      <c r="H329" s="913">
        <f aca="true" t="shared" si="218" ref="H329:S329">H328-H327</f>
        <v>0</v>
      </c>
      <c r="I329" s="913">
        <f t="shared" si="218"/>
        <v>0</v>
      </c>
      <c r="J329" s="913">
        <f t="shared" si="218"/>
        <v>0</v>
      </c>
      <c r="K329" s="913">
        <f t="shared" si="218"/>
        <v>0</v>
      </c>
      <c r="L329" s="913">
        <f t="shared" si="218"/>
        <v>0</v>
      </c>
      <c r="M329" s="913">
        <f t="shared" si="218"/>
        <v>0</v>
      </c>
      <c r="N329" s="913">
        <f t="shared" si="218"/>
        <v>0</v>
      </c>
      <c r="O329" s="913">
        <f t="shared" si="218"/>
        <v>0</v>
      </c>
      <c r="P329" s="913">
        <f t="shared" si="218"/>
        <v>0</v>
      </c>
      <c r="Q329" s="913">
        <f t="shared" si="218"/>
        <v>0</v>
      </c>
      <c r="R329" s="913">
        <f t="shared" si="218"/>
        <v>0</v>
      </c>
      <c r="S329" s="913">
        <f t="shared" si="218"/>
        <v>0</v>
      </c>
    </row>
    <row r="330" spans="1:19" ht="20.25">
      <c r="A330" s="888" t="s">
        <v>121</v>
      </c>
      <c r="B330" s="242" t="s">
        <v>712</v>
      </c>
      <c r="C330" s="897" t="s">
        <v>711</v>
      </c>
      <c r="D330" s="905" t="s">
        <v>4</v>
      </c>
      <c r="E330" s="909"/>
      <c r="F330" s="909">
        <f t="shared" si="151"/>
        <v>0</v>
      </c>
      <c r="G330" s="914"/>
      <c r="H330" s="914"/>
      <c r="I330" s="914"/>
      <c r="J330" s="914"/>
      <c r="K330" s="914"/>
      <c r="L330" s="914"/>
      <c r="M330" s="914"/>
      <c r="N330" s="914"/>
      <c r="O330" s="914"/>
      <c r="P330" s="914"/>
      <c r="Q330" s="914"/>
      <c r="R330" s="888"/>
      <c r="S330" s="913"/>
    </row>
    <row r="331" spans="1:19" ht="20.25" hidden="1">
      <c r="A331" s="888"/>
      <c r="B331" s="242"/>
      <c r="C331" s="897"/>
      <c r="D331" s="905" t="s">
        <v>859</v>
      </c>
      <c r="E331" s="909"/>
      <c r="F331" s="909">
        <f t="shared" si="151"/>
        <v>118772</v>
      </c>
      <c r="G331" s="914"/>
      <c r="H331" s="914"/>
      <c r="I331" s="914"/>
      <c r="J331" s="914">
        <v>118772</v>
      </c>
      <c r="K331" s="914"/>
      <c r="L331" s="914"/>
      <c r="M331" s="914"/>
      <c r="N331" s="914"/>
      <c r="O331" s="914"/>
      <c r="P331" s="914"/>
      <c r="Q331" s="914"/>
      <c r="R331" s="888"/>
      <c r="S331" s="913"/>
    </row>
    <row r="332" spans="1:19" ht="20.25">
      <c r="A332" s="888"/>
      <c r="B332" s="242"/>
      <c r="C332" s="897"/>
      <c r="D332" s="905" t="s">
        <v>861</v>
      </c>
      <c r="E332" s="909"/>
      <c r="F332" s="909">
        <f t="shared" si="151"/>
        <v>0</v>
      </c>
      <c r="G332" s="914"/>
      <c r="H332" s="914"/>
      <c r="I332" s="914"/>
      <c r="J332" s="914">
        <v>0</v>
      </c>
      <c r="K332" s="914"/>
      <c r="L332" s="914"/>
      <c r="M332" s="914"/>
      <c r="N332" s="914"/>
      <c r="O332" s="914"/>
      <c r="P332" s="914"/>
      <c r="Q332" s="914"/>
      <c r="R332" s="888"/>
      <c r="S332" s="913"/>
    </row>
    <row r="333" spans="1:19" ht="20.25" hidden="1">
      <c r="A333" s="888"/>
      <c r="B333" s="242"/>
      <c r="C333" s="897"/>
      <c r="D333" s="905" t="s">
        <v>1069</v>
      </c>
      <c r="E333" s="909"/>
      <c r="F333" s="909"/>
      <c r="G333" s="914"/>
      <c r="H333" s="914"/>
      <c r="I333" s="914"/>
      <c r="J333" s="914"/>
      <c r="K333" s="914"/>
      <c r="L333" s="914"/>
      <c r="M333" s="914"/>
      <c r="N333" s="914"/>
      <c r="O333" s="914"/>
      <c r="P333" s="914"/>
      <c r="Q333" s="914"/>
      <c r="R333" s="888"/>
      <c r="S333" s="913"/>
    </row>
    <row r="334" spans="1:19" ht="20.25">
      <c r="A334" s="888"/>
      <c r="B334" s="242"/>
      <c r="C334" s="897"/>
      <c r="D334" s="905" t="s">
        <v>1072</v>
      </c>
      <c r="E334" s="909">
        <f>E332</f>
        <v>0</v>
      </c>
      <c r="F334" s="909">
        <f aca="true" t="shared" si="219" ref="F334">G334+H334+I334+J334+K334+L334+M334+N334+O334+P334+Q334+R334+S334</f>
        <v>0</v>
      </c>
      <c r="G334" s="913">
        <f>G332</f>
        <v>0</v>
      </c>
      <c r="H334" s="913">
        <f aca="true" t="shared" si="220" ref="H334:S334">H332</f>
        <v>0</v>
      </c>
      <c r="I334" s="913">
        <f t="shared" si="220"/>
        <v>0</v>
      </c>
      <c r="J334" s="913">
        <f t="shared" si="220"/>
        <v>0</v>
      </c>
      <c r="K334" s="913">
        <f t="shared" si="220"/>
        <v>0</v>
      </c>
      <c r="L334" s="913">
        <f t="shared" si="220"/>
        <v>0</v>
      </c>
      <c r="M334" s="913">
        <f t="shared" si="220"/>
        <v>0</v>
      </c>
      <c r="N334" s="913">
        <f t="shared" si="220"/>
        <v>0</v>
      </c>
      <c r="O334" s="913">
        <f t="shared" si="220"/>
        <v>0</v>
      </c>
      <c r="P334" s="913">
        <f t="shared" si="220"/>
        <v>0</v>
      </c>
      <c r="Q334" s="913">
        <f t="shared" si="220"/>
        <v>0</v>
      </c>
      <c r="R334" s="913">
        <f t="shared" si="220"/>
        <v>0</v>
      </c>
      <c r="S334" s="913">
        <f t="shared" si="220"/>
        <v>0</v>
      </c>
    </row>
    <row r="335" spans="1:19" ht="20.25" hidden="1">
      <c r="A335" s="888"/>
      <c r="B335" s="242"/>
      <c r="C335" s="897"/>
      <c r="D335" s="905" t="s">
        <v>1073</v>
      </c>
      <c r="E335" s="913">
        <f aca="true" t="shared" si="221" ref="E335:F335">E334-E333</f>
        <v>0</v>
      </c>
      <c r="F335" s="913">
        <f t="shared" si="221"/>
        <v>0</v>
      </c>
      <c r="G335" s="913">
        <f>G334-G333</f>
        <v>0</v>
      </c>
      <c r="H335" s="913">
        <f aca="true" t="shared" si="222" ref="H335:S335">H334-H333</f>
        <v>0</v>
      </c>
      <c r="I335" s="913">
        <f t="shared" si="222"/>
        <v>0</v>
      </c>
      <c r="J335" s="913">
        <f t="shared" si="222"/>
        <v>0</v>
      </c>
      <c r="K335" s="913">
        <f t="shared" si="222"/>
        <v>0</v>
      </c>
      <c r="L335" s="913">
        <f t="shared" si="222"/>
        <v>0</v>
      </c>
      <c r="M335" s="913">
        <f t="shared" si="222"/>
        <v>0</v>
      </c>
      <c r="N335" s="913">
        <f t="shared" si="222"/>
        <v>0</v>
      </c>
      <c r="O335" s="913">
        <f t="shared" si="222"/>
        <v>0</v>
      </c>
      <c r="P335" s="913">
        <f t="shared" si="222"/>
        <v>0</v>
      </c>
      <c r="Q335" s="913">
        <f t="shared" si="222"/>
        <v>0</v>
      </c>
      <c r="R335" s="913">
        <f t="shared" si="222"/>
        <v>0</v>
      </c>
      <c r="S335" s="913">
        <f t="shared" si="222"/>
        <v>0</v>
      </c>
    </row>
    <row r="336" spans="1:19" ht="20.25">
      <c r="A336" s="888" t="s">
        <v>121</v>
      </c>
      <c r="B336" s="242" t="s">
        <v>710</v>
      </c>
      <c r="C336" s="897" t="s">
        <v>846</v>
      </c>
      <c r="D336" s="905" t="s">
        <v>4</v>
      </c>
      <c r="E336" s="909"/>
      <c r="F336" s="909">
        <f t="shared" si="151"/>
        <v>0</v>
      </c>
      <c r="G336" s="914"/>
      <c r="H336" s="914"/>
      <c r="I336" s="914"/>
      <c r="J336" s="914"/>
      <c r="K336" s="914"/>
      <c r="L336" s="914"/>
      <c r="M336" s="914"/>
      <c r="N336" s="914"/>
      <c r="O336" s="914"/>
      <c r="P336" s="914"/>
      <c r="Q336" s="914"/>
      <c r="R336" s="888"/>
      <c r="S336" s="913"/>
    </row>
    <row r="337" spans="1:19" ht="20.25" hidden="1">
      <c r="A337" s="888"/>
      <c r="B337" s="242"/>
      <c r="C337" s="897"/>
      <c r="D337" s="905" t="s">
        <v>859</v>
      </c>
      <c r="E337" s="909"/>
      <c r="F337" s="909">
        <f t="shared" si="151"/>
        <v>2218</v>
      </c>
      <c r="G337" s="914"/>
      <c r="H337" s="914"/>
      <c r="I337" s="914"/>
      <c r="J337" s="914">
        <v>2218</v>
      </c>
      <c r="K337" s="914"/>
      <c r="L337" s="914"/>
      <c r="M337" s="914"/>
      <c r="N337" s="914"/>
      <c r="O337" s="914"/>
      <c r="P337" s="914"/>
      <c r="Q337" s="914"/>
      <c r="R337" s="888"/>
      <c r="S337" s="913"/>
    </row>
    <row r="338" spans="1:19" ht="20.25">
      <c r="A338" s="888"/>
      <c r="B338" s="242"/>
      <c r="C338" s="897"/>
      <c r="D338" s="905" t="s">
        <v>861</v>
      </c>
      <c r="E338" s="909"/>
      <c r="F338" s="909">
        <f t="shared" si="151"/>
        <v>0</v>
      </c>
      <c r="G338" s="914"/>
      <c r="H338" s="914"/>
      <c r="I338" s="914"/>
      <c r="J338" s="914">
        <v>0</v>
      </c>
      <c r="K338" s="914"/>
      <c r="L338" s="914"/>
      <c r="M338" s="914"/>
      <c r="N338" s="914"/>
      <c r="O338" s="914"/>
      <c r="P338" s="914"/>
      <c r="Q338" s="914"/>
      <c r="R338" s="888"/>
      <c r="S338" s="913"/>
    </row>
    <row r="339" spans="1:19" ht="20.25" hidden="1">
      <c r="A339" s="888"/>
      <c r="B339" s="242"/>
      <c r="C339" s="897"/>
      <c r="D339" s="905" t="s">
        <v>1069</v>
      </c>
      <c r="E339" s="909"/>
      <c r="F339" s="909"/>
      <c r="G339" s="914"/>
      <c r="H339" s="914"/>
      <c r="I339" s="914"/>
      <c r="J339" s="914"/>
      <c r="K339" s="914"/>
      <c r="L339" s="914"/>
      <c r="M339" s="914"/>
      <c r="N339" s="914"/>
      <c r="O339" s="914"/>
      <c r="P339" s="914"/>
      <c r="Q339" s="914"/>
      <c r="R339" s="888"/>
      <c r="S339" s="913"/>
    </row>
    <row r="340" spans="1:19" ht="20.25">
      <c r="A340" s="888"/>
      <c r="B340" s="242"/>
      <c r="C340" s="897"/>
      <c r="D340" s="905" t="s">
        <v>1072</v>
      </c>
      <c r="E340" s="909">
        <f aca="true" t="shared" si="223" ref="E340:S340">E338</f>
        <v>0</v>
      </c>
      <c r="F340" s="909">
        <f t="shared" si="223"/>
        <v>0</v>
      </c>
      <c r="G340" s="913">
        <f t="shared" si="223"/>
        <v>0</v>
      </c>
      <c r="H340" s="913">
        <f t="shared" si="223"/>
        <v>0</v>
      </c>
      <c r="I340" s="913">
        <f t="shared" si="223"/>
        <v>0</v>
      </c>
      <c r="J340" s="913">
        <f t="shared" si="223"/>
        <v>0</v>
      </c>
      <c r="K340" s="913">
        <f t="shared" si="223"/>
        <v>0</v>
      </c>
      <c r="L340" s="913">
        <f t="shared" si="223"/>
        <v>0</v>
      </c>
      <c r="M340" s="913">
        <f t="shared" si="223"/>
        <v>0</v>
      </c>
      <c r="N340" s="913">
        <f t="shared" si="223"/>
        <v>0</v>
      </c>
      <c r="O340" s="913">
        <f t="shared" si="223"/>
        <v>0</v>
      </c>
      <c r="P340" s="913">
        <f t="shared" si="223"/>
        <v>0</v>
      </c>
      <c r="Q340" s="913">
        <f t="shared" si="223"/>
        <v>0</v>
      </c>
      <c r="R340" s="888">
        <f t="shared" si="223"/>
        <v>0</v>
      </c>
      <c r="S340" s="913">
        <f t="shared" si="223"/>
        <v>0</v>
      </c>
    </row>
    <row r="341" spans="1:19" ht="20.25" hidden="1">
      <c r="A341" s="888"/>
      <c r="B341" s="242"/>
      <c r="C341" s="897"/>
      <c r="D341" s="905" t="s">
        <v>1073</v>
      </c>
      <c r="E341" s="913">
        <f aca="true" t="shared" si="224" ref="E341:F341">E340-E339</f>
        <v>0</v>
      </c>
      <c r="F341" s="913">
        <f t="shared" si="224"/>
        <v>0</v>
      </c>
      <c r="G341" s="913">
        <f>G340-G339</f>
        <v>0</v>
      </c>
      <c r="H341" s="913">
        <f aca="true" t="shared" si="225" ref="H341:S341">H340-H339</f>
        <v>0</v>
      </c>
      <c r="I341" s="913">
        <f t="shared" si="225"/>
        <v>0</v>
      </c>
      <c r="J341" s="913">
        <f t="shared" si="225"/>
        <v>0</v>
      </c>
      <c r="K341" s="913">
        <f t="shared" si="225"/>
        <v>0</v>
      </c>
      <c r="L341" s="913">
        <f t="shared" si="225"/>
        <v>0</v>
      </c>
      <c r="M341" s="913">
        <f t="shared" si="225"/>
        <v>0</v>
      </c>
      <c r="N341" s="913">
        <f t="shared" si="225"/>
        <v>0</v>
      </c>
      <c r="O341" s="913">
        <f t="shared" si="225"/>
        <v>0</v>
      </c>
      <c r="P341" s="913">
        <f t="shared" si="225"/>
        <v>0</v>
      </c>
      <c r="Q341" s="913">
        <f t="shared" si="225"/>
        <v>0</v>
      </c>
      <c r="R341" s="913">
        <f t="shared" si="225"/>
        <v>0</v>
      </c>
      <c r="S341" s="913">
        <f t="shared" si="225"/>
        <v>0</v>
      </c>
    </row>
    <row r="342" spans="1:19" ht="20.25">
      <c r="A342" s="888" t="s">
        <v>121</v>
      </c>
      <c r="B342" s="242" t="s">
        <v>709</v>
      </c>
      <c r="C342" s="897" t="s">
        <v>708</v>
      </c>
      <c r="D342" s="905" t="s">
        <v>4</v>
      </c>
      <c r="E342" s="909"/>
      <c r="F342" s="909">
        <f t="shared" si="151"/>
        <v>0</v>
      </c>
      <c r="G342" s="914"/>
      <c r="H342" s="914"/>
      <c r="I342" s="914"/>
      <c r="J342" s="914"/>
      <c r="K342" s="914"/>
      <c r="L342" s="914"/>
      <c r="M342" s="914"/>
      <c r="N342" s="914"/>
      <c r="O342" s="914"/>
      <c r="P342" s="914"/>
      <c r="Q342" s="914"/>
      <c r="R342" s="888"/>
      <c r="S342" s="913"/>
    </row>
    <row r="343" spans="1:19" ht="20.25" hidden="1">
      <c r="A343" s="888"/>
      <c r="B343" s="242"/>
      <c r="C343" s="897"/>
      <c r="D343" s="905" t="s">
        <v>859</v>
      </c>
      <c r="E343" s="909"/>
      <c r="F343" s="909">
        <f t="shared" si="151"/>
        <v>50226</v>
      </c>
      <c r="G343" s="914"/>
      <c r="H343" s="914"/>
      <c r="I343" s="914"/>
      <c r="J343" s="914">
        <v>50226</v>
      </c>
      <c r="K343" s="914"/>
      <c r="L343" s="914"/>
      <c r="M343" s="914"/>
      <c r="N343" s="914"/>
      <c r="O343" s="914"/>
      <c r="P343" s="914"/>
      <c r="Q343" s="914"/>
      <c r="R343" s="888"/>
      <c r="S343" s="913"/>
    </row>
    <row r="344" spans="1:19" ht="20.25">
      <c r="A344" s="888"/>
      <c r="B344" s="242"/>
      <c r="C344" s="897"/>
      <c r="D344" s="905" t="s">
        <v>861</v>
      </c>
      <c r="E344" s="909"/>
      <c r="F344" s="909">
        <f aca="true" t="shared" si="226" ref="F344:F375">G344+H344+I344+J344+K344+L344+M344+N344+O344+P344+Q344+R344+S344</f>
        <v>0</v>
      </c>
      <c r="G344" s="914"/>
      <c r="H344" s="914"/>
      <c r="I344" s="914"/>
      <c r="J344" s="914">
        <v>0</v>
      </c>
      <c r="K344" s="914"/>
      <c r="L344" s="914"/>
      <c r="M344" s="914"/>
      <c r="N344" s="914"/>
      <c r="O344" s="914"/>
      <c r="P344" s="914"/>
      <c r="Q344" s="914"/>
      <c r="R344" s="888"/>
      <c r="S344" s="913"/>
    </row>
    <row r="345" spans="1:19" ht="20.25" hidden="1">
      <c r="A345" s="888"/>
      <c r="B345" s="242"/>
      <c r="C345" s="897"/>
      <c r="D345" s="905" t="s">
        <v>1069</v>
      </c>
      <c r="E345" s="909"/>
      <c r="F345" s="909"/>
      <c r="G345" s="914"/>
      <c r="H345" s="914"/>
      <c r="I345" s="914"/>
      <c r="J345" s="914"/>
      <c r="K345" s="914"/>
      <c r="L345" s="914"/>
      <c r="M345" s="914"/>
      <c r="N345" s="914"/>
      <c r="O345" s="914"/>
      <c r="P345" s="914"/>
      <c r="Q345" s="914"/>
      <c r="R345" s="888"/>
      <c r="S345" s="913"/>
    </row>
    <row r="346" spans="1:19" ht="20.25">
      <c r="A346" s="888"/>
      <c r="B346" s="242"/>
      <c r="C346" s="897"/>
      <c r="D346" s="905" t="s">
        <v>1072</v>
      </c>
      <c r="E346" s="909">
        <f aca="true" t="shared" si="227" ref="E346:S346">E344</f>
        <v>0</v>
      </c>
      <c r="F346" s="909">
        <f t="shared" si="227"/>
        <v>0</v>
      </c>
      <c r="G346" s="913">
        <f t="shared" si="227"/>
        <v>0</v>
      </c>
      <c r="H346" s="913">
        <f t="shared" si="227"/>
        <v>0</v>
      </c>
      <c r="I346" s="913">
        <f t="shared" si="227"/>
        <v>0</v>
      </c>
      <c r="J346" s="913">
        <f t="shared" si="227"/>
        <v>0</v>
      </c>
      <c r="K346" s="913">
        <f t="shared" si="227"/>
        <v>0</v>
      </c>
      <c r="L346" s="913">
        <f t="shared" si="227"/>
        <v>0</v>
      </c>
      <c r="M346" s="913">
        <f t="shared" si="227"/>
        <v>0</v>
      </c>
      <c r="N346" s="913">
        <f t="shared" si="227"/>
        <v>0</v>
      </c>
      <c r="O346" s="913">
        <f t="shared" si="227"/>
        <v>0</v>
      </c>
      <c r="P346" s="913">
        <f t="shared" si="227"/>
        <v>0</v>
      </c>
      <c r="Q346" s="913">
        <f t="shared" si="227"/>
        <v>0</v>
      </c>
      <c r="R346" s="888">
        <f t="shared" si="227"/>
        <v>0</v>
      </c>
      <c r="S346" s="913">
        <f t="shared" si="227"/>
        <v>0</v>
      </c>
    </row>
    <row r="347" spans="1:19" ht="20.25" hidden="1">
      <c r="A347" s="888"/>
      <c r="B347" s="242"/>
      <c r="C347" s="897"/>
      <c r="D347" s="905" t="s">
        <v>1073</v>
      </c>
      <c r="E347" s="913">
        <f aca="true" t="shared" si="228" ref="E347:F347">E346-E345</f>
        <v>0</v>
      </c>
      <c r="F347" s="913">
        <f t="shared" si="228"/>
        <v>0</v>
      </c>
      <c r="G347" s="913">
        <f>G346-G345</f>
        <v>0</v>
      </c>
      <c r="H347" s="913">
        <f aca="true" t="shared" si="229" ref="H347:S347">H346-H345</f>
        <v>0</v>
      </c>
      <c r="I347" s="913">
        <f t="shared" si="229"/>
        <v>0</v>
      </c>
      <c r="J347" s="913">
        <f t="shared" si="229"/>
        <v>0</v>
      </c>
      <c r="K347" s="913">
        <f t="shared" si="229"/>
        <v>0</v>
      </c>
      <c r="L347" s="913">
        <f t="shared" si="229"/>
        <v>0</v>
      </c>
      <c r="M347" s="913">
        <f t="shared" si="229"/>
        <v>0</v>
      </c>
      <c r="N347" s="913">
        <f t="shared" si="229"/>
        <v>0</v>
      </c>
      <c r="O347" s="913">
        <f t="shared" si="229"/>
        <v>0</v>
      </c>
      <c r="P347" s="913">
        <f t="shared" si="229"/>
        <v>0</v>
      </c>
      <c r="Q347" s="913">
        <f t="shared" si="229"/>
        <v>0</v>
      </c>
      <c r="R347" s="913">
        <f t="shared" si="229"/>
        <v>0</v>
      </c>
      <c r="S347" s="913">
        <f t="shared" si="229"/>
        <v>0</v>
      </c>
    </row>
    <row r="348" spans="1:19" ht="20.25">
      <c r="A348" s="888" t="s">
        <v>121</v>
      </c>
      <c r="B348" s="242" t="s">
        <v>707</v>
      </c>
      <c r="C348" s="897" t="s">
        <v>706</v>
      </c>
      <c r="D348" s="905" t="s">
        <v>4</v>
      </c>
      <c r="E348" s="909"/>
      <c r="F348" s="909">
        <f t="shared" si="226"/>
        <v>0</v>
      </c>
      <c r="G348" s="914"/>
      <c r="H348" s="914"/>
      <c r="I348" s="914"/>
      <c r="J348" s="914"/>
      <c r="K348" s="914"/>
      <c r="L348" s="914"/>
      <c r="M348" s="914"/>
      <c r="N348" s="914"/>
      <c r="O348" s="914"/>
      <c r="P348" s="914"/>
      <c r="Q348" s="914"/>
      <c r="R348" s="888"/>
      <c r="S348" s="913"/>
    </row>
    <row r="349" spans="1:19" ht="20.25" hidden="1">
      <c r="A349" s="888"/>
      <c r="B349" s="242"/>
      <c r="C349" s="897"/>
      <c r="D349" s="905" t="s">
        <v>859</v>
      </c>
      <c r="E349" s="909"/>
      <c r="F349" s="909">
        <f t="shared" si="226"/>
        <v>7251</v>
      </c>
      <c r="G349" s="914"/>
      <c r="H349" s="914"/>
      <c r="I349" s="914"/>
      <c r="J349" s="914">
        <v>7251</v>
      </c>
      <c r="K349" s="914"/>
      <c r="L349" s="914"/>
      <c r="M349" s="914"/>
      <c r="N349" s="914"/>
      <c r="O349" s="914"/>
      <c r="P349" s="914"/>
      <c r="Q349" s="914"/>
      <c r="R349" s="888"/>
      <c r="S349" s="913"/>
    </row>
    <row r="350" spans="1:19" ht="20.25">
      <c r="A350" s="888"/>
      <c r="B350" s="242"/>
      <c r="C350" s="897"/>
      <c r="D350" s="905" t="s">
        <v>861</v>
      </c>
      <c r="E350" s="909"/>
      <c r="F350" s="909">
        <f t="shared" si="226"/>
        <v>0</v>
      </c>
      <c r="G350" s="914"/>
      <c r="H350" s="914"/>
      <c r="I350" s="914"/>
      <c r="J350" s="914">
        <v>0</v>
      </c>
      <c r="K350" s="914"/>
      <c r="L350" s="914"/>
      <c r="M350" s="914"/>
      <c r="N350" s="914"/>
      <c r="O350" s="914"/>
      <c r="P350" s="914"/>
      <c r="Q350" s="914"/>
      <c r="R350" s="888"/>
      <c r="S350" s="913"/>
    </row>
    <row r="351" spans="1:19" ht="20.25" hidden="1">
      <c r="A351" s="888"/>
      <c r="B351" s="242"/>
      <c r="C351" s="897"/>
      <c r="D351" s="905" t="s">
        <v>1069</v>
      </c>
      <c r="E351" s="909"/>
      <c r="F351" s="909"/>
      <c r="G351" s="914"/>
      <c r="H351" s="914"/>
      <c r="I351" s="914"/>
      <c r="J351" s="914"/>
      <c r="K351" s="914"/>
      <c r="L351" s="914"/>
      <c r="M351" s="914"/>
      <c r="N351" s="914"/>
      <c r="O351" s="914"/>
      <c r="P351" s="914"/>
      <c r="Q351" s="914"/>
      <c r="R351" s="888"/>
      <c r="S351" s="913"/>
    </row>
    <row r="352" spans="1:19" ht="20.25">
      <c r="A352" s="888"/>
      <c r="B352" s="242"/>
      <c r="C352" s="897"/>
      <c r="D352" s="905" t="s">
        <v>1072</v>
      </c>
      <c r="E352" s="909">
        <f aca="true" t="shared" si="230" ref="E352:S352">E350</f>
        <v>0</v>
      </c>
      <c r="F352" s="909">
        <f t="shared" si="230"/>
        <v>0</v>
      </c>
      <c r="G352" s="913">
        <f t="shared" si="230"/>
        <v>0</v>
      </c>
      <c r="H352" s="913">
        <f t="shared" si="230"/>
        <v>0</v>
      </c>
      <c r="I352" s="913">
        <f t="shared" si="230"/>
        <v>0</v>
      </c>
      <c r="J352" s="913">
        <f t="shared" si="230"/>
        <v>0</v>
      </c>
      <c r="K352" s="913">
        <f t="shared" si="230"/>
        <v>0</v>
      </c>
      <c r="L352" s="913">
        <f t="shared" si="230"/>
        <v>0</v>
      </c>
      <c r="M352" s="913">
        <f t="shared" si="230"/>
        <v>0</v>
      </c>
      <c r="N352" s="913">
        <f t="shared" si="230"/>
        <v>0</v>
      </c>
      <c r="O352" s="913">
        <f t="shared" si="230"/>
        <v>0</v>
      </c>
      <c r="P352" s="913">
        <f t="shared" si="230"/>
        <v>0</v>
      </c>
      <c r="Q352" s="913">
        <f t="shared" si="230"/>
        <v>0</v>
      </c>
      <c r="R352" s="888">
        <f t="shared" si="230"/>
        <v>0</v>
      </c>
      <c r="S352" s="913">
        <f t="shared" si="230"/>
        <v>0</v>
      </c>
    </row>
    <row r="353" spans="1:19" ht="20.25" hidden="1">
      <c r="A353" s="888"/>
      <c r="B353" s="242"/>
      <c r="C353" s="897"/>
      <c r="D353" s="905" t="s">
        <v>1073</v>
      </c>
      <c r="E353" s="913">
        <f aca="true" t="shared" si="231" ref="E353:F353">E352-E351</f>
        <v>0</v>
      </c>
      <c r="F353" s="913">
        <f t="shared" si="231"/>
        <v>0</v>
      </c>
      <c r="G353" s="913">
        <f>G352-G351</f>
        <v>0</v>
      </c>
      <c r="H353" s="913">
        <f aca="true" t="shared" si="232" ref="H353:S353">H352-H351</f>
        <v>0</v>
      </c>
      <c r="I353" s="913">
        <f t="shared" si="232"/>
        <v>0</v>
      </c>
      <c r="J353" s="913">
        <f t="shared" si="232"/>
        <v>0</v>
      </c>
      <c r="K353" s="913">
        <f t="shared" si="232"/>
        <v>0</v>
      </c>
      <c r="L353" s="913">
        <f t="shared" si="232"/>
        <v>0</v>
      </c>
      <c r="M353" s="913">
        <f t="shared" si="232"/>
        <v>0</v>
      </c>
      <c r="N353" s="913">
        <f t="shared" si="232"/>
        <v>0</v>
      </c>
      <c r="O353" s="913">
        <f t="shared" si="232"/>
        <v>0</v>
      </c>
      <c r="P353" s="913">
        <f t="shared" si="232"/>
        <v>0</v>
      </c>
      <c r="Q353" s="913">
        <f t="shared" si="232"/>
        <v>0</v>
      </c>
      <c r="R353" s="913">
        <f t="shared" si="232"/>
        <v>0</v>
      </c>
      <c r="S353" s="913">
        <f t="shared" si="232"/>
        <v>0</v>
      </c>
    </row>
    <row r="354" spans="1:19" ht="20.25">
      <c r="A354" s="888" t="s">
        <v>121</v>
      </c>
      <c r="B354" s="242" t="s">
        <v>705</v>
      </c>
      <c r="C354" s="897" t="s">
        <v>847</v>
      </c>
      <c r="D354" s="905" t="s">
        <v>4</v>
      </c>
      <c r="E354" s="909"/>
      <c r="F354" s="909">
        <f t="shared" si="226"/>
        <v>0</v>
      </c>
      <c r="G354" s="914"/>
      <c r="H354" s="914"/>
      <c r="I354" s="914"/>
      <c r="J354" s="914"/>
      <c r="K354" s="914"/>
      <c r="L354" s="914"/>
      <c r="M354" s="914"/>
      <c r="N354" s="914"/>
      <c r="O354" s="914"/>
      <c r="P354" s="914"/>
      <c r="Q354" s="914"/>
      <c r="R354" s="888"/>
      <c r="S354" s="913"/>
    </row>
    <row r="355" spans="1:19" ht="20.25">
      <c r="A355" s="888"/>
      <c r="B355" s="242"/>
      <c r="C355" s="897"/>
      <c r="D355" s="905" t="s">
        <v>861</v>
      </c>
      <c r="E355" s="909"/>
      <c r="F355" s="909">
        <f t="shared" si="226"/>
        <v>0</v>
      </c>
      <c r="G355" s="914"/>
      <c r="H355" s="914"/>
      <c r="I355" s="914"/>
      <c r="J355" s="914">
        <v>0</v>
      </c>
      <c r="K355" s="914"/>
      <c r="L355" s="914"/>
      <c r="M355" s="914"/>
      <c r="N355" s="914"/>
      <c r="O355" s="914"/>
      <c r="P355" s="914"/>
      <c r="Q355" s="914"/>
      <c r="R355" s="888"/>
      <c r="S355" s="913"/>
    </row>
    <row r="356" spans="1:19" ht="20.25" hidden="1">
      <c r="A356" s="888"/>
      <c r="B356" s="242"/>
      <c r="C356" s="897"/>
      <c r="D356" s="905" t="s">
        <v>1069</v>
      </c>
      <c r="E356" s="909"/>
      <c r="F356" s="909"/>
      <c r="G356" s="914"/>
      <c r="H356" s="914"/>
      <c r="I356" s="914"/>
      <c r="J356" s="914"/>
      <c r="K356" s="914"/>
      <c r="L356" s="914"/>
      <c r="M356" s="914"/>
      <c r="N356" s="914"/>
      <c r="O356" s="914"/>
      <c r="P356" s="914"/>
      <c r="Q356" s="914"/>
      <c r="R356" s="888"/>
      <c r="S356" s="913"/>
    </row>
    <row r="357" spans="1:19" ht="20.25">
      <c r="A357" s="888"/>
      <c r="B357" s="242"/>
      <c r="C357" s="897"/>
      <c r="D357" s="905" t="s">
        <v>1072</v>
      </c>
      <c r="E357" s="909">
        <f aca="true" t="shared" si="233" ref="E357:S357">E355</f>
        <v>0</v>
      </c>
      <c r="F357" s="909">
        <f t="shared" si="233"/>
        <v>0</v>
      </c>
      <c r="G357" s="913">
        <f t="shared" si="233"/>
        <v>0</v>
      </c>
      <c r="H357" s="913">
        <f t="shared" si="233"/>
        <v>0</v>
      </c>
      <c r="I357" s="913">
        <f t="shared" si="233"/>
        <v>0</v>
      </c>
      <c r="J357" s="913">
        <f t="shared" si="233"/>
        <v>0</v>
      </c>
      <c r="K357" s="913">
        <f t="shared" si="233"/>
        <v>0</v>
      </c>
      <c r="L357" s="913">
        <f t="shared" si="233"/>
        <v>0</v>
      </c>
      <c r="M357" s="913">
        <f t="shared" si="233"/>
        <v>0</v>
      </c>
      <c r="N357" s="913">
        <f t="shared" si="233"/>
        <v>0</v>
      </c>
      <c r="O357" s="913">
        <f t="shared" si="233"/>
        <v>0</v>
      </c>
      <c r="P357" s="913">
        <f t="shared" si="233"/>
        <v>0</v>
      </c>
      <c r="Q357" s="913">
        <f t="shared" si="233"/>
        <v>0</v>
      </c>
      <c r="R357" s="888">
        <f t="shared" si="233"/>
        <v>0</v>
      </c>
      <c r="S357" s="913">
        <f t="shared" si="233"/>
        <v>0</v>
      </c>
    </row>
    <row r="358" spans="1:19" ht="20.25" hidden="1">
      <c r="A358" s="888"/>
      <c r="B358" s="242"/>
      <c r="C358" s="897"/>
      <c r="D358" s="905" t="s">
        <v>1073</v>
      </c>
      <c r="E358" s="913">
        <f aca="true" t="shared" si="234" ref="E358:F358">E357-E356</f>
        <v>0</v>
      </c>
      <c r="F358" s="913">
        <f t="shared" si="234"/>
        <v>0</v>
      </c>
      <c r="G358" s="913">
        <f>G357-G356</f>
        <v>0</v>
      </c>
      <c r="H358" s="913">
        <f aca="true" t="shared" si="235" ref="H358:S358">H357-H356</f>
        <v>0</v>
      </c>
      <c r="I358" s="913">
        <f t="shared" si="235"/>
        <v>0</v>
      </c>
      <c r="J358" s="913">
        <f t="shared" si="235"/>
        <v>0</v>
      </c>
      <c r="K358" s="913">
        <f t="shared" si="235"/>
        <v>0</v>
      </c>
      <c r="L358" s="913">
        <f t="shared" si="235"/>
        <v>0</v>
      </c>
      <c r="M358" s="913">
        <f t="shared" si="235"/>
        <v>0</v>
      </c>
      <c r="N358" s="913">
        <f t="shared" si="235"/>
        <v>0</v>
      </c>
      <c r="O358" s="913">
        <f t="shared" si="235"/>
        <v>0</v>
      </c>
      <c r="P358" s="913">
        <f t="shared" si="235"/>
        <v>0</v>
      </c>
      <c r="Q358" s="913">
        <f t="shared" si="235"/>
        <v>0</v>
      </c>
      <c r="R358" s="913">
        <f t="shared" si="235"/>
        <v>0</v>
      </c>
      <c r="S358" s="913">
        <f t="shared" si="235"/>
        <v>0</v>
      </c>
    </row>
    <row r="359" spans="1:19" ht="20.25">
      <c r="A359" s="888" t="s">
        <v>121</v>
      </c>
      <c r="B359" s="242" t="s">
        <v>704</v>
      </c>
      <c r="C359" s="897" t="s">
        <v>703</v>
      </c>
      <c r="D359" s="905" t="s">
        <v>4</v>
      </c>
      <c r="E359" s="909"/>
      <c r="F359" s="909">
        <f t="shared" si="226"/>
        <v>0</v>
      </c>
      <c r="G359" s="914"/>
      <c r="H359" s="914"/>
      <c r="I359" s="914"/>
      <c r="J359" s="914"/>
      <c r="K359" s="914"/>
      <c r="L359" s="914"/>
      <c r="M359" s="914"/>
      <c r="N359" s="914"/>
      <c r="O359" s="914"/>
      <c r="P359" s="914"/>
      <c r="Q359" s="914"/>
      <c r="R359" s="888"/>
      <c r="S359" s="913"/>
    </row>
    <row r="360" spans="1:19" ht="20.25">
      <c r="A360" s="888"/>
      <c r="B360" s="242"/>
      <c r="C360" s="897"/>
      <c r="D360" s="905" t="s">
        <v>861</v>
      </c>
      <c r="E360" s="909"/>
      <c r="F360" s="909">
        <f t="shared" si="226"/>
        <v>0</v>
      </c>
      <c r="G360" s="914"/>
      <c r="H360" s="914"/>
      <c r="I360" s="914"/>
      <c r="J360" s="914">
        <v>0</v>
      </c>
      <c r="K360" s="914"/>
      <c r="L360" s="914"/>
      <c r="M360" s="914"/>
      <c r="N360" s="914"/>
      <c r="O360" s="914"/>
      <c r="P360" s="914"/>
      <c r="Q360" s="914"/>
      <c r="R360" s="888"/>
      <c r="S360" s="913"/>
    </row>
    <row r="361" spans="1:19" ht="20.25" hidden="1">
      <c r="A361" s="888"/>
      <c r="B361" s="242"/>
      <c r="C361" s="897"/>
      <c r="D361" s="905" t="s">
        <v>1069</v>
      </c>
      <c r="E361" s="909"/>
      <c r="F361" s="909"/>
      <c r="G361" s="914"/>
      <c r="H361" s="914"/>
      <c r="I361" s="914"/>
      <c r="J361" s="914"/>
      <c r="K361" s="914"/>
      <c r="L361" s="914"/>
      <c r="M361" s="914"/>
      <c r="N361" s="914"/>
      <c r="O361" s="914"/>
      <c r="P361" s="914"/>
      <c r="Q361" s="914"/>
      <c r="R361" s="888"/>
      <c r="S361" s="913"/>
    </row>
    <row r="362" spans="1:19" ht="20.25">
      <c r="A362" s="888"/>
      <c r="B362" s="242"/>
      <c r="C362" s="897"/>
      <c r="D362" s="905" t="s">
        <v>1072</v>
      </c>
      <c r="E362" s="909">
        <f aca="true" t="shared" si="236" ref="E362:S362">E360</f>
        <v>0</v>
      </c>
      <c r="F362" s="909">
        <f t="shared" si="236"/>
        <v>0</v>
      </c>
      <c r="G362" s="913">
        <f t="shared" si="236"/>
        <v>0</v>
      </c>
      <c r="H362" s="913">
        <f t="shared" si="236"/>
        <v>0</v>
      </c>
      <c r="I362" s="913">
        <f t="shared" si="236"/>
        <v>0</v>
      </c>
      <c r="J362" s="913">
        <f t="shared" si="236"/>
        <v>0</v>
      </c>
      <c r="K362" s="913">
        <f t="shared" si="236"/>
        <v>0</v>
      </c>
      <c r="L362" s="913">
        <f t="shared" si="236"/>
        <v>0</v>
      </c>
      <c r="M362" s="913">
        <f t="shared" si="236"/>
        <v>0</v>
      </c>
      <c r="N362" s="913">
        <f t="shared" si="236"/>
        <v>0</v>
      </c>
      <c r="O362" s="913">
        <f t="shared" si="236"/>
        <v>0</v>
      </c>
      <c r="P362" s="913">
        <f t="shared" si="236"/>
        <v>0</v>
      </c>
      <c r="Q362" s="913">
        <f t="shared" si="236"/>
        <v>0</v>
      </c>
      <c r="R362" s="888">
        <f t="shared" si="236"/>
        <v>0</v>
      </c>
      <c r="S362" s="913">
        <f t="shared" si="236"/>
        <v>0</v>
      </c>
    </row>
    <row r="363" spans="1:19" ht="20.25" hidden="1">
      <c r="A363" s="888"/>
      <c r="B363" s="242"/>
      <c r="C363" s="897"/>
      <c r="D363" s="905" t="s">
        <v>1073</v>
      </c>
      <c r="E363" s="913">
        <f aca="true" t="shared" si="237" ref="E363:F363">E362-E361</f>
        <v>0</v>
      </c>
      <c r="F363" s="913">
        <f t="shared" si="237"/>
        <v>0</v>
      </c>
      <c r="G363" s="913">
        <f>G362-G361</f>
        <v>0</v>
      </c>
      <c r="H363" s="913">
        <f aca="true" t="shared" si="238" ref="H363:S363">H362-H361</f>
        <v>0</v>
      </c>
      <c r="I363" s="913">
        <f t="shared" si="238"/>
        <v>0</v>
      </c>
      <c r="J363" s="913">
        <f t="shared" si="238"/>
        <v>0</v>
      </c>
      <c r="K363" s="913">
        <f t="shared" si="238"/>
        <v>0</v>
      </c>
      <c r="L363" s="913">
        <f t="shared" si="238"/>
        <v>0</v>
      </c>
      <c r="M363" s="913">
        <f t="shared" si="238"/>
        <v>0</v>
      </c>
      <c r="N363" s="913">
        <f t="shared" si="238"/>
        <v>0</v>
      </c>
      <c r="O363" s="913">
        <f t="shared" si="238"/>
        <v>0</v>
      </c>
      <c r="P363" s="913">
        <f t="shared" si="238"/>
        <v>0</v>
      </c>
      <c r="Q363" s="913">
        <f t="shared" si="238"/>
        <v>0</v>
      </c>
      <c r="R363" s="913">
        <f t="shared" si="238"/>
        <v>0</v>
      </c>
      <c r="S363" s="913">
        <f t="shared" si="238"/>
        <v>0</v>
      </c>
    </row>
    <row r="364" spans="1:19" ht="20.25">
      <c r="A364" s="888" t="s">
        <v>121</v>
      </c>
      <c r="B364" s="242" t="s">
        <v>702</v>
      </c>
      <c r="C364" s="897" t="s">
        <v>701</v>
      </c>
      <c r="D364" s="905" t="s">
        <v>4</v>
      </c>
      <c r="E364" s="909"/>
      <c r="F364" s="909">
        <f t="shared" si="226"/>
        <v>0</v>
      </c>
      <c r="G364" s="914"/>
      <c r="H364" s="914"/>
      <c r="I364" s="914"/>
      <c r="J364" s="914"/>
      <c r="K364" s="914"/>
      <c r="L364" s="914"/>
      <c r="M364" s="914"/>
      <c r="N364" s="914"/>
      <c r="O364" s="914"/>
      <c r="P364" s="914"/>
      <c r="Q364" s="914"/>
      <c r="R364" s="888"/>
      <c r="S364" s="913"/>
    </row>
    <row r="365" spans="1:19" ht="20.25">
      <c r="A365" s="888"/>
      <c r="B365" s="242"/>
      <c r="C365" s="897"/>
      <c r="D365" s="905" t="s">
        <v>861</v>
      </c>
      <c r="E365" s="909"/>
      <c r="F365" s="909">
        <f t="shared" si="226"/>
        <v>0</v>
      </c>
      <c r="G365" s="914"/>
      <c r="H365" s="914"/>
      <c r="I365" s="914"/>
      <c r="J365" s="914">
        <v>0</v>
      </c>
      <c r="K365" s="914"/>
      <c r="L365" s="914"/>
      <c r="M365" s="914"/>
      <c r="N365" s="914"/>
      <c r="O365" s="914"/>
      <c r="P365" s="914"/>
      <c r="Q365" s="914"/>
      <c r="R365" s="888"/>
      <c r="S365" s="913"/>
    </row>
    <row r="366" spans="1:19" ht="20.25" hidden="1">
      <c r="A366" s="888"/>
      <c r="B366" s="242"/>
      <c r="C366" s="897"/>
      <c r="D366" s="905" t="s">
        <v>1069</v>
      </c>
      <c r="E366" s="909"/>
      <c r="F366" s="909"/>
      <c r="G366" s="914"/>
      <c r="H366" s="914"/>
      <c r="I366" s="914"/>
      <c r="J366" s="914"/>
      <c r="K366" s="914"/>
      <c r="L366" s="914"/>
      <c r="M366" s="914"/>
      <c r="N366" s="914"/>
      <c r="O366" s="914"/>
      <c r="P366" s="914"/>
      <c r="Q366" s="914"/>
      <c r="R366" s="888"/>
      <c r="S366" s="913"/>
    </row>
    <row r="367" spans="1:19" ht="20.25">
      <c r="A367" s="888"/>
      <c r="B367" s="242"/>
      <c r="C367" s="897"/>
      <c r="D367" s="905" t="s">
        <v>1072</v>
      </c>
      <c r="E367" s="909">
        <f aca="true" t="shared" si="239" ref="E367:S367">E365</f>
        <v>0</v>
      </c>
      <c r="F367" s="909">
        <f t="shared" si="239"/>
        <v>0</v>
      </c>
      <c r="G367" s="913">
        <f t="shared" si="239"/>
        <v>0</v>
      </c>
      <c r="H367" s="913">
        <f t="shared" si="239"/>
        <v>0</v>
      </c>
      <c r="I367" s="913">
        <f t="shared" si="239"/>
        <v>0</v>
      </c>
      <c r="J367" s="913">
        <f t="shared" si="239"/>
        <v>0</v>
      </c>
      <c r="K367" s="913">
        <f t="shared" si="239"/>
        <v>0</v>
      </c>
      <c r="L367" s="913">
        <f t="shared" si="239"/>
        <v>0</v>
      </c>
      <c r="M367" s="913">
        <f t="shared" si="239"/>
        <v>0</v>
      </c>
      <c r="N367" s="913">
        <f t="shared" si="239"/>
        <v>0</v>
      </c>
      <c r="O367" s="913">
        <f t="shared" si="239"/>
        <v>0</v>
      </c>
      <c r="P367" s="913">
        <f t="shared" si="239"/>
        <v>0</v>
      </c>
      <c r="Q367" s="913">
        <f t="shared" si="239"/>
        <v>0</v>
      </c>
      <c r="R367" s="888">
        <f t="shared" si="239"/>
        <v>0</v>
      </c>
      <c r="S367" s="913">
        <f t="shared" si="239"/>
        <v>0</v>
      </c>
    </row>
    <row r="368" spans="1:19" ht="20.25" hidden="1">
      <c r="A368" s="888"/>
      <c r="B368" s="242"/>
      <c r="C368" s="897"/>
      <c r="D368" s="905" t="s">
        <v>1073</v>
      </c>
      <c r="E368" s="913">
        <f aca="true" t="shared" si="240" ref="E368:F368">E367-E366</f>
        <v>0</v>
      </c>
      <c r="F368" s="913">
        <f t="shared" si="240"/>
        <v>0</v>
      </c>
      <c r="G368" s="913">
        <f>G367-G366</f>
        <v>0</v>
      </c>
      <c r="H368" s="913">
        <f aca="true" t="shared" si="241" ref="H368:S368">H367-H366</f>
        <v>0</v>
      </c>
      <c r="I368" s="913">
        <f t="shared" si="241"/>
        <v>0</v>
      </c>
      <c r="J368" s="913">
        <f t="shared" si="241"/>
        <v>0</v>
      </c>
      <c r="K368" s="913">
        <f t="shared" si="241"/>
        <v>0</v>
      </c>
      <c r="L368" s="913">
        <f t="shared" si="241"/>
        <v>0</v>
      </c>
      <c r="M368" s="913">
        <f t="shared" si="241"/>
        <v>0</v>
      </c>
      <c r="N368" s="913">
        <f t="shared" si="241"/>
        <v>0</v>
      </c>
      <c r="O368" s="913">
        <f t="shared" si="241"/>
        <v>0</v>
      </c>
      <c r="P368" s="913">
        <f t="shared" si="241"/>
        <v>0</v>
      </c>
      <c r="Q368" s="913">
        <f t="shared" si="241"/>
        <v>0</v>
      </c>
      <c r="R368" s="913">
        <f t="shared" si="241"/>
        <v>0</v>
      </c>
      <c r="S368" s="913">
        <f t="shared" si="241"/>
        <v>0</v>
      </c>
    </row>
    <row r="369" spans="1:19" ht="40.5">
      <c r="A369" s="888" t="s">
        <v>120</v>
      </c>
      <c r="B369" s="242" t="s">
        <v>131</v>
      </c>
      <c r="C369" s="897" t="s">
        <v>700</v>
      </c>
      <c r="D369" s="905" t="s">
        <v>4</v>
      </c>
      <c r="E369" s="909"/>
      <c r="F369" s="909">
        <f t="shared" si="226"/>
        <v>0</v>
      </c>
      <c r="G369" s="914"/>
      <c r="H369" s="914"/>
      <c r="I369" s="914"/>
      <c r="J369" s="914"/>
      <c r="K369" s="914"/>
      <c r="L369" s="914"/>
      <c r="M369" s="914"/>
      <c r="N369" s="914"/>
      <c r="O369" s="914"/>
      <c r="P369" s="914"/>
      <c r="Q369" s="914"/>
      <c r="R369" s="888"/>
      <c r="S369" s="913"/>
    </row>
    <row r="370" spans="1:19" ht="20.25">
      <c r="A370" s="888"/>
      <c r="B370" s="242"/>
      <c r="C370" s="897"/>
      <c r="D370" s="905" t="s">
        <v>861</v>
      </c>
      <c r="E370" s="909"/>
      <c r="F370" s="909">
        <v>9813</v>
      </c>
      <c r="G370" s="914"/>
      <c r="H370" s="914"/>
      <c r="I370" s="914"/>
      <c r="J370" s="914"/>
      <c r="K370" s="914"/>
      <c r="L370" s="914">
        <v>5497</v>
      </c>
      <c r="M370" s="914"/>
      <c r="N370" s="914"/>
      <c r="O370" s="914"/>
      <c r="P370" s="914">
        <v>4316</v>
      </c>
      <c r="Q370" s="914"/>
      <c r="R370" s="888"/>
      <c r="S370" s="913"/>
    </row>
    <row r="371" spans="1:19" ht="20.25" hidden="1">
      <c r="A371" s="888"/>
      <c r="B371" s="242"/>
      <c r="C371" s="897"/>
      <c r="D371" s="905" t="s">
        <v>1069</v>
      </c>
      <c r="E371" s="909"/>
      <c r="F371" s="909"/>
      <c r="G371" s="914"/>
      <c r="H371" s="914"/>
      <c r="I371" s="914"/>
      <c r="J371" s="914"/>
      <c r="K371" s="914"/>
      <c r="L371" s="914">
        <v>0</v>
      </c>
      <c r="M371" s="914"/>
      <c r="N371" s="914"/>
      <c r="O371" s="914"/>
      <c r="P371" s="914"/>
      <c r="Q371" s="914"/>
      <c r="R371" s="888"/>
      <c r="S371" s="913"/>
    </row>
    <row r="372" spans="1:19" ht="20.25">
      <c r="A372" s="888"/>
      <c r="B372" s="242"/>
      <c r="C372" s="897"/>
      <c r="D372" s="905" t="s">
        <v>1072</v>
      </c>
      <c r="E372" s="909">
        <f>E370</f>
        <v>0</v>
      </c>
      <c r="F372" s="909">
        <f aca="true" t="shared" si="242" ref="F372">G372+H372+I372+J372+K372+L372+M372+N372+O372+P372+Q372+R372+S372</f>
        <v>8013</v>
      </c>
      <c r="G372" s="913">
        <f>G370</f>
        <v>0</v>
      </c>
      <c r="H372" s="913">
        <f aca="true" t="shared" si="243" ref="H372:K372">H370</f>
        <v>0</v>
      </c>
      <c r="I372" s="913">
        <f t="shared" si="243"/>
        <v>0</v>
      </c>
      <c r="J372" s="913">
        <f t="shared" si="243"/>
        <v>0</v>
      </c>
      <c r="K372" s="913">
        <f t="shared" si="243"/>
        <v>0</v>
      </c>
      <c r="L372" s="913">
        <f>L370-1800</f>
        <v>3697</v>
      </c>
      <c r="M372" s="913">
        <f>M370</f>
        <v>0</v>
      </c>
      <c r="N372" s="913">
        <f aca="true" t="shared" si="244" ref="N372:S372">N370</f>
        <v>0</v>
      </c>
      <c r="O372" s="913">
        <f t="shared" si="244"/>
        <v>0</v>
      </c>
      <c r="P372" s="913">
        <f t="shared" si="244"/>
        <v>4316</v>
      </c>
      <c r="Q372" s="913">
        <f t="shared" si="244"/>
        <v>0</v>
      </c>
      <c r="R372" s="913">
        <f t="shared" si="244"/>
        <v>0</v>
      </c>
      <c r="S372" s="913">
        <f t="shared" si="244"/>
        <v>0</v>
      </c>
    </row>
    <row r="373" spans="1:19" ht="20.25" hidden="1">
      <c r="A373" s="888"/>
      <c r="B373" s="242"/>
      <c r="C373" s="897"/>
      <c r="D373" s="905" t="s">
        <v>1073</v>
      </c>
      <c r="E373" s="913">
        <f aca="true" t="shared" si="245" ref="E373:F373">E372-E371</f>
        <v>0</v>
      </c>
      <c r="F373" s="913">
        <f t="shared" si="245"/>
        <v>8013</v>
      </c>
      <c r="G373" s="913">
        <f>G372-G371</f>
        <v>0</v>
      </c>
      <c r="H373" s="913">
        <f aca="true" t="shared" si="246" ref="H373:S373">H372-H371</f>
        <v>0</v>
      </c>
      <c r="I373" s="913">
        <f t="shared" si="246"/>
        <v>0</v>
      </c>
      <c r="J373" s="913">
        <f t="shared" si="246"/>
        <v>0</v>
      </c>
      <c r="K373" s="913">
        <f t="shared" si="246"/>
        <v>0</v>
      </c>
      <c r="L373" s="913">
        <f t="shared" si="246"/>
        <v>3697</v>
      </c>
      <c r="M373" s="913">
        <f t="shared" si="246"/>
        <v>0</v>
      </c>
      <c r="N373" s="913">
        <f t="shared" si="246"/>
        <v>0</v>
      </c>
      <c r="O373" s="913">
        <f t="shared" si="246"/>
        <v>0</v>
      </c>
      <c r="P373" s="913">
        <f t="shared" si="246"/>
        <v>4316</v>
      </c>
      <c r="Q373" s="913">
        <f t="shared" si="246"/>
        <v>0</v>
      </c>
      <c r="R373" s="913">
        <f t="shared" si="246"/>
        <v>0</v>
      </c>
      <c r="S373" s="913">
        <f t="shared" si="246"/>
        <v>0</v>
      </c>
    </row>
    <row r="374" spans="1:19" ht="40.5">
      <c r="A374" s="888" t="s">
        <v>120</v>
      </c>
      <c r="B374" s="242" t="s">
        <v>131</v>
      </c>
      <c r="C374" s="897" t="s">
        <v>699</v>
      </c>
      <c r="D374" s="905" t="s">
        <v>4</v>
      </c>
      <c r="E374" s="909"/>
      <c r="F374" s="909">
        <f t="shared" si="226"/>
        <v>0</v>
      </c>
      <c r="G374" s="914"/>
      <c r="H374" s="914"/>
      <c r="I374" s="914"/>
      <c r="J374" s="914"/>
      <c r="K374" s="914"/>
      <c r="L374" s="914"/>
      <c r="M374" s="914"/>
      <c r="N374" s="914"/>
      <c r="O374" s="914"/>
      <c r="P374" s="914"/>
      <c r="Q374" s="914"/>
      <c r="R374" s="888"/>
      <c r="S374" s="913"/>
    </row>
    <row r="375" spans="1:19" ht="20.25">
      <c r="A375" s="888"/>
      <c r="B375" s="242"/>
      <c r="C375" s="897"/>
      <c r="D375" s="905" t="s">
        <v>861</v>
      </c>
      <c r="E375" s="909"/>
      <c r="F375" s="909">
        <f t="shared" si="226"/>
        <v>236</v>
      </c>
      <c r="G375" s="914"/>
      <c r="H375" s="914"/>
      <c r="I375" s="914"/>
      <c r="J375" s="914"/>
      <c r="K375" s="914"/>
      <c r="L375" s="914">
        <v>236</v>
      </c>
      <c r="M375" s="914"/>
      <c r="N375" s="914"/>
      <c r="O375" s="914"/>
      <c r="P375" s="914"/>
      <c r="Q375" s="914"/>
      <c r="R375" s="888"/>
      <c r="S375" s="913"/>
    </row>
    <row r="376" spans="1:19" ht="20.25" hidden="1">
      <c r="A376" s="888"/>
      <c r="B376" s="242"/>
      <c r="C376" s="897"/>
      <c r="D376" s="905" t="s">
        <v>1069</v>
      </c>
      <c r="E376" s="909"/>
      <c r="F376" s="909"/>
      <c r="G376" s="914"/>
      <c r="H376" s="914"/>
      <c r="I376" s="914"/>
      <c r="J376" s="914"/>
      <c r="K376" s="914"/>
      <c r="L376" s="914"/>
      <c r="M376" s="914"/>
      <c r="N376" s="914"/>
      <c r="O376" s="914"/>
      <c r="P376" s="914"/>
      <c r="Q376" s="914"/>
      <c r="R376" s="888"/>
      <c r="S376" s="913"/>
    </row>
    <row r="377" spans="1:19" ht="20.25">
      <c r="A377" s="888"/>
      <c r="B377" s="242"/>
      <c r="C377" s="897"/>
      <c r="D377" s="905" t="s">
        <v>1072</v>
      </c>
      <c r="E377" s="909">
        <f>E375</f>
        <v>0</v>
      </c>
      <c r="F377" s="909">
        <f aca="true" t="shared" si="247" ref="F377">G377+H377+I377+J377+K377+L377+M377+N377+O377+P377+Q377+R377+S377</f>
        <v>138</v>
      </c>
      <c r="G377" s="913">
        <f>G375</f>
        <v>0</v>
      </c>
      <c r="H377" s="913">
        <f aca="true" t="shared" si="248" ref="H377:S377">H375</f>
        <v>0</v>
      </c>
      <c r="I377" s="913">
        <f t="shared" si="248"/>
        <v>0</v>
      </c>
      <c r="J377" s="913">
        <f t="shared" si="248"/>
        <v>0</v>
      </c>
      <c r="K377" s="913">
        <f t="shared" si="248"/>
        <v>0</v>
      </c>
      <c r="L377" s="913">
        <f>L375-98</f>
        <v>138</v>
      </c>
      <c r="M377" s="913">
        <f t="shared" si="248"/>
        <v>0</v>
      </c>
      <c r="N377" s="913">
        <f t="shared" si="248"/>
        <v>0</v>
      </c>
      <c r="O377" s="913">
        <f t="shared" si="248"/>
        <v>0</v>
      </c>
      <c r="P377" s="913">
        <f t="shared" si="248"/>
        <v>0</v>
      </c>
      <c r="Q377" s="913">
        <f t="shared" si="248"/>
        <v>0</v>
      </c>
      <c r="R377" s="913">
        <f t="shared" si="248"/>
        <v>0</v>
      </c>
      <c r="S377" s="913">
        <f t="shared" si="248"/>
        <v>0</v>
      </c>
    </row>
    <row r="378" spans="1:19" ht="20.25" hidden="1">
      <c r="A378" s="888"/>
      <c r="B378" s="242"/>
      <c r="C378" s="897"/>
      <c r="D378" s="905" t="s">
        <v>1073</v>
      </c>
      <c r="E378" s="913">
        <f aca="true" t="shared" si="249" ref="E378:F378">E377-E376</f>
        <v>0</v>
      </c>
      <c r="F378" s="913">
        <f t="shared" si="249"/>
        <v>138</v>
      </c>
      <c r="G378" s="913">
        <f>G377-G376</f>
        <v>0</v>
      </c>
      <c r="H378" s="913">
        <f aca="true" t="shared" si="250" ref="H378:S378">H377-H376</f>
        <v>0</v>
      </c>
      <c r="I378" s="913">
        <f t="shared" si="250"/>
        <v>0</v>
      </c>
      <c r="J378" s="913">
        <f t="shared" si="250"/>
        <v>0</v>
      </c>
      <c r="K378" s="913">
        <f t="shared" si="250"/>
        <v>0</v>
      </c>
      <c r="L378" s="913">
        <f t="shared" si="250"/>
        <v>138</v>
      </c>
      <c r="M378" s="913">
        <f t="shared" si="250"/>
        <v>0</v>
      </c>
      <c r="N378" s="913">
        <f t="shared" si="250"/>
        <v>0</v>
      </c>
      <c r="O378" s="913">
        <f t="shared" si="250"/>
        <v>0</v>
      </c>
      <c r="P378" s="913">
        <f t="shared" si="250"/>
        <v>0</v>
      </c>
      <c r="Q378" s="913">
        <f t="shared" si="250"/>
        <v>0</v>
      </c>
      <c r="R378" s="913">
        <f t="shared" si="250"/>
        <v>0</v>
      </c>
      <c r="S378" s="913">
        <f t="shared" si="250"/>
        <v>0</v>
      </c>
    </row>
    <row r="379" spans="1:19" ht="20.25">
      <c r="A379" s="888"/>
      <c r="B379" s="242"/>
      <c r="C379" s="897"/>
      <c r="D379" s="905"/>
      <c r="E379" s="913"/>
      <c r="F379" s="913"/>
      <c r="G379" s="913"/>
      <c r="H379" s="913"/>
      <c r="I379" s="913"/>
      <c r="J379" s="913"/>
      <c r="K379" s="913"/>
      <c r="L379" s="913"/>
      <c r="M379" s="913"/>
      <c r="N379" s="913"/>
      <c r="O379" s="913"/>
      <c r="P379" s="913"/>
      <c r="Q379" s="913"/>
      <c r="R379" s="913"/>
      <c r="S379" s="913"/>
    </row>
    <row r="380" spans="1:19" ht="20.25">
      <c r="A380" s="888"/>
      <c r="B380" s="1085" t="s">
        <v>68</v>
      </c>
      <c r="C380" s="1085"/>
      <c r="D380" s="946" t="s">
        <v>4</v>
      </c>
      <c r="E380" s="909">
        <f>(E10+E15+E21+E26+E31+E36+E42+E47+E53+E58+E63+E69+E74+E79+E84+E89+E94+E99+E110+E115+E120+E126+E131+E136+E141+E146+E151++E156+E161+E166+E171+E176+E181+E186+E191+E196+E202+E207+E212+E217+E222+E227+E232+E237+E243+E248+E253+E258+E263+E268+E273+E278+E283+E288+E293+E299)</f>
        <v>4642252</v>
      </c>
      <c r="F380" s="909">
        <f aca="true" t="shared" si="251" ref="F380:S380">(F10+F15+F21+F26+F31+F36+F42+F47+F53+F58+F63+F69+F74+F79+F84+F89+F94+F99+F110+F115+F120+F126+F131+F136+F141+F146+F151++F156+F161+F166+F171+F176+F181+F186+F191+F196+F202+F207+F212+F217+F222+F227+F232+F237+F243+F248+F253+F258+F263+F268+F273+F278+F283+F288+F293+F299)</f>
        <v>4642252</v>
      </c>
      <c r="G380" s="909">
        <f t="shared" si="251"/>
        <v>226085</v>
      </c>
      <c r="H380" s="909">
        <f t="shared" si="251"/>
        <v>55909</v>
      </c>
      <c r="I380" s="909">
        <f t="shared" si="251"/>
        <v>909023</v>
      </c>
      <c r="J380" s="909">
        <f t="shared" si="251"/>
        <v>834630</v>
      </c>
      <c r="K380" s="909">
        <f t="shared" si="251"/>
        <v>71950</v>
      </c>
      <c r="L380" s="909">
        <f t="shared" si="251"/>
        <v>146800</v>
      </c>
      <c r="M380" s="909">
        <f t="shared" si="251"/>
        <v>114633</v>
      </c>
      <c r="N380" s="909">
        <f t="shared" si="251"/>
        <v>143265</v>
      </c>
      <c r="O380" s="909">
        <f t="shared" si="251"/>
        <v>187974</v>
      </c>
      <c r="P380" s="909">
        <f t="shared" si="251"/>
        <v>150000</v>
      </c>
      <c r="Q380" s="909">
        <f t="shared" si="251"/>
        <v>75265</v>
      </c>
      <c r="R380" s="909">
        <f t="shared" si="251"/>
        <v>1726718</v>
      </c>
      <c r="S380" s="909">
        <f t="shared" si="251"/>
        <v>0</v>
      </c>
    </row>
    <row r="381" spans="1:19" ht="20.25">
      <c r="A381" s="888"/>
      <c r="B381" s="946"/>
      <c r="C381" s="904"/>
      <c r="D381" s="905" t="s">
        <v>861</v>
      </c>
      <c r="E381" s="909">
        <f>(E11+E17+E22+E27+E32+E38+E43+E49+E54+E59+E65+E70+E75+E80+E85+E90+E95+E101+E111+E116+E122+E127+E132+E137+E142+E147+E152+E157+E162+E167+E172+E177+E182+E187+E192+E198+E203+E208+E213+E218+E223+E228+E233+E239+E244+E249+E254+E259+E264+E269+E274++E279+E284+E289+E295+E300+E306+E311+E316+E321+E326+E332+E338+E344+E350+E355+E360+E365+E370+E375+E106)</f>
        <v>7251437</v>
      </c>
      <c r="F381" s="909">
        <f aca="true" t="shared" si="252" ref="E381:F383">(F11+F17+F22+F27+F32+F38+F43+F49+F54+F59+F65+F70+F75+F80+F85+F90+F95+F101+F111+F116+F122+F127+F132+F137+F142+F147+F152+F157+F162+F167+F172+F177+F182+F187+F192+F198+F203+F208+F213+F218+F223+F228+F233+F239+F244+F249+F254+F259+F264+F269+F274++F279+F284+F289+F295+F300+F306+F311+F316+F321+F326+F332+F338+F344+F350+F355+F360+F365+F370+F375+F106)</f>
        <v>7251437</v>
      </c>
      <c r="G381" s="909">
        <f aca="true" t="shared" si="253" ref="G381:L382">(G11+G17+G22+G27+G32+G38+G43+G49+G54+G59+G65+G70+G75+G80+G85+G90+G95+G101+G111+G116+G126+G132+G137+G142+G147+G152+G157+G162+G167+G172+G177+G182+G187+G192+G198+G203+G208+G213+G218+G223+G228+G233+G239+G244+G249+G254+G259+G264+G269+G274++G279+G284+G289+G295+G300+G306+G311+G316+G321+G326+G332+G338+G344+G350+G355+G360+G365+G370+G375+G106)</f>
        <v>238770</v>
      </c>
      <c r="H381" s="909">
        <f t="shared" si="253"/>
        <v>58805</v>
      </c>
      <c r="I381" s="909">
        <f t="shared" si="253"/>
        <v>848848</v>
      </c>
      <c r="J381" s="909">
        <f t="shared" si="253"/>
        <v>929534</v>
      </c>
      <c r="K381" s="909">
        <f t="shared" si="253"/>
        <v>74610</v>
      </c>
      <c r="L381" s="909">
        <f t="shared" si="253"/>
        <v>5733</v>
      </c>
      <c r="M381" s="909">
        <f aca="true" t="shared" si="254" ref="M381:N382">(M11+M17+M22+M27+M32+M38+M43+M49+M54+M59+M65+M70+M75+M80+M85+M90+M95+M101+M111+M116+M122+M127+M132+M137+M142+M147+M152+M157+M162+M167+M172+M177+M182+M187+M192+M198+M203+M208+M213+M218+M223+M228+M233+M239+M244+M249+M254+M259+M264+M269+M274++M279+M284+M289+M295+M300+M306+M311+M316+M321+M326+M332+M338+M344+M350+M355+M360+M365+M370+M375+M106)</f>
        <v>156455</v>
      </c>
      <c r="N381" s="909">
        <f t="shared" si="254"/>
        <v>215189</v>
      </c>
      <c r="O381" s="909">
        <f aca="true" t="shared" si="255" ref="O381:S382">(O11+O17+O22+O27+O32+O38+O43+O49+O54+O59+O65+O70+O75+O80+O85+O90+O95+O101+O111+O116+O126+O132+O137+O142+O147+O152+O157+O162+O167+O172+O177+O182+O187+O192+O198+O203+O208+O213+O218+O223+O228+O233+O239+O244+O249+O254+O259+O264+O269+O274++O279+O284+O289+O295+O300+O306+O311+O316+O321+O326+O332+O338+O344+O350+O355+O360+O365+O370+O375+O106)</f>
        <v>391634</v>
      </c>
      <c r="P381" s="909">
        <f t="shared" si="255"/>
        <v>4316</v>
      </c>
      <c r="Q381" s="909">
        <f t="shared" si="255"/>
        <v>577429</v>
      </c>
      <c r="R381" s="909">
        <f t="shared" si="255"/>
        <v>1779284</v>
      </c>
      <c r="S381" s="909">
        <f t="shared" si="255"/>
        <v>1970830</v>
      </c>
    </row>
    <row r="382" spans="1:19" ht="20.25" hidden="1">
      <c r="A382" s="888"/>
      <c r="B382" s="946"/>
      <c r="C382" s="904"/>
      <c r="D382" s="905" t="s">
        <v>1069</v>
      </c>
      <c r="E382" s="909">
        <f t="shared" si="252"/>
        <v>6442338</v>
      </c>
      <c r="F382" s="909">
        <f t="shared" si="252"/>
        <v>6656240</v>
      </c>
      <c r="G382" s="909">
        <f t="shared" si="253"/>
        <v>177402</v>
      </c>
      <c r="H382" s="909">
        <f t="shared" si="253"/>
        <v>46772</v>
      </c>
      <c r="I382" s="909">
        <f t="shared" si="253"/>
        <v>641272</v>
      </c>
      <c r="J382" s="909">
        <f t="shared" si="253"/>
        <v>944391</v>
      </c>
      <c r="K382" s="909">
        <f t="shared" si="253"/>
        <v>70407</v>
      </c>
      <c r="L382" s="909">
        <f t="shared" si="253"/>
        <v>0</v>
      </c>
      <c r="M382" s="909">
        <f t="shared" si="254"/>
        <v>120022</v>
      </c>
      <c r="N382" s="909">
        <f t="shared" si="254"/>
        <v>185375</v>
      </c>
      <c r="O382" s="909">
        <f t="shared" si="255"/>
        <v>347786</v>
      </c>
      <c r="P382" s="909">
        <f t="shared" si="255"/>
        <v>0</v>
      </c>
      <c r="Q382" s="909">
        <f t="shared" si="255"/>
        <v>224979</v>
      </c>
      <c r="R382" s="909">
        <f t="shared" si="255"/>
        <v>1577004</v>
      </c>
      <c r="S382" s="909">
        <f t="shared" si="255"/>
        <v>2320830</v>
      </c>
    </row>
    <row r="383" spans="1:19" ht="20.25">
      <c r="A383" s="888"/>
      <c r="B383" s="946"/>
      <c r="C383" s="904"/>
      <c r="D383" s="905" t="s">
        <v>1072</v>
      </c>
      <c r="E383" s="909">
        <f t="shared" si="252"/>
        <v>7036086</v>
      </c>
      <c r="F383" s="909">
        <f aca="true" t="shared" si="256" ref="F383:S383">(F13+F19+F24+F29+F34+F40+F45+F51+F56+F61+F67+F72+F77+F82+F87+F92+F97+F103+F113+F118+F124+F129+F134+F139+F144+F149+F154+F159+F164+F169+F174+F179+F184+F189+F194+F200+F205+F210+F215+F220+F225+F230+F235+F241+F246+F251+F256+F261+F266+F271+F276++F281+F286+F291+F297+F302+F308+F313+F318+F323+F328+F334+F340+F346+F352+F357+F362+F367+F372+F377+F108)</f>
        <v>7036086</v>
      </c>
      <c r="G383" s="909">
        <f t="shared" si="256"/>
        <v>188044</v>
      </c>
      <c r="H383" s="909">
        <f t="shared" si="256"/>
        <v>53111</v>
      </c>
      <c r="I383" s="909">
        <f t="shared" si="256"/>
        <v>730404</v>
      </c>
      <c r="J383" s="909">
        <f t="shared" si="256"/>
        <v>951740</v>
      </c>
      <c r="K383" s="909">
        <f t="shared" si="256"/>
        <v>75865</v>
      </c>
      <c r="L383" s="909">
        <f t="shared" si="256"/>
        <v>3835</v>
      </c>
      <c r="M383" s="909">
        <f t="shared" si="256"/>
        <v>146065</v>
      </c>
      <c r="N383" s="909">
        <f t="shared" si="256"/>
        <v>333294</v>
      </c>
      <c r="O383" s="909">
        <f t="shared" si="256"/>
        <v>367820</v>
      </c>
      <c r="P383" s="909">
        <f t="shared" si="256"/>
        <v>4316</v>
      </c>
      <c r="Q383" s="909">
        <f t="shared" si="256"/>
        <v>224981</v>
      </c>
      <c r="R383" s="909">
        <f t="shared" si="256"/>
        <v>1635781</v>
      </c>
      <c r="S383" s="909">
        <f t="shared" si="256"/>
        <v>2320830</v>
      </c>
    </row>
    <row r="384" spans="1:19" ht="20.25">
      <c r="A384" s="888"/>
      <c r="B384" s="946"/>
      <c r="C384" s="904"/>
      <c r="D384" s="905"/>
      <c r="E384" s="909"/>
      <c r="F384" s="909"/>
      <c r="G384" s="909"/>
      <c r="H384" s="909"/>
      <c r="I384" s="909"/>
      <c r="J384" s="1031"/>
      <c r="K384" s="1031"/>
      <c r="L384" s="1031"/>
      <c r="M384" s="1031"/>
      <c r="N384" s="909"/>
      <c r="O384" s="909"/>
      <c r="P384" s="909"/>
      <c r="Q384" s="909"/>
      <c r="R384" s="909"/>
      <c r="S384" s="909"/>
    </row>
    <row r="385" spans="1:19" ht="20.25">
      <c r="A385" s="888"/>
      <c r="B385" s="1085" t="s">
        <v>126</v>
      </c>
      <c r="C385" s="1085"/>
      <c r="D385" s="946" t="s">
        <v>4</v>
      </c>
      <c r="E385" s="909">
        <f aca="true" t="shared" si="257" ref="E385:S385">SUM(E304+E21+E31+E36+E79+E84+E89+E94+E99+E110+E115+E120+E126+E131+E141+E146+E151+E161+E166+E171+E176+E181+E186+E191+E212+E232+E268+E273+E278+E283+E288+E310+E315+E320+E325+E330+E336+E342+E348+E354+E359+E364)</f>
        <v>3195990</v>
      </c>
      <c r="F385" s="909">
        <f t="shared" si="257"/>
        <v>1394653</v>
      </c>
      <c r="G385" s="909">
        <f t="shared" si="257"/>
        <v>130602</v>
      </c>
      <c r="H385" s="909">
        <f t="shared" si="257"/>
        <v>18080</v>
      </c>
      <c r="I385" s="909">
        <f t="shared" si="257"/>
        <v>619381</v>
      </c>
      <c r="J385" s="909">
        <f t="shared" si="257"/>
        <v>298277</v>
      </c>
      <c r="K385" s="909">
        <f t="shared" si="257"/>
        <v>65050</v>
      </c>
      <c r="L385" s="909">
        <f t="shared" si="257"/>
        <v>0</v>
      </c>
      <c r="M385" s="909">
        <f t="shared" si="257"/>
        <v>114633</v>
      </c>
      <c r="N385" s="909">
        <f t="shared" si="257"/>
        <v>142630</v>
      </c>
      <c r="O385" s="909">
        <f t="shared" si="257"/>
        <v>6000</v>
      </c>
      <c r="P385" s="909">
        <f t="shared" si="257"/>
        <v>0</v>
      </c>
      <c r="Q385" s="909">
        <f t="shared" si="257"/>
        <v>0</v>
      </c>
      <c r="R385" s="909">
        <f t="shared" si="257"/>
        <v>0</v>
      </c>
      <c r="S385" s="909">
        <f t="shared" si="257"/>
        <v>0</v>
      </c>
    </row>
    <row r="386" spans="1:19" ht="20.25" hidden="1">
      <c r="A386" s="888"/>
      <c r="B386" s="946"/>
      <c r="C386" s="904"/>
      <c r="D386" s="905" t="s">
        <v>859</v>
      </c>
      <c r="E386" s="909" t="e">
        <f>SUM(E305+#REF!+#REF!+E37+#REF!+#REF!+#REF!+#REF!+E100+#REF!+#REF!+E121+#REF!+#REF!+#REF!+#REF!+#REF!+#REF!+#REF!+#REF!+#REF!++#REF!+#REF!+#REF!+#REF!+#REF!+#REF!+#REF!+#REF!+#REF!+#REF!++#REF!+#REF!+#REF!+#REF!+E331+E337+E343+E349+#REF!+#REF!+#REF!)</f>
        <v>#REF!</v>
      </c>
      <c r="F386" s="909" t="e">
        <f>SUM(F305+#REF!+#REF!+F37+#REF!+#REF!+#REF!+#REF!+F100+#REF!+#REF!+F121+#REF!+#REF!+#REF!+#REF!+#REF!+#REF!+#REF!+#REF!+#REF!++#REF!+#REF!+#REF!+#REF!+#REF!+#REF!+#REF!+#REF!+#REF!+#REF!++#REF!+#REF!+#REF!+#REF!+F331+F337+F343+F349+#REF!+#REF!+#REF!+#REF!)</f>
        <v>#REF!</v>
      </c>
      <c r="G386" s="909" t="e">
        <f>SUM(G305+#REF!+#REF!+G37+#REF!+#REF!+#REF!+#REF!+G100+#REF!+#REF!+G121+#REF!+#REF!+#REF!+#REF!+#REF!+#REF!+#REF!+#REF!+#REF!++#REF!+#REF!+#REF!+#REF!+#REF!+#REF!+#REF!+#REF!+#REF!+#REF!++#REF!+#REF!+#REF!+#REF!+G331+G337+G343+G349+#REF!+#REF!+#REF!+#REF!)</f>
        <v>#REF!</v>
      </c>
      <c r="H386" s="909" t="e">
        <f>SUM(H305+#REF!+#REF!+H37+#REF!+#REF!+#REF!+#REF!+H100+#REF!+#REF!+H121+#REF!+#REF!+#REF!+#REF!+#REF!+#REF!+#REF!+#REF!+#REF!++#REF!+#REF!+#REF!+#REF!+#REF!+#REF!+#REF!+#REF!+#REF!+#REF!++#REF!+#REF!+#REF!+#REF!+H331+H337+H343+H349+#REF!+#REF!+#REF!+#REF!)</f>
        <v>#REF!</v>
      </c>
      <c r="I386" s="909" t="e">
        <f>SUM(I305+#REF!+#REF!+I37+#REF!+#REF!+#REF!+#REF!+I100+#REF!+#REF!+I121+#REF!+#REF!+#REF!+#REF!+#REF!+#REF!+#REF!+#REF!+#REF!++#REF!+#REF!+#REF!+#REF!+#REF!+#REF!+#REF!+#REF!+#REF!+#REF!++#REF!+#REF!+#REF!+#REF!+I331+I337+I343+I349+#REF!+#REF!+#REF!+#REF!)</f>
        <v>#REF!</v>
      </c>
      <c r="J386" s="909" t="e">
        <f>SUM(J305+#REF!+#REF!+J37+#REF!+#REF!+#REF!+#REF!+J100+#REF!+#REF!+J121+#REF!+#REF!+#REF!+#REF!+#REF!+#REF!+#REF!+#REF!+#REF!++#REF!+#REF!+#REF!+#REF!+#REF!+#REF!+#REF!+#REF!+#REF!+#REF!++#REF!+#REF!+#REF!+#REF!+J331+J337+J343+J349+#REF!+#REF!+#REF!+#REF!)</f>
        <v>#REF!</v>
      </c>
      <c r="K386" s="909" t="e">
        <f>SUM(K305+#REF!+#REF!+K37+#REF!+#REF!+#REF!+#REF!+K100+#REF!+#REF!+K121+#REF!+#REF!+#REF!+#REF!+#REF!+#REF!+#REF!+#REF!+#REF!++#REF!+#REF!+#REF!+#REF!+#REF!+#REF!+#REF!+#REF!+#REF!+#REF!++#REF!+#REF!+#REF!+#REF!+K331+K337+K343+K349+#REF!+#REF!+#REF!+#REF!)</f>
        <v>#REF!</v>
      </c>
      <c r="L386" s="909" t="e">
        <f>SUM(L305+#REF!+#REF!+L37+#REF!+#REF!+#REF!+#REF!+L100+#REF!+#REF!+L121+#REF!+#REF!+#REF!+#REF!+#REF!+#REF!+#REF!+#REF!+#REF!++#REF!+#REF!+#REF!+#REF!+#REF!+#REF!+#REF!+#REF!+#REF!+#REF!++#REF!+#REF!+#REF!+#REF!+L331+L337+L343+L349+#REF!+#REF!+#REF!+#REF!)</f>
        <v>#REF!</v>
      </c>
      <c r="M386" s="909" t="e">
        <f>SUM(M305+#REF!+#REF!+M37+#REF!+#REF!+#REF!+#REF!+M100+#REF!+#REF!+M121+#REF!+#REF!+#REF!+#REF!+#REF!+#REF!+#REF!+#REF!+#REF!++#REF!+#REF!+#REF!+#REF!+#REF!+#REF!+#REF!+#REF!+#REF!+#REF!++#REF!+#REF!+#REF!+#REF!+M331+M337+M343+M349+#REF!+#REF!+#REF!+#REF!)</f>
        <v>#REF!</v>
      </c>
      <c r="N386" s="909" t="e">
        <f>SUM(N305+#REF!+#REF!+N37+#REF!+#REF!+#REF!+#REF!+N100+#REF!+#REF!+N121+#REF!+#REF!+#REF!+#REF!+#REF!+#REF!+#REF!+#REF!+#REF!++#REF!+#REF!+#REF!+#REF!+#REF!+#REF!+#REF!+#REF!+#REF!+#REF!++#REF!+#REF!+#REF!+#REF!+N331+N337+N343+N349+#REF!+#REF!+#REF!+#REF!)</f>
        <v>#REF!</v>
      </c>
      <c r="O386" s="909" t="e">
        <f>SUM(O305+#REF!+#REF!+O37+#REF!+#REF!+#REF!+#REF!+O100+#REF!+#REF!+O121+#REF!+#REF!+#REF!+#REF!+#REF!+#REF!+#REF!+#REF!+#REF!++#REF!+#REF!+#REF!+#REF!+#REF!+#REF!+#REF!+#REF!+#REF!+#REF!++#REF!+#REF!+#REF!+#REF!+O331+O337+O343+O349+#REF!+#REF!+#REF!+#REF!)</f>
        <v>#REF!</v>
      </c>
      <c r="P386" s="909" t="e">
        <f>SUM(P305+#REF!+#REF!+P37+#REF!+#REF!+#REF!+#REF!+P100+#REF!+#REF!+P121+#REF!+#REF!+#REF!+#REF!+#REF!+#REF!+#REF!+#REF!+#REF!++#REF!+#REF!+#REF!+#REF!+#REF!+#REF!+#REF!+#REF!+#REF!+#REF!++#REF!+#REF!+#REF!+#REF!+P331+P337+P343+P349+#REF!+#REF!+#REF!+#REF!)</f>
        <v>#REF!</v>
      </c>
      <c r="Q386" s="909" t="e">
        <f>SUM(Q305+#REF!+#REF!+Q37+#REF!+#REF!+#REF!+#REF!+Q100+#REF!+#REF!+Q121+#REF!+#REF!+#REF!+#REF!+#REF!+#REF!+#REF!+#REF!+#REF!++#REF!+#REF!+#REF!+#REF!+#REF!+#REF!+#REF!+#REF!+#REF!+#REF!++#REF!+#REF!+#REF!+#REF!+Q331+Q337+Q343+Q349+#REF!+#REF!+#REF!+#REF!)</f>
        <v>#REF!</v>
      </c>
      <c r="R386" s="909" t="e">
        <f>SUM(R305+#REF!+#REF!+R37+#REF!+#REF!+#REF!+#REF!+R100+#REF!+#REF!+R121+#REF!+#REF!+#REF!+#REF!+#REF!+#REF!+#REF!+#REF!+#REF!++#REF!+#REF!+#REF!+#REF!+#REF!+#REF!+#REF!+#REF!+#REF!+#REF!++#REF!+#REF!+#REF!+#REF!+R331+R337+R343+R349+#REF!+#REF!+#REF!+#REF!)</f>
        <v>#REF!</v>
      </c>
      <c r="S386" s="909" t="e">
        <f>SUM(S305+#REF!+#REF!+S37+#REF!+#REF!+#REF!+#REF!+S100+#REF!+#REF!+S121+#REF!+#REF!+#REF!+#REF!+#REF!+#REF!+#REF!+#REF!+#REF!++#REF!+#REF!+#REF!+#REF!+#REF!+#REF!+#REF!+#REF!+#REF!+#REF!++#REF!+#REF!+#REF!+#REF!+S331+S337+S343+S349+#REF!+#REF!+#REF!+#REF!)</f>
        <v>#REF!</v>
      </c>
    </row>
    <row r="387" spans="1:19" ht="20.25">
      <c r="A387" s="888"/>
      <c r="B387" s="946"/>
      <c r="C387" s="904"/>
      <c r="D387" s="905" t="s">
        <v>861</v>
      </c>
      <c r="E387" s="909">
        <f>SUM(E306+E22+E32+E38+E80+E85+E90+E95+E101+E111+E116+E122+E127+E132+E142+E147+E152+E162+E167+E172+E177++E182+E187+E192+E213+E233+E269+E274+E279+E284+E289++E311+E316+E321+E326+E332+E338+E344+E350+E355+E360+E365)</f>
        <v>3292543</v>
      </c>
      <c r="F387" s="909">
        <f>SUM(F306+F22+F32+F38+F80+F85+F90+F95+F101+F111+F116+F122+F127+F132+F142+F147+F152+F162+F167+F172+F177++F182+F187+F192+F213+F233+F269+F274+F279+F284+F289++F311+F316+F321+F326+F332+F338+F344+F350+F355+F360+F365+F106)</f>
        <v>1413790</v>
      </c>
      <c r="G387" s="909">
        <f aca="true" t="shared" si="258" ref="G387:L388">SUM(G306+G22+G32+G38+G80+G85+G90+G95+G101+G111+G116+G126+G132+G142+G147+G152+G162+G167+G172+G177++G182+G187+G192+G213+G233+G269+G274+G279+G284+G289++G311+G316+G321+G326+G332+G338+G344+G350+G355+G360+G365+G106)</f>
        <v>133201</v>
      </c>
      <c r="H387" s="909">
        <f t="shared" si="258"/>
        <v>18787</v>
      </c>
      <c r="I387" s="909">
        <f t="shared" si="258"/>
        <v>549043</v>
      </c>
      <c r="J387" s="909">
        <f t="shared" si="258"/>
        <v>310455</v>
      </c>
      <c r="K387" s="909">
        <f t="shared" si="258"/>
        <v>68605</v>
      </c>
      <c r="L387" s="909">
        <f t="shared" si="258"/>
        <v>0</v>
      </c>
      <c r="M387" s="909">
        <f aca="true" t="shared" si="259" ref="M387:N388">SUM(M306+M22+M32+M38+M80+M85+M90+M95+M101+M111+M116+M122+M127+M132+M142+M147+M152+M162+M167+M172+M177++M182+M187+M192+M213+M233+M269+M274+M279+M284+M289++M311+M316+M321+M326+M332+M338+M344+M350+M355+M360+M365+M106)</f>
        <v>95992</v>
      </c>
      <c r="N387" s="909">
        <f t="shared" si="259"/>
        <v>210414</v>
      </c>
      <c r="O387" s="909">
        <f aca="true" t="shared" si="260" ref="O387:S388">SUM(O306+O22+O32+O38+O80+O85+O90+O95+O101+O111+O116+O126+O132+O142+O147+O152+O162+O167+O172+O177++O182+O187+O192+O213+O233+O269+O274+O279+O284+O289++O311+O316+O321+O326+O332+O338+O344+O350+O355+O360+O365+O106)</f>
        <v>27293</v>
      </c>
      <c r="P387" s="909">
        <f t="shared" si="260"/>
        <v>0</v>
      </c>
      <c r="Q387" s="909">
        <f t="shared" si="260"/>
        <v>0</v>
      </c>
      <c r="R387" s="909">
        <f t="shared" si="260"/>
        <v>0</v>
      </c>
      <c r="S387" s="909">
        <f t="shared" si="260"/>
        <v>0</v>
      </c>
    </row>
    <row r="388" spans="1:19" ht="20.25" hidden="1">
      <c r="A388" s="888"/>
      <c r="B388" s="946"/>
      <c r="C388" s="904"/>
      <c r="D388" s="905" t="s">
        <v>1069</v>
      </c>
      <c r="E388" s="909">
        <f>SUM(E307+E23+E33+E39+E81+E86+E91+E96+E102+E112+E117+E123+E128+E133+E143+E148+E153+E163+E168+E173+E178++E183+E188+E193+E214+E234+E270+E275+E280+E285+E290++E312+E317+E322+E327+E333+E339+E345+E351+E356+E361+E366)</f>
        <v>2346723</v>
      </c>
      <c r="F388" s="909">
        <f>SUM(F307+F23+F33+F39+F81+F86+F91+F96+F102+F112+F117+F123+F128+F133+F143+F148+F153+F163+F168+F173+F178++F183+F188+F193+F214+F234+F270+F275+F280+F285+F290++F312+F317+F322+F327+F333+F339+F345+F351+F356+F361+F366+F107)</f>
        <v>1213404</v>
      </c>
      <c r="G388" s="909">
        <f t="shared" si="258"/>
        <v>81265</v>
      </c>
      <c r="H388" s="909">
        <f t="shared" si="258"/>
        <v>11538</v>
      </c>
      <c r="I388" s="909">
        <f t="shared" si="258"/>
        <v>477041</v>
      </c>
      <c r="J388" s="909">
        <f t="shared" si="258"/>
        <v>329876</v>
      </c>
      <c r="K388" s="909">
        <f t="shared" si="258"/>
        <v>64197</v>
      </c>
      <c r="L388" s="909">
        <f t="shared" si="258"/>
        <v>0</v>
      </c>
      <c r="M388" s="909">
        <f t="shared" si="259"/>
        <v>62860</v>
      </c>
      <c r="N388" s="909">
        <f t="shared" si="259"/>
        <v>182201</v>
      </c>
      <c r="O388" s="909">
        <f t="shared" si="260"/>
        <v>4426</v>
      </c>
      <c r="P388" s="909">
        <f t="shared" si="260"/>
        <v>0</v>
      </c>
      <c r="Q388" s="909">
        <f t="shared" si="260"/>
        <v>0</v>
      </c>
      <c r="R388" s="909">
        <f t="shared" si="260"/>
        <v>0</v>
      </c>
      <c r="S388" s="909">
        <f t="shared" si="260"/>
        <v>0</v>
      </c>
    </row>
    <row r="389" spans="1:19" ht="20.25">
      <c r="A389" s="888"/>
      <c r="B389" s="946"/>
      <c r="C389" s="904"/>
      <c r="D389" s="905" t="s">
        <v>1072</v>
      </c>
      <c r="E389" s="909">
        <f>SUM(E308+E24+E34+E40+E82+E87+E92+E97+E103+E113+E118+E124+E129+E134+E144+E149+E154+E164+E169+E174+E179++E184+E189+E194+E215+E235+E271+E276+E281+E286+E291++E313+E318+E323+E328+E334+E340+E346+E352+E357+E362+E367+E108)</f>
        <v>2938444</v>
      </c>
      <c r="F389" s="909">
        <f aca="true" t="shared" si="261" ref="F389:S389">SUM(F308+F24+F34+F40+F82+F87+F92+F97+F103+F113+F118+F124+F129+F134+F144+F149+F154+F164+F169+F174+F179++F184+F189+F194+F215+F235+F271+F276+F281+F286+F291++F313+F318+F323+F328+F334+F340+F346+F352+F357+F362+F367+F108)</f>
        <v>1469440</v>
      </c>
      <c r="G389" s="909">
        <f t="shared" si="261"/>
        <v>85051</v>
      </c>
      <c r="H389" s="909">
        <f t="shared" si="261"/>
        <v>12784</v>
      </c>
      <c r="I389" s="909">
        <f t="shared" si="261"/>
        <v>545559</v>
      </c>
      <c r="J389" s="909">
        <f t="shared" si="261"/>
        <v>330255</v>
      </c>
      <c r="K389" s="909">
        <f t="shared" si="261"/>
        <v>69654</v>
      </c>
      <c r="L389" s="909">
        <f t="shared" si="261"/>
        <v>0</v>
      </c>
      <c r="M389" s="909">
        <f t="shared" si="261"/>
        <v>88325</v>
      </c>
      <c r="N389" s="909">
        <f t="shared" si="261"/>
        <v>328519</v>
      </c>
      <c r="O389" s="909">
        <f t="shared" si="261"/>
        <v>9293</v>
      </c>
      <c r="P389" s="909">
        <f t="shared" si="261"/>
        <v>0</v>
      </c>
      <c r="Q389" s="909">
        <f t="shared" si="261"/>
        <v>0</v>
      </c>
      <c r="R389" s="909">
        <f t="shared" si="261"/>
        <v>0</v>
      </c>
      <c r="S389" s="909">
        <f t="shared" si="261"/>
        <v>0</v>
      </c>
    </row>
    <row r="390" spans="1:19" ht="20.25">
      <c r="A390" s="888"/>
      <c r="B390" s="946"/>
      <c r="C390" s="904"/>
      <c r="D390" s="946"/>
      <c r="E390" s="909"/>
      <c r="F390" s="909"/>
      <c r="G390" s="909"/>
      <c r="H390" s="909"/>
      <c r="I390" s="909"/>
      <c r="J390" s="909"/>
      <c r="K390" s="909"/>
      <c r="L390" s="909"/>
      <c r="M390" s="909"/>
      <c r="N390" s="909"/>
      <c r="O390" s="909"/>
      <c r="P390" s="909"/>
      <c r="Q390" s="909"/>
      <c r="R390" s="909"/>
      <c r="S390" s="913"/>
    </row>
    <row r="391" spans="1:19" ht="20.25">
      <c r="A391" s="888"/>
      <c r="B391" s="1085" t="s">
        <v>127</v>
      </c>
      <c r="C391" s="1085"/>
      <c r="D391" s="946" t="s">
        <v>4</v>
      </c>
      <c r="E391" s="909">
        <f aca="true" t="shared" si="262" ref="E391:S391">SUM(E26+E42+E47+E53+E58+E136+E156+E196+E202+E207+E217+E222+E227+E237+E243+E248+E253+E258+E263)</f>
        <v>4925</v>
      </c>
      <c r="F391" s="909">
        <f t="shared" si="262"/>
        <v>516629</v>
      </c>
      <c r="G391" s="909">
        <f t="shared" si="262"/>
        <v>37881</v>
      </c>
      <c r="H391" s="909">
        <f t="shared" si="262"/>
        <v>18322</v>
      </c>
      <c r="I391" s="909">
        <f t="shared" si="262"/>
        <v>52899</v>
      </c>
      <c r="J391" s="909">
        <f t="shared" si="262"/>
        <v>216653</v>
      </c>
      <c r="K391" s="909">
        <f t="shared" si="262"/>
        <v>6900</v>
      </c>
      <c r="L391" s="909">
        <f t="shared" si="262"/>
        <v>0</v>
      </c>
      <c r="M391" s="909">
        <f t="shared" si="262"/>
        <v>0</v>
      </c>
      <c r="N391" s="909">
        <f t="shared" si="262"/>
        <v>0</v>
      </c>
      <c r="O391" s="909">
        <f t="shared" si="262"/>
        <v>181974</v>
      </c>
      <c r="P391" s="909">
        <f t="shared" si="262"/>
        <v>0</v>
      </c>
      <c r="Q391" s="909">
        <f t="shared" si="262"/>
        <v>2000</v>
      </c>
      <c r="R391" s="909">
        <f t="shared" si="262"/>
        <v>0</v>
      </c>
      <c r="S391" s="909">
        <f t="shared" si="262"/>
        <v>0</v>
      </c>
    </row>
    <row r="392" spans="1:19" ht="20.25" hidden="1">
      <c r="A392" s="888"/>
      <c r="B392" s="946"/>
      <c r="C392" s="904"/>
      <c r="D392" s="905" t="s">
        <v>859</v>
      </c>
      <c r="E392" s="909" t="e">
        <f>SUM(#REF!+#REF!+E48+#REF!+#REF!+#REF!+#REF!+E197+#REF!+#REF!+#REF!+#REF!+#REF!+E238+#REF!+#REF!+#REF!+#REF!+#REF!)</f>
        <v>#REF!</v>
      </c>
      <c r="F392" s="909" t="e">
        <f>SUM(#REF!+#REF!+F48+#REF!+#REF!+#REF!+#REF!+F197+#REF!+#REF!+#REF!+#REF!+#REF!+F238+#REF!+#REF!+#REF!+#REF!+#REF!)</f>
        <v>#REF!</v>
      </c>
      <c r="G392" s="909" t="e">
        <f>SUM(#REF!+#REF!+G48+#REF!+#REF!+#REF!+#REF!+G197+#REF!+#REF!+#REF!+#REF!+#REF!+G238+#REF!+#REF!+#REF!+#REF!+#REF!)</f>
        <v>#REF!</v>
      </c>
      <c r="H392" s="909" t="e">
        <f>SUM(#REF!+#REF!+H48+#REF!+#REF!+#REF!+#REF!+H197+#REF!+#REF!+#REF!+#REF!+#REF!+H238+#REF!+#REF!+#REF!+#REF!+#REF!)</f>
        <v>#REF!</v>
      </c>
      <c r="I392" s="909" t="e">
        <f>SUM(#REF!+#REF!+I48+#REF!+#REF!+#REF!+#REF!+I197+#REF!+#REF!+#REF!+#REF!+#REF!+I238+#REF!+#REF!+#REF!+#REF!+#REF!)</f>
        <v>#REF!</v>
      </c>
      <c r="J392" s="909" t="e">
        <f>SUM(#REF!+#REF!+J48+#REF!+#REF!+#REF!+#REF!+J197+#REF!+#REF!+#REF!+#REF!+#REF!+J238+#REF!+#REF!+#REF!+#REF!+#REF!)</f>
        <v>#REF!</v>
      </c>
      <c r="K392" s="909" t="e">
        <f>SUM(#REF!+#REF!+K48+#REF!+#REF!+#REF!+#REF!+K197+#REF!+#REF!+#REF!+#REF!+#REF!+K238+#REF!+#REF!+#REF!+#REF!+#REF!)</f>
        <v>#REF!</v>
      </c>
      <c r="L392" s="909" t="e">
        <f>SUM(#REF!+#REF!+L48+#REF!+#REF!+#REF!+#REF!+L197+#REF!+#REF!+#REF!+#REF!+#REF!+L238+#REF!+#REF!+#REF!+#REF!+#REF!)</f>
        <v>#REF!</v>
      </c>
      <c r="M392" s="909" t="e">
        <f>SUM(#REF!+#REF!+M48+#REF!+#REF!+#REF!+#REF!+M197+#REF!+#REF!+#REF!+#REF!+#REF!+M238+#REF!+#REF!+#REF!+#REF!+#REF!)</f>
        <v>#REF!</v>
      </c>
      <c r="N392" s="909" t="e">
        <f>SUM(#REF!+#REF!+N48+#REF!+#REF!+#REF!+#REF!+N197+#REF!+#REF!+#REF!+#REF!+#REF!+N238+#REF!+#REF!+#REF!+#REF!+#REF!)</f>
        <v>#REF!</v>
      </c>
      <c r="O392" s="909" t="e">
        <f>SUM(#REF!+#REF!+O48+#REF!+#REF!+#REF!+#REF!+O197+#REF!+#REF!+#REF!+#REF!+#REF!+O238+#REF!+#REF!+#REF!+#REF!+#REF!)</f>
        <v>#REF!</v>
      </c>
      <c r="P392" s="909" t="e">
        <f>SUM(#REF!+#REF!+P48+#REF!+#REF!+#REF!+#REF!+P197+#REF!+#REF!+#REF!+#REF!+#REF!+P238+#REF!+#REF!+#REF!+#REF!+#REF!)</f>
        <v>#REF!</v>
      </c>
      <c r="Q392" s="909" t="e">
        <f>SUM(#REF!+#REF!+Q48+#REF!+#REF!+#REF!+#REF!+Q197+#REF!+#REF!+#REF!+#REF!+#REF!+Q238+#REF!+#REF!+#REF!+#REF!+#REF!)</f>
        <v>#REF!</v>
      </c>
      <c r="R392" s="909" t="e">
        <f>SUM(#REF!+#REF!+R48+#REF!+#REF!+#REF!+#REF!+R197+#REF!+#REF!+#REF!+#REF!+#REF!+R238+#REF!+#REF!+#REF!+#REF!+#REF!)</f>
        <v>#REF!</v>
      </c>
      <c r="S392" s="909" t="e">
        <f>SUM(#REF!+#REF!+S48+#REF!+#REF!+#REF!+#REF!+S197+#REF!+#REF!+#REF!+#REF!+#REF!+S238+#REF!+#REF!+#REF!+#REF!+#REF!)</f>
        <v>#REF!</v>
      </c>
    </row>
    <row r="393" spans="1:19" ht="20.25">
      <c r="A393" s="888"/>
      <c r="B393" s="946"/>
      <c r="C393" s="904"/>
      <c r="D393" s="905" t="s">
        <v>861</v>
      </c>
      <c r="E393" s="909">
        <f aca="true" t="shared" si="263" ref="E393:S394">SUM(E27+E43+E49+E54+E59+E137+E157+E198+E203+E208+E218+E223+E228+E239+E244+E249+E254+E259+E264)</f>
        <v>32920</v>
      </c>
      <c r="F393" s="909">
        <f t="shared" si="263"/>
        <v>869457</v>
      </c>
      <c r="G393" s="909">
        <f t="shared" si="263"/>
        <v>44953</v>
      </c>
      <c r="H393" s="909">
        <f t="shared" si="263"/>
        <v>19320</v>
      </c>
      <c r="I393" s="909">
        <f t="shared" si="263"/>
        <v>118423</v>
      </c>
      <c r="J393" s="909">
        <f t="shared" si="263"/>
        <v>251836</v>
      </c>
      <c r="K393" s="909">
        <f t="shared" si="263"/>
        <v>6005</v>
      </c>
      <c r="L393" s="909">
        <f t="shared" si="263"/>
        <v>0</v>
      </c>
      <c r="M393" s="909">
        <f t="shared" si="263"/>
        <v>59964</v>
      </c>
      <c r="N393" s="909">
        <f t="shared" si="263"/>
        <v>4615</v>
      </c>
      <c r="O393" s="909">
        <f t="shared" si="263"/>
        <v>364341</v>
      </c>
      <c r="P393" s="909">
        <f t="shared" si="263"/>
        <v>0</v>
      </c>
      <c r="Q393" s="909">
        <f t="shared" si="263"/>
        <v>0</v>
      </c>
      <c r="R393" s="909">
        <f t="shared" si="263"/>
        <v>0</v>
      </c>
      <c r="S393" s="909">
        <f t="shared" si="263"/>
        <v>0</v>
      </c>
    </row>
    <row r="394" spans="1:19" ht="20.25" hidden="1">
      <c r="A394" s="888"/>
      <c r="B394" s="946"/>
      <c r="C394" s="904"/>
      <c r="D394" s="905" t="s">
        <v>1069</v>
      </c>
      <c r="E394" s="909">
        <f t="shared" si="263"/>
        <v>39170</v>
      </c>
      <c r="F394" s="909">
        <f t="shared" si="263"/>
        <v>788865</v>
      </c>
      <c r="G394" s="909">
        <f t="shared" si="263"/>
        <v>39277</v>
      </c>
      <c r="H394" s="909">
        <f t="shared" si="263"/>
        <v>16533</v>
      </c>
      <c r="I394" s="909">
        <f t="shared" si="263"/>
        <v>76463</v>
      </c>
      <c r="J394" s="909">
        <f t="shared" si="263"/>
        <v>247244</v>
      </c>
      <c r="K394" s="909">
        <f t="shared" si="263"/>
        <v>6210</v>
      </c>
      <c r="L394" s="909">
        <f t="shared" si="263"/>
        <v>0</v>
      </c>
      <c r="M394" s="909">
        <f t="shared" si="263"/>
        <v>56663</v>
      </c>
      <c r="N394" s="909">
        <f t="shared" si="263"/>
        <v>3115</v>
      </c>
      <c r="O394" s="909">
        <f t="shared" si="263"/>
        <v>343360</v>
      </c>
      <c r="P394" s="909">
        <f t="shared" si="263"/>
        <v>0</v>
      </c>
      <c r="Q394" s="909">
        <f t="shared" si="263"/>
        <v>0</v>
      </c>
      <c r="R394" s="909">
        <f t="shared" si="263"/>
        <v>0</v>
      </c>
      <c r="S394" s="909">
        <f t="shared" si="263"/>
        <v>0</v>
      </c>
    </row>
    <row r="395" spans="1:19" ht="20.25">
      <c r="A395" s="888"/>
      <c r="B395" s="946"/>
      <c r="C395" s="904"/>
      <c r="D395" s="905" t="s">
        <v>1072</v>
      </c>
      <c r="E395" s="909">
        <f aca="true" t="shared" si="264" ref="E395">SUM(E29+E45+E51+E56+E61+E139+E159+E200+E205+E210+E220+E225+E230+E241+E246+E251+E256+E261+E266)</f>
        <v>33728</v>
      </c>
      <c r="F395" s="909">
        <f aca="true" t="shared" si="265" ref="F395:S395">SUM(F29+F45+F51+F56+F61+F139+F159+F200+F205+F210+F220+F225+F230+F241+F246+F251+F256+F261+F266)</f>
        <v>827465</v>
      </c>
      <c r="G395" s="909">
        <f t="shared" si="265"/>
        <v>43683</v>
      </c>
      <c r="H395" s="909">
        <f t="shared" si="265"/>
        <v>19629</v>
      </c>
      <c r="I395" s="909">
        <f t="shared" si="265"/>
        <v>87443</v>
      </c>
      <c r="J395" s="909">
        <f t="shared" si="265"/>
        <v>250116</v>
      </c>
      <c r="K395" s="909">
        <f t="shared" si="265"/>
        <v>6211</v>
      </c>
      <c r="L395" s="909">
        <f t="shared" si="265"/>
        <v>0</v>
      </c>
      <c r="M395" s="909">
        <f t="shared" si="265"/>
        <v>57241</v>
      </c>
      <c r="N395" s="909">
        <f t="shared" si="265"/>
        <v>4615</v>
      </c>
      <c r="O395" s="909">
        <f t="shared" si="265"/>
        <v>358527</v>
      </c>
      <c r="P395" s="909">
        <f t="shared" si="265"/>
        <v>0</v>
      </c>
      <c r="Q395" s="909">
        <f t="shared" si="265"/>
        <v>0</v>
      </c>
      <c r="R395" s="909">
        <f t="shared" si="265"/>
        <v>0</v>
      </c>
      <c r="S395" s="909">
        <f t="shared" si="265"/>
        <v>0</v>
      </c>
    </row>
    <row r="396" spans="1:19" ht="20.25">
      <c r="A396" s="888"/>
      <c r="B396" s="946"/>
      <c r="C396" s="904"/>
      <c r="D396" s="946"/>
      <c r="E396" s="909"/>
      <c r="F396" s="909"/>
      <c r="G396" s="909"/>
      <c r="H396" s="909"/>
      <c r="I396" s="909"/>
      <c r="J396" s="909"/>
      <c r="K396" s="909"/>
      <c r="L396" s="909"/>
      <c r="M396" s="909"/>
      <c r="N396" s="909"/>
      <c r="O396" s="909"/>
      <c r="P396" s="909"/>
      <c r="Q396" s="909"/>
      <c r="R396" s="909"/>
      <c r="S396" s="913"/>
    </row>
    <row r="397" spans="1:19" s="1032" customFormat="1" ht="19.5" customHeight="1">
      <c r="A397" s="888"/>
      <c r="B397" s="1085" t="s">
        <v>128</v>
      </c>
      <c r="C397" s="1085"/>
      <c r="D397" s="946" t="s">
        <v>4</v>
      </c>
      <c r="E397" s="909">
        <f aca="true" t="shared" si="266" ref="E397:S397">SUM(E10+E15+E63+E69+E74+E293+E299+E369+E374)</f>
        <v>1441337</v>
      </c>
      <c r="F397" s="909">
        <f t="shared" si="266"/>
        <v>2730970</v>
      </c>
      <c r="G397" s="909">
        <f t="shared" si="266"/>
        <v>57602</v>
      </c>
      <c r="H397" s="909">
        <f t="shared" si="266"/>
        <v>19507</v>
      </c>
      <c r="I397" s="909">
        <f t="shared" si="266"/>
        <v>236743</v>
      </c>
      <c r="J397" s="909">
        <f t="shared" si="266"/>
        <v>319700</v>
      </c>
      <c r="K397" s="909">
        <f t="shared" si="266"/>
        <v>0</v>
      </c>
      <c r="L397" s="909">
        <f t="shared" si="266"/>
        <v>146800</v>
      </c>
      <c r="M397" s="909">
        <f t="shared" si="266"/>
        <v>0</v>
      </c>
      <c r="N397" s="909">
        <f t="shared" si="266"/>
        <v>635</v>
      </c>
      <c r="O397" s="909">
        <f t="shared" si="266"/>
        <v>0</v>
      </c>
      <c r="P397" s="909">
        <f t="shared" si="266"/>
        <v>150000</v>
      </c>
      <c r="Q397" s="909">
        <f t="shared" si="266"/>
        <v>73265</v>
      </c>
      <c r="R397" s="909">
        <f t="shared" si="266"/>
        <v>1726718</v>
      </c>
      <c r="S397" s="909">
        <f t="shared" si="266"/>
        <v>0</v>
      </c>
    </row>
    <row r="398" spans="1:19" ht="1.5" customHeight="1" hidden="1">
      <c r="A398" s="891"/>
      <c r="B398" s="891"/>
      <c r="C398" s="903"/>
      <c r="D398" s="908" t="s">
        <v>859</v>
      </c>
      <c r="E398" s="921" t="e">
        <f>SUM(#REF!+E16+E64+#REF!+#REF!+E294+#REF!+#REF!+#REF!)</f>
        <v>#REF!</v>
      </c>
      <c r="F398" s="921" t="e">
        <f>SUM(#REF!+F16+F64+#REF!+#REF!+F294+#REF!+#REF!+#REF!)</f>
        <v>#REF!</v>
      </c>
      <c r="G398" s="921" t="e">
        <f>SUM(#REF!+G16+G64+#REF!+#REF!+G294+#REF!+#REF!+#REF!)</f>
        <v>#REF!</v>
      </c>
      <c r="H398" s="921" t="e">
        <f>SUM(#REF!+H16+H64+#REF!+#REF!+H294+#REF!+#REF!+#REF!)</f>
        <v>#REF!</v>
      </c>
      <c r="I398" s="921" t="e">
        <f>SUM(#REF!+I16+I64+#REF!+#REF!+I294+#REF!+#REF!+#REF!)</f>
        <v>#REF!</v>
      </c>
      <c r="J398" s="921" t="e">
        <f>SUM(#REF!+J16+J64+#REF!+#REF!+J294+#REF!+#REF!+#REF!)</f>
        <v>#REF!</v>
      </c>
      <c r="K398" s="921" t="e">
        <f>SUM(#REF!+K16+K64+#REF!+#REF!+K294+#REF!+#REF!+#REF!)</f>
        <v>#REF!</v>
      </c>
      <c r="L398" s="921" t="e">
        <f>SUM(#REF!+L16+L64+#REF!+#REF!+L294+#REF!+#REF!+#REF!)</f>
        <v>#REF!</v>
      </c>
      <c r="M398" s="921" t="e">
        <f>SUM(#REF!+M16+M64+#REF!+#REF!+M294+#REF!+#REF!+#REF!)</f>
        <v>#REF!</v>
      </c>
      <c r="N398" s="921" t="e">
        <f>SUM(#REF!+N16+N64+#REF!+#REF!+N294+#REF!+#REF!+#REF!)</f>
        <v>#REF!</v>
      </c>
      <c r="O398" s="921" t="e">
        <f>SUM(#REF!+O16+O64+#REF!+#REF!+O294+#REF!+#REF!+#REF!)</f>
        <v>#REF!</v>
      </c>
      <c r="P398" s="921" t="e">
        <f>SUM(#REF!+P16+P64+#REF!+#REF!+P294+#REF!+#REF!+#REF!)</f>
        <v>#REF!</v>
      </c>
      <c r="Q398" s="921" t="e">
        <f>SUM(#REF!+Q16+Q64+#REF!+#REF!+Q294+#REF!+#REF!+#REF!)</f>
        <v>#REF!</v>
      </c>
      <c r="R398" s="921" t="e">
        <f>SUM(#REF!+R16+R64+#REF!+#REF!+R294+#REF!+#REF!+#REF!)</f>
        <v>#REF!</v>
      </c>
      <c r="S398" s="921" t="e">
        <f>SUM(#REF!+S16+S64+#REF!+#REF!+S294+#REF!+#REF!+#REF!)</f>
        <v>#REF!</v>
      </c>
    </row>
    <row r="399" spans="1:19" ht="20.25">
      <c r="A399" s="888"/>
      <c r="B399" s="888"/>
      <c r="C399" s="897"/>
      <c r="D399" s="905" t="s">
        <v>861</v>
      </c>
      <c r="E399" s="909">
        <f aca="true" t="shared" si="267" ref="E399:S400">SUM(E11+E17+E65+E70+E75+E295+E300+E370+E375)</f>
        <v>3925974</v>
      </c>
      <c r="F399" s="909">
        <f t="shared" si="267"/>
        <v>4968190</v>
      </c>
      <c r="G399" s="909">
        <f t="shared" si="267"/>
        <v>60616</v>
      </c>
      <c r="H399" s="909">
        <f t="shared" si="267"/>
        <v>20698</v>
      </c>
      <c r="I399" s="909">
        <f t="shared" si="267"/>
        <v>181382</v>
      </c>
      <c r="J399" s="909">
        <f t="shared" si="267"/>
        <v>367243</v>
      </c>
      <c r="K399" s="909">
        <f t="shared" si="267"/>
        <v>0</v>
      </c>
      <c r="L399" s="909">
        <f t="shared" si="267"/>
        <v>5733</v>
      </c>
      <c r="M399" s="909">
        <f t="shared" si="267"/>
        <v>499</v>
      </c>
      <c r="N399" s="909">
        <f t="shared" si="267"/>
        <v>160</v>
      </c>
      <c r="O399" s="909">
        <f t="shared" si="267"/>
        <v>0</v>
      </c>
      <c r="P399" s="909">
        <f t="shared" si="267"/>
        <v>4316</v>
      </c>
      <c r="Q399" s="909">
        <f t="shared" si="267"/>
        <v>577429</v>
      </c>
      <c r="R399" s="909">
        <f t="shared" si="267"/>
        <v>1779284</v>
      </c>
      <c r="S399" s="909">
        <f t="shared" si="267"/>
        <v>1970830</v>
      </c>
    </row>
    <row r="400" spans="1:19" ht="20.25" hidden="1">
      <c r="A400" s="888"/>
      <c r="B400" s="888"/>
      <c r="C400" s="897"/>
      <c r="D400" s="905" t="s">
        <v>1069</v>
      </c>
      <c r="E400" s="909">
        <f t="shared" si="267"/>
        <v>4056445</v>
      </c>
      <c r="F400" s="909">
        <f t="shared" si="267"/>
        <v>4653971</v>
      </c>
      <c r="G400" s="909">
        <f t="shared" si="267"/>
        <v>56860</v>
      </c>
      <c r="H400" s="909">
        <f t="shared" si="267"/>
        <v>18701</v>
      </c>
      <c r="I400" s="909">
        <f t="shared" si="267"/>
        <v>87768</v>
      </c>
      <c r="J400" s="909">
        <f t="shared" si="267"/>
        <v>367271</v>
      </c>
      <c r="K400" s="909">
        <f t="shared" si="267"/>
        <v>0</v>
      </c>
      <c r="L400" s="909">
        <f t="shared" si="267"/>
        <v>0</v>
      </c>
      <c r="M400" s="909">
        <f t="shared" si="267"/>
        <v>499</v>
      </c>
      <c r="N400" s="909">
        <f t="shared" si="267"/>
        <v>59</v>
      </c>
      <c r="O400" s="909">
        <f t="shared" si="267"/>
        <v>0</v>
      </c>
      <c r="P400" s="909">
        <f t="shared" si="267"/>
        <v>0</v>
      </c>
      <c r="Q400" s="909">
        <f t="shared" si="267"/>
        <v>224979</v>
      </c>
      <c r="R400" s="909">
        <f t="shared" si="267"/>
        <v>1577004</v>
      </c>
      <c r="S400" s="909">
        <f t="shared" si="267"/>
        <v>2320830</v>
      </c>
    </row>
    <row r="401" spans="1:19" ht="20.25">
      <c r="A401" s="888"/>
      <c r="B401" s="888"/>
      <c r="C401" s="897"/>
      <c r="D401" s="905" t="s">
        <v>1072</v>
      </c>
      <c r="E401" s="909">
        <f aca="true" t="shared" si="268" ref="E401">SUM(E13+E19+E67+E72+E77+E297+E302+E372+E377)</f>
        <v>4063914</v>
      </c>
      <c r="F401" s="909">
        <f aca="true" t="shared" si="269" ref="F401:S401">SUM(F13+F19+F67+F72+F77+F297+F302+F372+F377)</f>
        <v>4739181</v>
      </c>
      <c r="G401" s="909">
        <f t="shared" si="269"/>
        <v>59310</v>
      </c>
      <c r="H401" s="909">
        <f t="shared" si="269"/>
        <v>20698</v>
      </c>
      <c r="I401" s="909">
        <f t="shared" si="269"/>
        <v>97402</v>
      </c>
      <c r="J401" s="909">
        <f t="shared" si="269"/>
        <v>371369</v>
      </c>
      <c r="K401" s="909">
        <f t="shared" si="269"/>
        <v>0</v>
      </c>
      <c r="L401" s="909">
        <f t="shared" si="269"/>
        <v>3835</v>
      </c>
      <c r="M401" s="909">
        <f t="shared" si="269"/>
        <v>499</v>
      </c>
      <c r="N401" s="909">
        <f t="shared" si="269"/>
        <v>160</v>
      </c>
      <c r="O401" s="909">
        <f t="shared" si="269"/>
        <v>0</v>
      </c>
      <c r="P401" s="909">
        <f t="shared" si="269"/>
        <v>4316</v>
      </c>
      <c r="Q401" s="909">
        <f t="shared" si="269"/>
        <v>224981</v>
      </c>
      <c r="R401" s="909">
        <f t="shared" si="269"/>
        <v>1635781</v>
      </c>
      <c r="S401" s="909">
        <f t="shared" si="269"/>
        <v>2320830</v>
      </c>
    </row>
    <row r="404" spans="1:9" ht="23.25">
      <c r="A404" s="1084" t="s">
        <v>1143</v>
      </c>
      <c r="B404" s="1084"/>
      <c r="C404" s="1084"/>
      <c r="D404" s="1084"/>
      <c r="E404" s="1084"/>
      <c r="F404" s="1084"/>
      <c r="G404" s="1084"/>
      <c r="H404" s="1084"/>
      <c r="I404" s="1034"/>
    </row>
    <row r="405" spans="1:9" ht="23.25">
      <c r="A405" s="1084" t="s">
        <v>1144</v>
      </c>
      <c r="B405" s="1084"/>
      <c r="C405" s="1084"/>
      <c r="D405" s="1084"/>
      <c r="E405" s="1084"/>
      <c r="F405" s="1084"/>
      <c r="G405" s="1084"/>
      <c r="H405" s="1084"/>
      <c r="I405" s="1084"/>
    </row>
    <row r="406" spans="1:9" ht="23.25">
      <c r="A406" s="1084" t="s">
        <v>1145</v>
      </c>
      <c r="B406" s="1084"/>
      <c r="C406" s="1084"/>
      <c r="D406" s="1084"/>
      <c r="E406" s="1084"/>
      <c r="F406" s="1084"/>
      <c r="G406" s="1084"/>
      <c r="H406" s="1084"/>
      <c r="I406" s="1084"/>
    </row>
    <row r="407" spans="1:9" ht="23.25">
      <c r="A407" s="1084" t="s">
        <v>1146</v>
      </c>
      <c r="B407" s="1084"/>
      <c r="C407" s="1084"/>
      <c r="D407" s="1084"/>
      <c r="E407" s="1084"/>
      <c r="F407" s="1084"/>
      <c r="G407" s="1084"/>
      <c r="H407" s="1084"/>
      <c r="I407" s="1084"/>
    </row>
  </sheetData>
  <mergeCells count="28">
    <mergeCell ref="B5:S5"/>
    <mergeCell ref="A7:D9"/>
    <mergeCell ref="E7:E9"/>
    <mergeCell ref="F7:F9"/>
    <mergeCell ref="G7:L7"/>
    <mergeCell ref="M7:P7"/>
    <mergeCell ref="Q7:R7"/>
    <mergeCell ref="S7:S9"/>
    <mergeCell ref="G8:G9"/>
    <mergeCell ref="H8:H9"/>
    <mergeCell ref="R8:R9"/>
    <mergeCell ref="L8:L9"/>
    <mergeCell ref="M8:M9"/>
    <mergeCell ref="N8:N9"/>
    <mergeCell ref="O8:O9"/>
    <mergeCell ref="P8:P9"/>
    <mergeCell ref="Q8:Q9"/>
    <mergeCell ref="B380:C380"/>
    <mergeCell ref="B385:C385"/>
    <mergeCell ref="I8:I9"/>
    <mergeCell ref="J8:J9"/>
    <mergeCell ref="K8:K9"/>
    <mergeCell ref="A404:H404"/>
    <mergeCell ref="A405:I405"/>
    <mergeCell ref="A406:I406"/>
    <mergeCell ref="A407:I407"/>
    <mergeCell ref="B391:C391"/>
    <mergeCell ref="B397:C397"/>
  </mergeCells>
  <conditionalFormatting sqref="E10:S384">
    <cfRule type="cellIs" priority="2" dxfId="0" operator="lessThan">
      <formula>0</formula>
    </cfRule>
  </conditionalFormatting>
  <conditionalFormatting sqref="E1:S4">
    <cfRule type="cellIs" priority="1" dxfId="0" operator="lessThan">
      <formula>0</formula>
    </cfRule>
  </conditionalFormatting>
  <printOptions horizontalCentered="1"/>
  <pageMargins left="0.7086614173228347" right="0.7086614173228347" top="0.9448818897637796" bottom="0.7480314960629921" header="0.7086614173228347" footer="0.31496062992125984"/>
  <pageSetup fitToHeight="0" fitToWidth="1" horizontalDpi="600" verticalDpi="600" orientation="landscape" paperSize="9" scale="32" r:id="rId1"/>
  <headerFooter>
    <oddHeader>&amp;L&amp;20 5. melléklet a 1/2017.(II.24.) önkormányzati rendelethez
5. melléklet a 29/2015.(XII.18.) önkormányzati rendelethez</oddHeader>
  </headerFooter>
  <rowBreaks count="3" manualBreakCount="3">
    <brk id="184" max="16383" man="1"/>
    <brk id="271" max="16383" man="1"/>
    <brk id="36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MJ190"/>
  <sheetViews>
    <sheetView view="pageBreakPreview" zoomScale="60" workbookViewId="0" topLeftCell="A44">
      <selection activeCell="A144" sqref="A144:XFD144"/>
    </sheetView>
  </sheetViews>
  <sheetFormatPr defaultColWidth="9.00390625" defaultRowHeight="12.75"/>
  <cols>
    <col min="1" max="1" width="31.125" style="638" customWidth="1"/>
    <col min="2" max="2" width="11.375" style="638" customWidth="1"/>
    <col min="3" max="3" width="85.25390625" style="638" customWidth="1"/>
    <col min="4" max="4" width="22.00390625" style="638" customWidth="1"/>
    <col min="5" max="5" width="14.625" style="638" customWidth="1"/>
    <col min="6" max="6" width="15.125" style="638" customWidth="1"/>
    <col min="7" max="7" width="20.875" style="638" customWidth="1"/>
    <col min="8" max="8" width="17.75390625" style="638" customWidth="1"/>
    <col min="9" max="9" width="14.375" style="638" customWidth="1"/>
    <col min="10" max="10" width="16.25390625" style="638" customWidth="1"/>
    <col min="11" max="11" width="18.75390625" style="638" customWidth="1"/>
    <col min="12" max="12" width="18.625" style="638" customWidth="1"/>
    <col min="13" max="13" width="18.75390625" style="638" customWidth="1"/>
    <col min="14" max="14" width="20.75390625" style="638" customWidth="1"/>
    <col min="15" max="15" width="22.25390625" style="638" customWidth="1"/>
    <col min="16" max="16" width="23.00390625" style="638" customWidth="1"/>
    <col min="17" max="17" width="19.75390625" style="638" customWidth="1"/>
    <col min="18" max="18" width="23.875" style="638" customWidth="1"/>
    <col min="19" max="1025" width="9.125" style="638" customWidth="1"/>
    <col min="1026" max="16384" width="9.125" style="637" customWidth="1"/>
  </cols>
  <sheetData>
    <row r="1" spans="1:1024" s="638" customFormat="1" ht="47.25" customHeight="1">
      <c r="A1" s="1095" t="s">
        <v>810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5"/>
      <c r="M1" s="1095"/>
      <c r="N1" s="1095"/>
      <c r="O1" s="1095"/>
      <c r="P1" s="1095"/>
      <c r="Q1" s="1095"/>
      <c r="R1" s="1095"/>
      <c r="S1" s="1030"/>
      <c r="T1" s="637"/>
      <c r="U1" s="637"/>
      <c r="V1" s="637"/>
      <c r="W1" s="637"/>
      <c r="X1" s="637"/>
      <c r="Y1" s="637"/>
      <c r="Z1" s="637"/>
      <c r="AA1" s="637"/>
      <c r="AB1" s="637"/>
      <c r="AC1" s="637"/>
      <c r="AD1" s="637"/>
      <c r="AE1" s="637"/>
      <c r="AF1" s="637"/>
      <c r="AG1" s="637"/>
      <c r="AH1" s="637"/>
      <c r="AI1" s="637"/>
      <c r="AJ1" s="637"/>
      <c r="AK1" s="637"/>
      <c r="AL1" s="637"/>
      <c r="AM1" s="637"/>
      <c r="AN1" s="637"/>
      <c r="AO1" s="637"/>
      <c r="AP1" s="637"/>
      <c r="AQ1" s="637"/>
      <c r="AR1" s="637"/>
      <c r="AS1" s="637"/>
      <c r="AT1" s="637"/>
      <c r="AU1" s="637"/>
      <c r="AV1" s="637"/>
      <c r="AW1" s="637"/>
      <c r="AX1" s="637"/>
      <c r="AY1" s="637"/>
      <c r="AZ1" s="637"/>
      <c r="BA1" s="637"/>
      <c r="BB1" s="637"/>
      <c r="BC1" s="637"/>
      <c r="BD1" s="637"/>
      <c r="BE1" s="637"/>
      <c r="BF1" s="637"/>
      <c r="BG1" s="637"/>
      <c r="BH1" s="637"/>
      <c r="BI1" s="637"/>
      <c r="BJ1" s="637"/>
      <c r="BK1" s="637"/>
      <c r="BL1" s="637"/>
      <c r="BM1" s="637"/>
      <c r="BN1" s="637"/>
      <c r="BO1" s="637"/>
      <c r="BP1" s="637"/>
      <c r="BQ1" s="637"/>
      <c r="BR1" s="637"/>
      <c r="BS1" s="637"/>
      <c r="BT1" s="637"/>
      <c r="BU1" s="637"/>
      <c r="BV1" s="637"/>
      <c r="BW1" s="637"/>
      <c r="BX1" s="637"/>
      <c r="BY1" s="637"/>
      <c r="BZ1" s="637"/>
      <c r="CA1" s="637"/>
      <c r="CB1" s="637"/>
      <c r="CC1" s="637"/>
      <c r="CD1" s="637"/>
      <c r="CE1" s="637"/>
      <c r="CF1" s="637"/>
      <c r="CG1" s="637"/>
      <c r="CH1" s="637"/>
      <c r="CI1" s="637"/>
      <c r="CJ1" s="637"/>
      <c r="CK1" s="637"/>
      <c r="CL1" s="637"/>
      <c r="CM1" s="637"/>
      <c r="CN1" s="637"/>
      <c r="CO1" s="637"/>
      <c r="CP1" s="637"/>
      <c r="CQ1" s="637"/>
      <c r="CR1" s="637"/>
      <c r="CS1" s="637"/>
      <c r="CT1" s="637"/>
      <c r="CU1" s="637"/>
      <c r="CV1" s="637"/>
      <c r="CW1" s="637"/>
      <c r="CX1" s="637"/>
      <c r="CY1" s="637"/>
      <c r="CZ1" s="637"/>
      <c r="DA1" s="637"/>
      <c r="DB1" s="637"/>
      <c r="DC1" s="637"/>
      <c r="DD1" s="637"/>
      <c r="DE1" s="637"/>
      <c r="DF1" s="637"/>
      <c r="DG1" s="637"/>
      <c r="DH1" s="637"/>
      <c r="DI1" s="637"/>
      <c r="DJ1" s="637"/>
      <c r="DK1" s="637"/>
      <c r="DL1" s="637"/>
      <c r="DM1" s="637"/>
      <c r="DN1" s="637"/>
      <c r="DO1" s="637"/>
      <c r="DP1" s="637"/>
      <c r="DQ1" s="637"/>
      <c r="DR1" s="637"/>
      <c r="DS1" s="637"/>
      <c r="DT1" s="637"/>
      <c r="DU1" s="637"/>
      <c r="DV1" s="637"/>
      <c r="DW1" s="637"/>
      <c r="DX1" s="637"/>
      <c r="DY1" s="637"/>
      <c r="DZ1" s="637"/>
      <c r="EA1" s="637"/>
      <c r="EB1" s="637"/>
      <c r="EC1" s="637"/>
      <c r="ED1" s="637"/>
      <c r="EE1" s="637"/>
      <c r="EF1" s="637"/>
      <c r="EG1" s="637"/>
      <c r="EH1" s="637"/>
      <c r="EI1" s="637"/>
      <c r="EJ1" s="637"/>
      <c r="EK1" s="637"/>
      <c r="EL1" s="637"/>
      <c r="EM1" s="637"/>
      <c r="EN1" s="637"/>
      <c r="EO1" s="637"/>
      <c r="EP1" s="637"/>
      <c r="EQ1" s="637"/>
      <c r="ER1" s="637"/>
      <c r="ES1" s="637"/>
      <c r="ET1" s="637"/>
      <c r="EU1" s="637"/>
      <c r="EV1" s="637"/>
      <c r="EW1" s="637"/>
      <c r="EX1" s="637"/>
      <c r="EY1" s="637"/>
      <c r="EZ1" s="637"/>
      <c r="FA1" s="637"/>
      <c r="FB1" s="637"/>
      <c r="FC1" s="637"/>
      <c r="FD1" s="637"/>
      <c r="FE1" s="637"/>
      <c r="FF1" s="637"/>
      <c r="FG1" s="637"/>
      <c r="FH1" s="637"/>
      <c r="FI1" s="637"/>
      <c r="FJ1" s="637"/>
      <c r="FK1" s="637"/>
      <c r="FL1" s="637"/>
      <c r="FM1" s="637"/>
      <c r="FN1" s="637"/>
      <c r="FO1" s="637"/>
      <c r="FP1" s="637"/>
      <c r="FQ1" s="637"/>
      <c r="FR1" s="637"/>
      <c r="FS1" s="637"/>
      <c r="FT1" s="637"/>
      <c r="FU1" s="637"/>
      <c r="FV1" s="637"/>
      <c r="FW1" s="637"/>
      <c r="FX1" s="637"/>
      <c r="FY1" s="637"/>
      <c r="FZ1" s="637"/>
      <c r="GA1" s="637"/>
      <c r="GB1" s="637"/>
      <c r="GC1" s="637"/>
      <c r="GD1" s="637"/>
      <c r="GE1" s="637"/>
      <c r="GF1" s="637"/>
      <c r="GG1" s="637"/>
      <c r="GH1" s="637"/>
      <c r="GI1" s="637"/>
      <c r="GJ1" s="637"/>
      <c r="GK1" s="637"/>
      <c r="GL1" s="637"/>
      <c r="GM1" s="637"/>
      <c r="GN1" s="637"/>
      <c r="GO1" s="637"/>
      <c r="GP1" s="637"/>
      <c r="GQ1" s="637"/>
      <c r="GR1" s="637"/>
      <c r="GS1" s="637"/>
      <c r="GT1" s="637"/>
      <c r="GU1" s="637"/>
      <c r="GV1" s="637"/>
      <c r="GW1" s="637"/>
      <c r="GX1" s="637"/>
      <c r="GY1" s="637"/>
      <c r="GZ1" s="637"/>
      <c r="HA1" s="637"/>
      <c r="HB1" s="637"/>
      <c r="HC1" s="637"/>
      <c r="HD1" s="637"/>
      <c r="HE1" s="637"/>
      <c r="HF1" s="637"/>
      <c r="HG1" s="637"/>
      <c r="HH1" s="637"/>
      <c r="HI1" s="637"/>
      <c r="HJ1" s="637"/>
      <c r="HK1" s="637"/>
      <c r="HL1" s="637"/>
      <c r="HM1" s="637"/>
      <c r="HN1" s="637"/>
      <c r="HO1" s="637"/>
      <c r="HP1" s="637"/>
      <c r="HQ1" s="637"/>
      <c r="HR1" s="637"/>
      <c r="HS1" s="637"/>
      <c r="HT1" s="637"/>
      <c r="HU1" s="637"/>
      <c r="HV1" s="637"/>
      <c r="HW1" s="637"/>
      <c r="HX1" s="637"/>
      <c r="HY1" s="637"/>
      <c r="HZ1" s="637"/>
      <c r="IA1" s="637"/>
      <c r="IB1" s="637"/>
      <c r="IC1" s="637"/>
      <c r="ID1" s="637"/>
      <c r="IE1" s="637"/>
      <c r="IF1" s="637"/>
      <c r="IG1" s="637"/>
      <c r="IH1" s="637"/>
      <c r="II1" s="637"/>
      <c r="IJ1" s="637"/>
      <c r="IK1" s="637"/>
      <c r="IL1" s="637"/>
      <c r="IM1" s="637"/>
      <c r="IN1" s="637"/>
      <c r="IO1" s="637"/>
      <c r="IP1" s="637"/>
      <c r="IQ1" s="637"/>
      <c r="IR1" s="637"/>
      <c r="IS1" s="637"/>
      <c r="IT1" s="637"/>
      <c r="IU1" s="637"/>
      <c r="IV1" s="637"/>
      <c r="IW1" s="637"/>
      <c r="IX1" s="637"/>
      <c r="IY1" s="637"/>
      <c r="IZ1" s="637"/>
      <c r="JA1" s="637"/>
      <c r="JB1" s="637"/>
      <c r="JC1" s="637"/>
      <c r="JD1" s="637"/>
      <c r="JE1" s="637"/>
      <c r="JF1" s="637"/>
      <c r="JG1" s="637"/>
      <c r="JH1" s="637"/>
      <c r="JI1" s="637"/>
      <c r="JJ1" s="637"/>
      <c r="JK1" s="637"/>
      <c r="JL1" s="637"/>
      <c r="JM1" s="637"/>
      <c r="JN1" s="637"/>
      <c r="JO1" s="637"/>
      <c r="JP1" s="637"/>
      <c r="JQ1" s="637"/>
      <c r="JR1" s="637"/>
      <c r="JS1" s="637"/>
      <c r="JT1" s="637"/>
      <c r="JU1" s="637"/>
      <c r="JV1" s="637"/>
      <c r="JW1" s="637"/>
      <c r="JX1" s="637"/>
      <c r="JY1" s="637"/>
      <c r="JZ1" s="637"/>
      <c r="KA1" s="637"/>
      <c r="KB1" s="637"/>
      <c r="KC1" s="637"/>
      <c r="KD1" s="637"/>
      <c r="KE1" s="637"/>
      <c r="KF1" s="637"/>
      <c r="KG1" s="637"/>
      <c r="KH1" s="637"/>
      <c r="KI1" s="637"/>
      <c r="KJ1" s="637"/>
      <c r="KK1" s="637"/>
      <c r="KL1" s="637"/>
      <c r="KM1" s="637"/>
      <c r="KN1" s="637"/>
      <c r="KO1" s="637"/>
      <c r="KP1" s="637"/>
      <c r="KQ1" s="637"/>
      <c r="KR1" s="637"/>
      <c r="KS1" s="637"/>
      <c r="KT1" s="637"/>
      <c r="KU1" s="637"/>
      <c r="KV1" s="637"/>
      <c r="KW1" s="637"/>
      <c r="KX1" s="637"/>
      <c r="KY1" s="637"/>
      <c r="KZ1" s="637"/>
      <c r="LA1" s="637"/>
      <c r="LB1" s="637"/>
      <c r="LC1" s="637"/>
      <c r="LD1" s="637"/>
      <c r="LE1" s="637"/>
      <c r="LF1" s="637"/>
      <c r="LG1" s="637"/>
      <c r="LH1" s="637"/>
      <c r="LI1" s="637"/>
      <c r="LJ1" s="637"/>
      <c r="LK1" s="637"/>
      <c r="LL1" s="637"/>
      <c r="LM1" s="637"/>
      <c r="LN1" s="637"/>
      <c r="LO1" s="637"/>
      <c r="LP1" s="637"/>
      <c r="LQ1" s="637"/>
      <c r="LR1" s="637"/>
      <c r="LS1" s="637"/>
      <c r="LT1" s="637"/>
      <c r="LU1" s="637"/>
      <c r="LV1" s="637"/>
      <c r="LW1" s="637"/>
      <c r="LX1" s="637"/>
      <c r="LY1" s="637"/>
      <c r="LZ1" s="637"/>
      <c r="MA1" s="637"/>
      <c r="MB1" s="637"/>
      <c r="MC1" s="637"/>
      <c r="MD1" s="637"/>
      <c r="ME1" s="637"/>
      <c r="MF1" s="637"/>
      <c r="MG1" s="637"/>
      <c r="MH1" s="637"/>
      <c r="MI1" s="637"/>
      <c r="MJ1" s="637"/>
      <c r="MK1" s="637"/>
      <c r="ML1" s="637"/>
      <c r="MM1" s="637"/>
      <c r="MN1" s="637"/>
      <c r="MO1" s="637"/>
      <c r="MP1" s="637"/>
      <c r="MQ1" s="637"/>
      <c r="MR1" s="637"/>
      <c r="MS1" s="637"/>
      <c r="MT1" s="637"/>
      <c r="MU1" s="637"/>
      <c r="MV1" s="637"/>
      <c r="MW1" s="637"/>
      <c r="MX1" s="637"/>
      <c r="MY1" s="637"/>
      <c r="MZ1" s="637"/>
      <c r="NA1" s="637"/>
      <c r="NB1" s="637"/>
      <c r="NC1" s="637"/>
      <c r="ND1" s="637"/>
      <c r="NE1" s="637"/>
      <c r="NF1" s="637"/>
      <c r="NG1" s="637"/>
      <c r="NH1" s="637"/>
      <c r="NI1" s="637"/>
      <c r="NJ1" s="637"/>
      <c r="NK1" s="637"/>
      <c r="NL1" s="637"/>
      <c r="NM1" s="637"/>
      <c r="NN1" s="637"/>
      <c r="NO1" s="637"/>
      <c r="NP1" s="637"/>
      <c r="NQ1" s="637"/>
      <c r="NR1" s="637"/>
      <c r="NS1" s="637"/>
      <c r="NT1" s="637"/>
      <c r="NU1" s="637"/>
      <c r="NV1" s="637"/>
      <c r="NW1" s="637"/>
      <c r="NX1" s="637"/>
      <c r="NY1" s="637"/>
      <c r="NZ1" s="637"/>
      <c r="OA1" s="637"/>
      <c r="OB1" s="637"/>
      <c r="OC1" s="637"/>
      <c r="OD1" s="637"/>
      <c r="OE1" s="637"/>
      <c r="OF1" s="637"/>
      <c r="OG1" s="637"/>
      <c r="OH1" s="637"/>
      <c r="OI1" s="637"/>
      <c r="OJ1" s="637"/>
      <c r="OK1" s="637"/>
      <c r="OL1" s="637"/>
      <c r="OM1" s="637"/>
      <c r="ON1" s="637"/>
      <c r="OO1" s="637"/>
      <c r="OP1" s="637"/>
      <c r="OQ1" s="637"/>
      <c r="OR1" s="637"/>
      <c r="OS1" s="637"/>
      <c r="OT1" s="637"/>
      <c r="OU1" s="637"/>
      <c r="OV1" s="637"/>
      <c r="OW1" s="637"/>
      <c r="OX1" s="637"/>
      <c r="OY1" s="637"/>
      <c r="OZ1" s="637"/>
      <c r="PA1" s="637"/>
      <c r="PB1" s="637"/>
      <c r="PC1" s="637"/>
      <c r="PD1" s="637"/>
      <c r="PE1" s="637"/>
      <c r="PF1" s="637"/>
      <c r="PG1" s="637"/>
      <c r="PH1" s="637"/>
      <c r="PI1" s="637"/>
      <c r="PJ1" s="637"/>
      <c r="PK1" s="637"/>
      <c r="PL1" s="637"/>
      <c r="PM1" s="637"/>
      <c r="PN1" s="637"/>
      <c r="PO1" s="637"/>
      <c r="PP1" s="637"/>
      <c r="PQ1" s="637"/>
      <c r="PR1" s="637"/>
      <c r="PS1" s="637"/>
      <c r="PT1" s="637"/>
      <c r="PU1" s="637"/>
      <c r="PV1" s="637"/>
      <c r="PW1" s="637"/>
      <c r="PX1" s="637"/>
      <c r="PY1" s="637"/>
      <c r="PZ1" s="637"/>
      <c r="QA1" s="637"/>
      <c r="QB1" s="637"/>
      <c r="QC1" s="637"/>
      <c r="QD1" s="637"/>
      <c r="QE1" s="637"/>
      <c r="QF1" s="637"/>
      <c r="QG1" s="637"/>
      <c r="QH1" s="637"/>
      <c r="QI1" s="637"/>
      <c r="QJ1" s="637"/>
      <c r="QK1" s="637"/>
      <c r="QL1" s="637"/>
      <c r="QM1" s="637"/>
      <c r="QN1" s="637"/>
      <c r="QO1" s="637"/>
      <c r="QP1" s="637"/>
      <c r="QQ1" s="637"/>
      <c r="QR1" s="637"/>
      <c r="QS1" s="637"/>
      <c r="QT1" s="637"/>
      <c r="QU1" s="637"/>
      <c r="QV1" s="637"/>
      <c r="QW1" s="637"/>
      <c r="QX1" s="637"/>
      <c r="QY1" s="637"/>
      <c r="QZ1" s="637"/>
      <c r="RA1" s="637"/>
      <c r="RB1" s="637"/>
      <c r="RC1" s="637"/>
      <c r="RD1" s="637"/>
      <c r="RE1" s="637"/>
      <c r="RF1" s="637"/>
      <c r="RG1" s="637"/>
      <c r="RH1" s="637"/>
      <c r="RI1" s="637"/>
      <c r="RJ1" s="637"/>
      <c r="RK1" s="637"/>
      <c r="RL1" s="637"/>
      <c r="RM1" s="637"/>
      <c r="RN1" s="637"/>
      <c r="RO1" s="637"/>
      <c r="RP1" s="637"/>
      <c r="RQ1" s="637"/>
      <c r="RR1" s="637"/>
      <c r="RS1" s="637"/>
      <c r="RT1" s="637"/>
      <c r="RU1" s="637"/>
      <c r="RV1" s="637"/>
      <c r="RW1" s="637"/>
      <c r="RX1" s="637"/>
      <c r="RY1" s="637"/>
      <c r="RZ1" s="637"/>
      <c r="SA1" s="637"/>
      <c r="SB1" s="637"/>
      <c r="SC1" s="637"/>
      <c r="SD1" s="637"/>
      <c r="SE1" s="637"/>
      <c r="SF1" s="637"/>
      <c r="SG1" s="637"/>
      <c r="SH1" s="637"/>
      <c r="SI1" s="637"/>
      <c r="SJ1" s="637"/>
      <c r="SK1" s="637"/>
      <c r="SL1" s="637"/>
      <c r="SM1" s="637"/>
      <c r="SN1" s="637"/>
      <c r="SO1" s="637"/>
      <c r="SP1" s="637"/>
      <c r="SQ1" s="637"/>
      <c r="SR1" s="637"/>
      <c r="SS1" s="637"/>
      <c r="ST1" s="637"/>
      <c r="SU1" s="637"/>
      <c r="SV1" s="637"/>
      <c r="SW1" s="637"/>
      <c r="SX1" s="637"/>
      <c r="SY1" s="637"/>
      <c r="SZ1" s="637"/>
      <c r="TA1" s="637"/>
      <c r="TB1" s="637"/>
      <c r="TC1" s="637"/>
      <c r="TD1" s="637"/>
      <c r="TE1" s="637"/>
      <c r="TF1" s="637"/>
      <c r="TG1" s="637"/>
      <c r="TH1" s="637"/>
      <c r="TI1" s="637"/>
      <c r="TJ1" s="637"/>
      <c r="TK1" s="637"/>
      <c r="TL1" s="637"/>
      <c r="TM1" s="637"/>
      <c r="TN1" s="637"/>
      <c r="TO1" s="637"/>
      <c r="TP1" s="637"/>
      <c r="TQ1" s="637"/>
      <c r="TR1" s="637"/>
      <c r="TS1" s="637"/>
      <c r="TT1" s="637"/>
      <c r="TU1" s="637"/>
      <c r="TV1" s="637"/>
      <c r="TW1" s="637"/>
      <c r="TX1" s="637"/>
      <c r="TY1" s="637"/>
      <c r="TZ1" s="637"/>
      <c r="UA1" s="637"/>
      <c r="UB1" s="637"/>
      <c r="UC1" s="637"/>
      <c r="UD1" s="637"/>
      <c r="UE1" s="637"/>
      <c r="UF1" s="637"/>
      <c r="UG1" s="637"/>
      <c r="UH1" s="637"/>
      <c r="UI1" s="637"/>
      <c r="UJ1" s="637"/>
      <c r="UK1" s="637"/>
      <c r="UL1" s="637"/>
      <c r="UM1" s="637"/>
      <c r="UN1" s="637"/>
      <c r="UO1" s="637"/>
      <c r="UP1" s="637"/>
      <c r="UQ1" s="637"/>
      <c r="UR1" s="637"/>
      <c r="US1" s="637"/>
      <c r="UT1" s="637"/>
      <c r="UU1" s="637"/>
      <c r="UV1" s="637"/>
      <c r="UW1" s="637"/>
      <c r="UX1" s="637"/>
      <c r="UY1" s="637"/>
      <c r="UZ1" s="637"/>
      <c r="VA1" s="637"/>
      <c r="VB1" s="637"/>
      <c r="VC1" s="637"/>
      <c r="VD1" s="637"/>
      <c r="VE1" s="637"/>
      <c r="VF1" s="637"/>
      <c r="VG1" s="637"/>
      <c r="VH1" s="637"/>
      <c r="VI1" s="637"/>
      <c r="VJ1" s="637"/>
      <c r="VK1" s="637"/>
      <c r="VL1" s="637"/>
      <c r="VM1" s="637"/>
      <c r="VN1" s="637"/>
      <c r="VO1" s="637"/>
      <c r="VP1" s="637"/>
      <c r="VQ1" s="637"/>
      <c r="VR1" s="637"/>
      <c r="VS1" s="637"/>
      <c r="VT1" s="637"/>
      <c r="VU1" s="637"/>
      <c r="VV1" s="637"/>
      <c r="VW1" s="637"/>
      <c r="VX1" s="637"/>
      <c r="VY1" s="637"/>
      <c r="VZ1" s="637"/>
      <c r="WA1" s="637"/>
      <c r="WB1" s="637"/>
      <c r="WC1" s="637"/>
      <c r="WD1" s="637"/>
      <c r="WE1" s="637"/>
      <c r="WF1" s="637"/>
      <c r="WG1" s="637"/>
      <c r="WH1" s="637"/>
      <c r="WI1" s="637"/>
      <c r="WJ1" s="637"/>
      <c r="WK1" s="637"/>
      <c r="WL1" s="637"/>
      <c r="WM1" s="637"/>
      <c r="WN1" s="637"/>
      <c r="WO1" s="637"/>
      <c r="WP1" s="637"/>
      <c r="WQ1" s="637"/>
      <c r="WR1" s="637"/>
      <c r="WS1" s="637"/>
      <c r="WT1" s="637"/>
      <c r="WU1" s="637"/>
      <c r="WV1" s="637"/>
      <c r="WW1" s="637"/>
      <c r="WX1" s="637"/>
      <c r="WY1" s="637"/>
      <c r="WZ1" s="637"/>
      <c r="XA1" s="637"/>
      <c r="XB1" s="637"/>
      <c r="XC1" s="637"/>
      <c r="XD1" s="637"/>
      <c r="XE1" s="637"/>
      <c r="XF1" s="637"/>
      <c r="XG1" s="637"/>
      <c r="XH1" s="637"/>
      <c r="XI1" s="637"/>
      <c r="XJ1" s="637"/>
      <c r="XK1" s="637"/>
      <c r="XL1" s="637"/>
      <c r="XM1" s="637"/>
      <c r="XN1" s="637"/>
      <c r="XO1" s="637"/>
      <c r="XP1" s="637"/>
      <c r="XQ1" s="637"/>
      <c r="XR1" s="637"/>
      <c r="XS1" s="637"/>
      <c r="XT1" s="637"/>
      <c r="XU1" s="637"/>
      <c r="XV1" s="637"/>
      <c r="XW1" s="637"/>
      <c r="XX1" s="637"/>
      <c r="XY1" s="637"/>
      <c r="XZ1" s="637"/>
      <c r="YA1" s="637"/>
      <c r="YB1" s="637"/>
      <c r="YC1" s="637"/>
      <c r="YD1" s="637"/>
      <c r="YE1" s="637"/>
      <c r="YF1" s="637"/>
      <c r="YG1" s="637"/>
      <c r="YH1" s="637"/>
      <c r="YI1" s="637"/>
      <c r="YJ1" s="637"/>
      <c r="YK1" s="637"/>
      <c r="YL1" s="637"/>
      <c r="YM1" s="637"/>
      <c r="YN1" s="637"/>
      <c r="YO1" s="637"/>
      <c r="YP1" s="637"/>
      <c r="YQ1" s="637"/>
      <c r="YR1" s="637"/>
      <c r="YS1" s="637"/>
      <c r="YT1" s="637"/>
      <c r="YU1" s="637"/>
      <c r="YV1" s="637"/>
      <c r="YW1" s="637"/>
      <c r="YX1" s="637"/>
      <c r="YY1" s="637"/>
      <c r="YZ1" s="637"/>
      <c r="ZA1" s="637"/>
      <c r="ZB1" s="637"/>
      <c r="ZC1" s="637"/>
      <c r="ZD1" s="637"/>
      <c r="ZE1" s="637"/>
      <c r="ZF1" s="637"/>
      <c r="ZG1" s="637"/>
      <c r="ZH1" s="637"/>
      <c r="ZI1" s="637"/>
      <c r="ZJ1" s="637"/>
      <c r="ZK1" s="637"/>
      <c r="ZL1" s="637"/>
      <c r="ZM1" s="637"/>
      <c r="ZN1" s="637"/>
      <c r="ZO1" s="637"/>
      <c r="ZP1" s="637"/>
      <c r="ZQ1" s="637"/>
      <c r="ZR1" s="637"/>
      <c r="ZS1" s="637"/>
      <c r="ZT1" s="637"/>
      <c r="ZU1" s="637"/>
      <c r="ZV1" s="637"/>
      <c r="ZW1" s="637"/>
      <c r="ZX1" s="637"/>
      <c r="ZY1" s="637"/>
      <c r="ZZ1" s="637"/>
      <c r="AAA1" s="637"/>
      <c r="AAB1" s="637"/>
      <c r="AAC1" s="637"/>
      <c r="AAD1" s="637"/>
      <c r="AAE1" s="637"/>
      <c r="AAF1" s="637"/>
      <c r="AAG1" s="637"/>
      <c r="AAH1" s="637"/>
      <c r="AAI1" s="637"/>
      <c r="AAJ1" s="637"/>
      <c r="AAK1" s="637"/>
      <c r="AAL1" s="637"/>
      <c r="AAM1" s="637"/>
      <c r="AAN1" s="637"/>
      <c r="AAO1" s="637"/>
      <c r="AAP1" s="637"/>
      <c r="AAQ1" s="637"/>
      <c r="AAR1" s="637"/>
      <c r="AAS1" s="637"/>
      <c r="AAT1" s="637"/>
      <c r="AAU1" s="637"/>
      <c r="AAV1" s="637"/>
      <c r="AAW1" s="637"/>
      <c r="AAX1" s="637"/>
      <c r="AAY1" s="637"/>
      <c r="AAZ1" s="637"/>
      <c r="ABA1" s="637"/>
      <c r="ABB1" s="637"/>
      <c r="ABC1" s="637"/>
      <c r="ABD1" s="637"/>
      <c r="ABE1" s="637"/>
      <c r="ABF1" s="637"/>
      <c r="ABG1" s="637"/>
      <c r="ABH1" s="637"/>
      <c r="ABI1" s="637"/>
      <c r="ABJ1" s="637"/>
      <c r="ABK1" s="637"/>
      <c r="ABL1" s="637"/>
      <c r="ABM1" s="637"/>
      <c r="ABN1" s="637"/>
      <c r="ABO1" s="637"/>
      <c r="ABP1" s="637"/>
      <c r="ABQ1" s="637"/>
      <c r="ABR1" s="637"/>
      <c r="ABS1" s="637"/>
      <c r="ABT1" s="637"/>
      <c r="ABU1" s="637"/>
      <c r="ABV1" s="637"/>
      <c r="ABW1" s="637"/>
      <c r="ABX1" s="637"/>
      <c r="ABY1" s="637"/>
      <c r="ABZ1" s="637"/>
      <c r="ACA1" s="637"/>
      <c r="ACB1" s="637"/>
      <c r="ACC1" s="637"/>
      <c r="ACD1" s="637"/>
      <c r="ACE1" s="637"/>
      <c r="ACF1" s="637"/>
      <c r="ACG1" s="637"/>
      <c r="ACH1" s="637"/>
      <c r="ACI1" s="637"/>
      <c r="ACJ1" s="637"/>
      <c r="ACK1" s="637"/>
      <c r="ACL1" s="637"/>
      <c r="ACM1" s="637"/>
      <c r="ACN1" s="637"/>
      <c r="ACO1" s="637"/>
      <c r="ACP1" s="637"/>
      <c r="ACQ1" s="637"/>
      <c r="ACR1" s="637"/>
      <c r="ACS1" s="637"/>
      <c r="ACT1" s="637"/>
      <c r="ACU1" s="637"/>
      <c r="ACV1" s="637"/>
      <c r="ACW1" s="637"/>
      <c r="ACX1" s="637"/>
      <c r="ACY1" s="637"/>
      <c r="ACZ1" s="637"/>
      <c r="ADA1" s="637"/>
      <c r="ADB1" s="637"/>
      <c r="ADC1" s="637"/>
      <c r="ADD1" s="637"/>
      <c r="ADE1" s="637"/>
      <c r="ADF1" s="637"/>
      <c r="ADG1" s="637"/>
      <c r="ADH1" s="637"/>
      <c r="ADI1" s="637"/>
      <c r="ADJ1" s="637"/>
      <c r="ADK1" s="637"/>
      <c r="ADL1" s="637"/>
      <c r="ADM1" s="637"/>
      <c r="ADN1" s="637"/>
      <c r="ADO1" s="637"/>
      <c r="ADP1" s="637"/>
      <c r="ADQ1" s="637"/>
      <c r="ADR1" s="637"/>
      <c r="ADS1" s="637"/>
      <c r="ADT1" s="637"/>
      <c r="ADU1" s="637"/>
      <c r="ADV1" s="637"/>
      <c r="ADW1" s="637"/>
      <c r="ADX1" s="637"/>
      <c r="ADY1" s="637"/>
      <c r="ADZ1" s="637"/>
      <c r="AEA1" s="637"/>
      <c r="AEB1" s="637"/>
      <c r="AEC1" s="637"/>
      <c r="AED1" s="637"/>
      <c r="AEE1" s="637"/>
      <c r="AEF1" s="637"/>
      <c r="AEG1" s="637"/>
      <c r="AEH1" s="637"/>
      <c r="AEI1" s="637"/>
      <c r="AEJ1" s="637"/>
      <c r="AEK1" s="637"/>
      <c r="AEL1" s="637"/>
      <c r="AEM1" s="637"/>
      <c r="AEN1" s="637"/>
      <c r="AEO1" s="637"/>
      <c r="AEP1" s="637"/>
      <c r="AEQ1" s="637"/>
      <c r="AER1" s="637"/>
      <c r="AES1" s="637"/>
      <c r="AET1" s="637"/>
      <c r="AEU1" s="637"/>
      <c r="AEV1" s="637"/>
      <c r="AEW1" s="637"/>
      <c r="AEX1" s="637"/>
      <c r="AEY1" s="637"/>
      <c r="AEZ1" s="637"/>
      <c r="AFA1" s="637"/>
      <c r="AFB1" s="637"/>
      <c r="AFC1" s="637"/>
      <c r="AFD1" s="637"/>
      <c r="AFE1" s="637"/>
      <c r="AFF1" s="637"/>
      <c r="AFG1" s="637"/>
      <c r="AFH1" s="637"/>
      <c r="AFI1" s="637"/>
      <c r="AFJ1" s="637"/>
      <c r="AFK1" s="637"/>
      <c r="AFL1" s="637"/>
      <c r="AFM1" s="637"/>
      <c r="AFN1" s="637"/>
      <c r="AFO1" s="637"/>
      <c r="AFP1" s="637"/>
      <c r="AFQ1" s="637"/>
      <c r="AFR1" s="637"/>
      <c r="AFS1" s="637"/>
      <c r="AFT1" s="637"/>
      <c r="AFU1" s="637"/>
      <c r="AFV1" s="637"/>
      <c r="AFW1" s="637"/>
      <c r="AFX1" s="637"/>
      <c r="AFY1" s="637"/>
      <c r="AFZ1" s="637"/>
      <c r="AGA1" s="637"/>
      <c r="AGB1" s="637"/>
      <c r="AGC1" s="637"/>
      <c r="AGD1" s="637"/>
      <c r="AGE1" s="637"/>
      <c r="AGF1" s="637"/>
      <c r="AGG1" s="637"/>
      <c r="AGH1" s="637"/>
      <c r="AGI1" s="637"/>
      <c r="AGJ1" s="637"/>
      <c r="AGK1" s="637"/>
      <c r="AGL1" s="637"/>
      <c r="AGM1" s="637"/>
      <c r="AGN1" s="637"/>
      <c r="AGO1" s="637"/>
      <c r="AGP1" s="637"/>
      <c r="AGQ1" s="637"/>
      <c r="AGR1" s="637"/>
      <c r="AGS1" s="637"/>
      <c r="AGT1" s="637"/>
      <c r="AGU1" s="637"/>
      <c r="AGV1" s="637"/>
      <c r="AGW1" s="637"/>
      <c r="AGX1" s="637"/>
      <c r="AGY1" s="637"/>
      <c r="AGZ1" s="637"/>
      <c r="AHA1" s="637"/>
      <c r="AHB1" s="637"/>
      <c r="AHC1" s="637"/>
      <c r="AHD1" s="637"/>
      <c r="AHE1" s="637"/>
      <c r="AHF1" s="637"/>
      <c r="AHG1" s="637"/>
      <c r="AHH1" s="637"/>
      <c r="AHI1" s="637"/>
      <c r="AHJ1" s="637"/>
      <c r="AHK1" s="637"/>
      <c r="AHL1" s="637"/>
      <c r="AHM1" s="637"/>
      <c r="AHN1" s="637"/>
      <c r="AHO1" s="637"/>
      <c r="AHP1" s="637"/>
      <c r="AHQ1" s="637"/>
      <c r="AHR1" s="637"/>
      <c r="AHS1" s="637"/>
      <c r="AHT1" s="637"/>
      <c r="AHU1" s="637"/>
      <c r="AHV1" s="637"/>
      <c r="AHW1" s="637"/>
      <c r="AHX1" s="637"/>
      <c r="AHY1" s="637"/>
      <c r="AHZ1" s="637"/>
      <c r="AIA1" s="637"/>
      <c r="AIB1" s="637"/>
      <c r="AIC1" s="637"/>
      <c r="AID1" s="637"/>
      <c r="AIE1" s="637"/>
      <c r="AIF1" s="637"/>
      <c r="AIG1" s="637"/>
      <c r="AIH1" s="637"/>
      <c r="AII1" s="637"/>
      <c r="AIJ1" s="637"/>
      <c r="AIK1" s="637"/>
      <c r="AIL1" s="637"/>
      <c r="AIM1" s="637"/>
      <c r="AIN1" s="637"/>
      <c r="AIO1" s="637"/>
      <c r="AIP1" s="637"/>
      <c r="AIQ1" s="637"/>
      <c r="AIR1" s="637"/>
      <c r="AIS1" s="637"/>
      <c r="AIT1" s="637"/>
      <c r="AIU1" s="637"/>
      <c r="AIV1" s="637"/>
      <c r="AIW1" s="637"/>
      <c r="AIX1" s="637"/>
      <c r="AIY1" s="637"/>
      <c r="AIZ1" s="637"/>
      <c r="AJA1" s="637"/>
      <c r="AJB1" s="637"/>
      <c r="AJC1" s="637"/>
      <c r="AJD1" s="637"/>
      <c r="AJE1" s="637"/>
      <c r="AJF1" s="637"/>
      <c r="AJG1" s="637"/>
      <c r="AJH1" s="637"/>
      <c r="AJI1" s="637"/>
      <c r="AJJ1" s="637"/>
      <c r="AJK1" s="637"/>
      <c r="AJL1" s="637"/>
      <c r="AJM1" s="637"/>
      <c r="AJN1" s="637"/>
      <c r="AJO1" s="637"/>
      <c r="AJP1" s="637"/>
      <c r="AJQ1" s="637"/>
      <c r="AJR1" s="637"/>
      <c r="AJS1" s="637"/>
      <c r="AJT1" s="637"/>
      <c r="AJU1" s="637"/>
      <c r="AJV1" s="637"/>
      <c r="AJW1" s="637"/>
      <c r="AJX1" s="637"/>
      <c r="AJY1" s="637"/>
      <c r="AJZ1" s="637"/>
      <c r="AKA1" s="637"/>
      <c r="AKB1" s="637"/>
      <c r="AKC1" s="637"/>
      <c r="AKD1" s="637"/>
      <c r="AKE1" s="637"/>
      <c r="AKF1" s="637"/>
      <c r="AKG1" s="637"/>
      <c r="AKH1" s="637"/>
      <c r="AKI1" s="637"/>
      <c r="AKJ1" s="637"/>
      <c r="AKK1" s="637"/>
      <c r="AKL1" s="637"/>
      <c r="AKM1" s="637"/>
      <c r="AKN1" s="637"/>
      <c r="AKO1" s="637"/>
      <c r="AKP1" s="637"/>
      <c r="AKQ1" s="637"/>
      <c r="AKR1" s="637"/>
      <c r="AKS1" s="637"/>
      <c r="AKT1" s="637"/>
      <c r="AKU1" s="637"/>
      <c r="AKV1" s="637"/>
      <c r="AKW1" s="637"/>
      <c r="AKX1" s="637"/>
      <c r="AKY1" s="637"/>
      <c r="AKZ1" s="637"/>
      <c r="ALA1" s="637"/>
      <c r="ALB1" s="637"/>
      <c r="ALC1" s="637"/>
      <c r="ALD1" s="637"/>
      <c r="ALE1" s="637"/>
      <c r="ALF1" s="637"/>
      <c r="ALG1" s="637"/>
      <c r="ALH1" s="637"/>
      <c r="ALI1" s="637"/>
      <c r="ALJ1" s="637"/>
      <c r="ALK1" s="637"/>
      <c r="ALL1" s="637"/>
      <c r="ALM1" s="637"/>
      <c r="ALN1" s="637"/>
      <c r="ALO1" s="637"/>
      <c r="ALP1" s="637"/>
      <c r="ALQ1" s="637"/>
      <c r="ALR1" s="637"/>
      <c r="ALS1" s="637"/>
      <c r="ALT1" s="637"/>
      <c r="ALU1" s="637"/>
      <c r="ALV1" s="637"/>
      <c r="ALW1" s="637"/>
      <c r="ALX1" s="637"/>
      <c r="ALY1" s="637"/>
      <c r="ALZ1" s="637"/>
      <c r="AMA1" s="637"/>
      <c r="AMB1" s="637"/>
      <c r="AMC1" s="637"/>
      <c r="AMD1" s="637"/>
      <c r="AME1" s="637"/>
      <c r="AMF1" s="637"/>
      <c r="AMG1" s="637"/>
      <c r="AMH1" s="637"/>
      <c r="AMI1" s="637"/>
      <c r="AMJ1" s="637"/>
    </row>
    <row r="2" spans="1:1024" s="638" customFormat="1" ht="12.75">
      <c r="A2" s="977"/>
      <c r="B2" s="979"/>
      <c r="C2" s="977"/>
      <c r="D2" s="978"/>
      <c r="E2" s="978"/>
      <c r="F2" s="977"/>
      <c r="G2" s="977"/>
      <c r="H2" s="977"/>
      <c r="I2" s="977"/>
      <c r="J2" s="977"/>
      <c r="K2" s="977"/>
      <c r="L2" s="977"/>
      <c r="M2" s="977"/>
      <c r="N2" s="978"/>
      <c r="O2" s="980"/>
      <c r="P2" s="980"/>
      <c r="Q2" s="980"/>
      <c r="R2" s="980"/>
      <c r="S2" s="637"/>
      <c r="T2" s="637"/>
      <c r="U2" s="637"/>
      <c r="V2" s="637"/>
      <c r="W2" s="637"/>
      <c r="X2" s="637"/>
      <c r="Y2" s="637"/>
      <c r="Z2" s="637"/>
      <c r="AA2" s="637"/>
      <c r="AB2" s="637"/>
      <c r="AC2" s="637"/>
      <c r="AD2" s="637"/>
      <c r="AE2" s="637"/>
      <c r="AF2" s="637"/>
      <c r="AG2" s="637"/>
      <c r="AH2" s="637"/>
      <c r="AI2" s="637"/>
      <c r="AJ2" s="637"/>
      <c r="AK2" s="637"/>
      <c r="AL2" s="637"/>
      <c r="AM2" s="637"/>
      <c r="AN2" s="637"/>
      <c r="AO2" s="637"/>
      <c r="AP2" s="637"/>
      <c r="AQ2" s="637"/>
      <c r="AR2" s="637"/>
      <c r="AS2" s="637"/>
      <c r="AT2" s="637"/>
      <c r="AU2" s="637"/>
      <c r="AV2" s="637"/>
      <c r="AW2" s="637"/>
      <c r="AX2" s="637"/>
      <c r="AY2" s="637"/>
      <c r="AZ2" s="637"/>
      <c r="BA2" s="637"/>
      <c r="BB2" s="637"/>
      <c r="BC2" s="637"/>
      <c r="BD2" s="637"/>
      <c r="BE2" s="637"/>
      <c r="BF2" s="637"/>
      <c r="BG2" s="637"/>
      <c r="BH2" s="637"/>
      <c r="BI2" s="637"/>
      <c r="BJ2" s="637"/>
      <c r="BK2" s="637"/>
      <c r="BL2" s="637"/>
      <c r="BM2" s="637"/>
      <c r="BN2" s="637"/>
      <c r="BO2" s="637"/>
      <c r="BP2" s="637"/>
      <c r="BQ2" s="637"/>
      <c r="BR2" s="637"/>
      <c r="BS2" s="637"/>
      <c r="BT2" s="637"/>
      <c r="BU2" s="637"/>
      <c r="BV2" s="637"/>
      <c r="BW2" s="637"/>
      <c r="BX2" s="637"/>
      <c r="BY2" s="637"/>
      <c r="BZ2" s="637"/>
      <c r="CA2" s="637"/>
      <c r="CB2" s="637"/>
      <c r="CC2" s="637"/>
      <c r="CD2" s="637"/>
      <c r="CE2" s="637"/>
      <c r="CF2" s="637"/>
      <c r="CG2" s="637"/>
      <c r="CH2" s="637"/>
      <c r="CI2" s="637"/>
      <c r="CJ2" s="637"/>
      <c r="CK2" s="637"/>
      <c r="CL2" s="637"/>
      <c r="CM2" s="637"/>
      <c r="CN2" s="637"/>
      <c r="CO2" s="637"/>
      <c r="CP2" s="637"/>
      <c r="CQ2" s="637"/>
      <c r="CR2" s="637"/>
      <c r="CS2" s="637"/>
      <c r="CT2" s="637"/>
      <c r="CU2" s="637"/>
      <c r="CV2" s="637"/>
      <c r="CW2" s="637"/>
      <c r="CX2" s="637"/>
      <c r="CY2" s="637"/>
      <c r="CZ2" s="637"/>
      <c r="DA2" s="637"/>
      <c r="DB2" s="637"/>
      <c r="DC2" s="637"/>
      <c r="DD2" s="637"/>
      <c r="DE2" s="637"/>
      <c r="DF2" s="637"/>
      <c r="DG2" s="637"/>
      <c r="DH2" s="637"/>
      <c r="DI2" s="637"/>
      <c r="DJ2" s="637"/>
      <c r="DK2" s="637"/>
      <c r="DL2" s="637"/>
      <c r="DM2" s="637"/>
      <c r="DN2" s="637"/>
      <c r="DO2" s="637"/>
      <c r="DP2" s="637"/>
      <c r="DQ2" s="637"/>
      <c r="DR2" s="637"/>
      <c r="DS2" s="637"/>
      <c r="DT2" s="637"/>
      <c r="DU2" s="637"/>
      <c r="DV2" s="637"/>
      <c r="DW2" s="637"/>
      <c r="DX2" s="637"/>
      <c r="DY2" s="637"/>
      <c r="DZ2" s="637"/>
      <c r="EA2" s="637"/>
      <c r="EB2" s="637"/>
      <c r="EC2" s="637"/>
      <c r="ED2" s="637"/>
      <c r="EE2" s="637"/>
      <c r="EF2" s="637"/>
      <c r="EG2" s="637"/>
      <c r="EH2" s="637"/>
      <c r="EI2" s="637"/>
      <c r="EJ2" s="637"/>
      <c r="EK2" s="637"/>
      <c r="EL2" s="637"/>
      <c r="EM2" s="637"/>
      <c r="EN2" s="637"/>
      <c r="EO2" s="637"/>
      <c r="EP2" s="637"/>
      <c r="EQ2" s="637"/>
      <c r="ER2" s="637"/>
      <c r="ES2" s="637"/>
      <c r="ET2" s="637"/>
      <c r="EU2" s="637"/>
      <c r="EV2" s="637"/>
      <c r="EW2" s="637"/>
      <c r="EX2" s="637"/>
      <c r="EY2" s="637"/>
      <c r="EZ2" s="637"/>
      <c r="FA2" s="637"/>
      <c r="FB2" s="637"/>
      <c r="FC2" s="637"/>
      <c r="FD2" s="637"/>
      <c r="FE2" s="637"/>
      <c r="FF2" s="637"/>
      <c r="FG2" s="637"/>
      <c r="FH2" s="637"/>
      <c r="FI2" s="637"/>
      <c r="FJ2" s="637"/>
      <c r="FK2" s="637"/>
      <c r="FL2" s="637"/>
      <c r="FM2" s="637"/>
      <c r="FN2" s="637"/>
      <c r="FO2" s="637"/>
      <c r="FP2" s="637"/>
      <c r="FQ2" s="637"/>
      <c r="FR2" s="637"/>
      <c r="FS2" s="637"/>
      <c r="FT2" s="637"/>
      <c r="FU2" s="637"/>
      <c r="FV2" s="637"/>
      <c r="FW2" s="637"/>
      <c r="FX2" s="637"/>
      <c r="FY2" s="637"/>
      <c r="FZ2" s="637"/>
      <c r="GA2" s="637"/>
      <c r="GB2" s="637"/>
      <c r="GC2" s="637"/>
      <c r="GD2" s="637"/>
      <c r="GE2" s="637"/>
      <c r="GF2" s="637"/>
      <c r="GG2" s="637"/>
      <c r="GH2" s="637"/>
      <c r="GI2" s="637"/>
      <c r="GJ2" s="637"/>
      <c r="GK2" s="637"/>
      <c r="GL2" s="637"/>
      <c r="GM2" s="637"/>
      <c r="GN2" s="637"/>
      <c r="GO2" s="637"/>
      <c r="GP2" s="637"/>
      <c r="GQ2" s="637"/>
      <c r="GR2" s="637"/>
      <c r="GS2" s="637"/>
      <c r="GT2" s="637"/>
      <c r="GU2" s="637"/>
      <c r="GV2" s="637"/>
      <c r="GW2" s="637"/>
      <c r="GX2" s="637"/>
      <c r="GY2" s="637"/>
      <c r="GZ2" s="637"/>
      <c r="HA2" s="637"/>
      <c r="HB2" s="637"/>
      <c r="HC2" s="637"/>
      <c r="HD2" s="637"/>
      <c r="HE2" s="637"/>
      <c r="HF2" s="637"/>
      <c r="HG2" s="637"/>
      <c r="HH2" s="637"/>
      <c r="HI2" s="637"/>
      <c r="HJ2" s="637"/>
      <c r="HK2" s="637"/>
      <c r="HL2" s="637"/>
      <c r="HM2" s="637"/>
      <c r="HN2" s="637"/>
      <c r="HO2" s="637"/>
      <c r="HP2" s="637"/>
      <c r="HQ2" s="637"/>
      <c r="HR2" s="637"/>
      <c r="HS2" s="637"/>
      <c r="HT2" s="637"/>
      <c r="HU2" s="637"/>
      <c r="HV2" s="637"/>
      <c r="HW2" s="637"/>
      <c r="HX2" s="637"/>
      <c r="HY2" s="637"/>
      <c r="HZ2" s="637"/>
      <c r="IA2" s="637"/>
      <c r="IB2" s="637"/>
      <c r="IC2" s="637"/>
      <c r="ID2" s="637"/>
      <c r="IE2" s="637"/>
      <c r="IF2" s="637"/>
      <c r="IG2" s="637"/>
      <c r="IH2" s="637"/>
      <c r="II2" s="637"/>
      <c r="IJ2" s="637"/>
      <c r="IK2" s="637"/>
      <c r="IL2" s="637"/>
      <c r="IM2" s="637"/>
      <c r="IN2" s="637"/>
      <c r="IO2" s="637"/>
      <c r="IP2" s="637"/>
      <c r="IQ2" s="637"/>
      <c r="IR2" s="637"/>
      <c r="IS2" s="637"/>
      <c r="IT2" s="637"/>
      <c r="IU2" s="637"/>
      <c r="IV2" s="637"/>
      <c r="IW2" s="637"/>
      <c r="IX2" s="637"/>
      <c r="IY2" s="637"/>
      <c r="IZ2" s="637"/>
      <c r="JA2" s="637"/>
      <c r="JB2" s="637"/>
      <c r="JC2" s="637"/>
      <c r="JD2" s="637"/>
      <c r="JE2" s="637"/>
      <c r="JF2" s="637"/>
      <c r="JG2" s="637"/>
      <c r="JH2" s="637"/>
      <c r="JI2" s="637"/>
      <c r="JJ2" s="637"/>
      <c r="JK2" s="637"/>
      <c r="JL2" s="637"/>
      <c r="JM2" s="637"/>
      <c r="JN2" s="637"/>
      <c r="JO2" s="637"/>
      <c r="JP2" s="637"/>
      <c r="JQ2" s="637"/>
      <c r="JR2" s="637"/>
      <c r="JS2" s="637"/>
      <c r="JT2" s="637"/>
      <c r="JU2" s="637"/>
      <c r="JV2" s="637"/>
      <c r="JW2" s="637"/>
      <c r="JX2" s="637"/>
      <c r="JY2" s="637"/>
      <c r="JZ2" s="637"/>
      <c r="KA2" s="637"/>
      <c r="KB2" s="637"/>
      <c r="KC2" s="637"/>
      <c r="KD2" s="637"/>
      <c r="KE2" s="637"/>
      <c r="KF2" s="637"/>
      <c r="KG2" s="637"/>
      <c r="KH2" s="637"/>
      <c r="KI2" s="637"/>
      <c r="KJ2" s="637"/>
      <c r="KK2" s="637"/>
      <c r="KL2" s="637"/>
      <c r="KM2" s="637"/>
      <c r="KN2" s="637"/>
      <c r="KO2" s="637"/>
      <c r="KP2" s="637"/>
      <c r="KQ2" s="637"/>
      <c r="KR2" s="637"/>
      <c r="KS2" s="637"/>
      <c r="KT2" s="637"/>
      <c r="KU2" s="637"/>
      <c r="KV2" s="637"/>
      <c r="KW2" s="637"/>
      <c r="KX2" s="637"/>
      <c r="KY2" s="637"/>
      <c r="KZ2" s="637"/>
      <c r="LA2" s="637"/>
      <c r="LB2" s="637"/>
      <c r="LC2" s="637"/>
      <c r="LD2" s="637"/>
      <c r="LE2" s="637"/>
      <c r="LF2" s="637"/>
      <c r="LG2" s="637"/>
      <c r="LH2" s="637"/>
      <c r="LI2" s="637"/>
      <c r="LJ2" s="637"/>
      <c r="LK2" s="637"/>
      <c r="LL2" s="637"/>
      <c r="LM2" s="637"/>
      <c r="LN2" s="637"/>
      <c r="LO2" s="637"/>
      <c r="LP2" s="637"/>
      <c r="LQ2" s="637"/>
      <c r="LR2" s="637"/>
      <c r="LS2" s="637"/>
      <c r="LT2" s="637"/>
      <c r="LU2" s="637"/>
      <c r="LV2" s="637"/>
      <c r="LW2" s="637"/>
      <c r="LX2" s="637"/>
      <c r="LY2" s="637"/>
      <c r="LZ2" s="637"/>
      <c r="MA2" s="637"/>
      <c r="MB2" s="637"/>
      <c r="MC2" s="637"/>
      <c r="MD2" s="637"/>
      <c r="ME2" s="637"/>
      <c r="MF2" s="637"/>
      <c r="MG2" s="637"/>
      <c r="MH2" s="637"/>
      <c r="MI2" s="637"/>
      <c r="MJ2" s="637"/>
      <c r="MK2" s="637"/>
      <c r="ML2" s="637"/>
      <c r="MM2" s="637"/>
      <c r="MN2" s="637"/>
      <c r="MO2" s="637"/>
      <c r="MP2" s="637"/>
      <c r="MQ2" s="637"/>
      <c r="MR2" s="637"/>
      <c r="MS2" s="637"/>
      <c r="MT2" s="637"/>
      <c r="MU2" s="637"/>
      <c r="MV2" s="637"/>
      <c r="MW2" s="637"/>
      <c r="MX2" s="637"/>
      <c r="MY2" s="637"/>
      <c r="MZ2" s="637"/>
      <c r="NA2" s="637"/>
      <c r="NB2" s="637"/>
      <c r="NC2" s="637"/>
      <c r="ND2" s="637"/>
      <c r="NE2" s="637"/>
      <c r="NF2" s="637"/>
      <c r="NG2" s="637"/>
      <c r="NH2" s="637"/>
      <c r="NI2" s="637"/>
      <c r="NJ2" s="637"/>
      <c r="NK2" s="637"/>
      <c r="NL2" s="637"/>
      <c r="NM2" s="637"/>
      <c r="NN2" s="637"/>
      <c r="NO2" s="637"/>
      <c r="NP2" s="637"/>
      <c r="NQ2" s="637"/>
      <c r="NR2" s="637"/>
      <c r="NS2" s="637"/>
      <c r="NT2" s="637"/>
      <c r="NU2" s="637"/>
      <c r="NV2" s="637"/>
      <c r="NW2" s="637"/>
      <c r="NX2" s="637"/>
      <c r="NY2" s="637"/>
      <c r="NZ2" s="637"/>
      <c r="OA2" s="637"/>
      <c r="OB2" s="637"/>
      <c r="OC2" s="637"/>
      <c r="OD2" s="637"/>
      <c r="OE2" s="637"/>
      <c r="OF2" s="637"/>
      <c r="OG2" s="637"/>
      <c r="OH2" s="637"/>
      <c r="OI2" s="637"/>
      <c r="OJ2" s="637"/>
      <c r="OK2" s="637"/>
      <c r="OL2" s="637"/>
      <c r="OM2" s="637"/>
      <c r="ON2" s="637"/>
      <c r="OO2" s="637"/>
      <c r="OP2" s="637"/>
      <c r="OQ2" s="637"/>
      <c r="OR2" s="637"/>
      <c r="OS2" s="637"/>
      <c r="OT2" s="637"/>
      <c r="OU2" s="637"/>
      <c r="OV2" s="637"/>
      <c r="OW2" s="637"/>
      <c r="OX2" s="637"/>
      <c r="OY2" s="637"/>
      <c r="OZ2" s="637"/>
      <c r="PA2" s="637"/>
      <c r="PB2" s="637"/>
      <c r="PC2" s="637"/>
      <c r="PD2" s="637"/>
      <c r="PE2" s="637"/>
      <c r="PF2" s="637"/>
      <c r="PG2" s="637"/>
      <c r="PH2" s="637"/>
      <c r="PI2" s="637"/>
      <c r="PJ2" s="637"/>
      <c r="PK2" s="637"/>
      <c r="PL2" s="637"/>
      <c r="PM2" s="637"/>
      <c r="PN2" s="637"/>
      <c r="PO2" s="637"/>
      <c r="PP2" s="637"/>
      <c r="PQ2" s="637"/>
      <c r="PR2" s="637"/>
      <c r="PS2" s="637"/>
      <c r="PT2" s="637"/>
      <c r="PU2" s="637"/>
      <c r="PV2" s="637"/>
      <c r="PW2" s="637"/>
      <c r="PX2" s="637"/>
      <c r="PY2" s="637"/>
      <c r="PZ2" s="637"/>
      <c r="QA2" s="637"/>
      <c r="QB2" s="637"/>
      <c r="QC2" s="637"/>
      <c r="QD2" s="637"/>
      <c r="QE2" s="637"/>
      <c r="QF2" s="637"/>
      <c r="QG2" s="637"/>
      <c r="QH2" s="637"/>
      <c r="QI2" s="637"/>
      <c r="QJ2" s="637"/>
      <c r="QK2" s="637"/>
      <c r="QL2" s="637"/>
      <c r="QM2" s="637"/>
      <c r="QN2" s="637"/>
      <c r="QO2" s="637"/>
      <c r="QP2" s="637"/>
      <c r="QQ2" s="637"/>
      <c r="QR2" s="637"/>
      <c r="QS2" s="637"/>
      <c r="QT2" s="637"/>
      <c r="QU2" s="637"/>
      <c r="QV2" s="637"/>
      <c r="QW2" s="637"/>
      <c r="QX2" s="637"/>
      <c r="QY2" s="637"/>
      <c r="QZ2" s="637"/>
      <c r="RA2" s="637"/>
      <c r="RB2" s="637"/>
      <c r="RC2" s="637"/>
      <c r="RD2" s="637"/>
      <c r="RE2" s="637"/>
      <c r="RF2" s="637"/>
      <c r="RG2" s="637"/>
      <c r="RH2" s="637"/>
      <c r="RI2" s="637"/>
      <c r="RJ2" s="637"/>
      <c r="RK2" s="637"/>
      <c r="RL2" s="637"/>
      <c r="RM2" s="637"/>
      <c r="RN2" s="637"/>
      <c r="RO2" s="637"/>
      <c r="RP2" s="637"/>
      <c r="RQ2" s="637"/>
      <c r="RR2" s="637"/>
      <c r="RS2" s="637"/>
      <c r="RT2" s="637"/>
      <c r="RU2" s="637"/>
      <c r="RV2" s="637"/>
      <c r="RW2" s="637"/>
      <c r="RX2" s="637"/>
      <c r="RY2" s="637"/>
      <c r="RZ2" s="637"/>
      <c r="SA2" s="637"/>
      <c r="SB2" s="637"/>
      <c r="SC2" s="637"/>
      <c r="SD2" s="637"/>
      <c r="SE2" s="637"/>
      <c r="SF2" s="637"/>
      <c r="SG2" s="637"/>
      <c r="SH2" s="637"/>
      <c r="SI2" s="637"/>
      <c r="SJ2" s="637"/>
      <c r="SK2" s="637"/>
      <c r="SL2" s="637"/>
      <c r="SM2" s="637"/>
      <c r="SN2" s="637"/>
      <c r="SO2" s="637"/>
      <c r="SP2" s="637"/>
      <c r="SQ2" s="637"/>
      <c r="SR2" s="637"/>
      <c r="SS2" s="637"/>
      <c r="ST2" s="637"/>
      <c r="SU2" s="637"/>
      <c r="SV2" s="637"/>
      <c r="SW2" s="637"/>
      <c r="SX2" s="637"/>
      <c r="SY2" s="637"/>
      <c r="SZ2" s="637"/>
      <c r="TA2" s="637"/>
      <c r="TB2" s="637"/>
      <c r="TC2" s="637"/>
      <c r="TD2" s="637"/>
      <c r="TE2" s="637"/>
      <c r="TF2" s="637"/>
      <c r="TG2" s="637"/>
      <c r="TH2" s="637"/>
      <c r="TI2" s="637"/>
      <c r="TJ2" s="637"/>
      <c r="TK2" s="637"/>
      <c r="TL2" s="637"/>
      <c r="TM2" s="637"/>
      <c r="TN2" s="637"/>
      <c r="TO2" s="637"/>
      <c r="TP2" s="637"/>
      <c r="TQ2" s="637"/>
      <c r="TR2" s="637"/>
      <c r="TS2" s="637"/>
      <c r="TT2" s="637"/>
      <c r="TU2" s="637"/>
      <c r="TV2" s="637"/>
      <c r="TW2" s="637"/>
      <c r="TX2" s="637"/>
      <c r="TY2" s="637"/>
      <c r="TZ2" s="637"/>
      <c r="UA2" s="637"/>
      <c r="UB2" s="637"/>
      <c r="UC2" s="637"/>
      <c r="UD2" s="637"/>
      <c r="UE2" s="637"/>
      <c r="UF2" s="637"/>
      <c r="UG2" s="637"/>
      <c r="UH2" s="637"/>
      <c r="UI2" s="637"/>
      <c r="UJ2" s="637"/>
      <c r="UK2" s="637"/>
      <c r="UL2" s="637"/>
      <c r="UM2" s="637"/>
      <c r="UN2" s="637"/>
      <c r="UO2" s="637"/>
      <c r="UP2" s="637"/>
      <c r="UQ2" s="637"/>
      <c r="UR2" s="637"/>
      <c r="US2" s="637"/>
      <c r="UT2" s="637"/>
      <c r="UU2" s="637"/>
      <c r="UV2" s="637"/>
      <c r="UW2" s="637"/>
      <c r="UX2" s="637"/>
      <c r="UY2" s="637"/>
      <c r="UZ2" s="637"/>
      <c r="VA2" s="637"/>
      <c r="VB2" s="637"/>
      <c r="VC2" s="637"/>
      <c r="VD2" s="637"/>
      <c r="VE2" s="637"/>
      <c r="VF2" s="637"/>
      <c r="VG2" s="637"/>
      <c r="VH2" s="637"/>
      <c r="VI2" s="637"/>
      <c r="VJ2" s="637"/>
      <c r="VK2" s="637"/>
      <c r="VL2" s="637"/>
      <c r="VM2" s="637"/>
      <c r="VN2" s="637"/>
      <c r="VO2" s="637"/>
      <c r="VP2" s="637"/>
      <c r="VQ2" s="637"/>
      <c r="VR2" s="637"/>
      <c r="VS2" s="637"/>
      <c r="VT2" s="637"/>
      <c r="VU2" s="637"/>
      <c r="VV2" s="637"/>
      <c r="VW2" s="637"/>
      <c r="VX2" s="637"/>
      <c r="VY2" s="637"/>
      <c r="VZ2" s="637"/>
      <c r="WA2" s="637"/>
      <c r="WB2" s="637"/>
      <c r="WC2" s="637"/>
      <c r="WD2" s="637"/>
      <c r="WE2" s="637"/>
      <c r="WF2" s="637"/>
      <c r="WG2" s="637"/>
      <c r="WH2" s="637"/>
      <c r="WI2" s="637"/>
      <c r="WJ2" s="637"/>
      <c r="WK2" s="637"/>
      <c r="WL2" s="637"/>
      <c r="WM2" s="637"/>
      <c r="WN2" s="637"/>
      <c r="WO2" s="637"/>
      <c r="WP2" s="637"/>
      <c r="WQ2" s="637"/>
      <c r="WR2" s="637"/>
      <c r="WS2" s="637"/>
      <c r="WT2" s="637"/>
      <c r="WU2" s="637"/>
      <c r="WV2" s="637"/>
      <c r="WW2" s="637"/>
      <c r="WX2" s="637"/>
      <c r="WY2" s="637"/>
      <c r="WZ2" s="637"/>
      <c r="XA2" s="637"/>
      <c r="XB2" s="637"/>
      <c r="XC2" s="637"/>
      <c r="XD2" s="637"/>
      <c r="XE2" s="637"/>
      <c r="XF2" s="637"/>
      <c r="XG2" s="637"/>
      <c r="XH2" s="637"/>
      <c r="XI2" s="637"/>
      <c r="XJ2" s="637"/>
      <c r="XK2" s="637"/>
      <c r="XL2" s="637"/>
      <c r="XM2" s="637"/>
      <c r="XN2" s="637"/>
      <c r="XO2" s="637"/>
      <c r="XP2" s="637"/>
      <c r="XQ2" s="637"/>
      <c r="XR2" s="637"/>
      <c r="XS2" s="637"/>
      <c r="XT2" s="637"/>
      <c r="XU2" s="637"/>
      <c r="XV2" s="637"/>
      <c r="XW2" s="637"/>
      <c r="XX2" s="637"/>
      <c r="XY2" s="637"/>
      <c r="XZ2" s="637"/>
      <c r="YA2" s="637"/>
      <c r="YB2" s="637"/>
      <c r="YC2" s="637"/>
      <c r="YD2" s="637"/>
      <c r="YE2" s="637"/>
      <c r="YF2" s="637"/>
      <c r="YG2" s="637"/>
      <c r="YH2" s="637"/>
      <c r="YI2" s="637"/>
      <c r="YJ2" s="637"/>
      <c r="YK2" s="637"/>
      <c r="YL2" s="637"/>
      <c r="YM2" s="637"/>
      <c r="YN2" s="637"/>
      <c r="YO2" s="637"/>
      <c r="YP2" s="637"/>
      <c r="YQ2" s="637"/>
      <c r="YR2" s="637"/>
      <c r="YS2" s="637"/>
      <c r="YT2" s="637"/>
      <c r="YU2" s="637"/>
      <c r="YV2" s="637"/>
      <c r="YW2" s="637"/>
      <c r="YX2" s="637"/>
      <c r="YY2" s="637"/>
      <c r="YZ2" s="637"/>
      <c r="ZA2" s="637"/>
      <c r="ZB2" s="637"/>
      <c r="ZC2" s="637"/>
      <c r="ZD2" s="637"/>
      <c r="ZE2" s="637"/>
      <c r="ZF2" s="637"/>
      <c r="ZG2" s="637"/>
      <c r="ZH2" s="637"/>
      <c r="ZI2" s="637"/>
      <c r="ZJ2" s="637"/>
      <c r="ZK2" s="637"/>
      <c r="ZL2" s="637"/>
      <c r="ZM2" s="637"/>
      <c r="ZN2" s="637"/>
      <c r="ZO2" s="637"/>
      <c r="ZP2" s="637"/>
      <c r="ZQ2" s="637"/>
      <c r="ZR2" s="637"/>
      <c r="ZS2" s="637"/>
      <c r="ZT2" s="637"/>
      <c r="ZU2" s="637"/>
      <c r="ZV2" s="637"/>
      <c r="ZW2" s="637"/>
      <c r="ZX2" s="637"/>
      <c r="ZY2" s="637"/>
      <c r="ZZ2" s="637"/>
      <c r="AAA2" s="637"/>
      <c r="AAB2" s="637"/>
      <c r="AAC2" s="637"/>
      <c r="AAD2" s="637"/>
      <c r="AAE2" s="637"/>
      <c r="AAF2" s="637"/>
      <c r="AAG2" s="637"/>
      <c r="AAH2" s="637"/>
      <c r="AAI2" s="637"/>
      <c r="AAJ2" s="637"/>
      <c r="AAK2" s="637"/>
      <c r="AAL2" s="637"/>
      <c r="AAM2" s="637"/>
      <c r="AAN2" s="637"/>
      <c r="AAO2" s="637"/>
      <c r="AAP2" s="637"/>
      <c r="AAQ2" s="637"/>
      <c r="AAR2" s="637"/>
      <c r="AAS2" s="637"/>
      <c r="AAT2" s="637"/>
      <c r="AAU2" s="637"/>
      <c r="AAV2" s="637"/>
      <c r="AAW2" s="637"/>
      <c r="AAX2" s="637"/>
      <c r="AAY2" s="637"/>
      <c r="AAZ2" s="637"/>
      <c r="ABA2" s="637"/>
      <c r="ABB2" s="637"/>
      <c r="ABC2" s="637"/>
      <c r="ABD2" s="637"/>
      <c r="ABE2" s="637"/>
      <c r="ABF2" s="637"/>
      <c r="ABG2" s="637"/>
      <c r="ABH2" s="637"/>
      <c r="ABI2" s="637"/>
      <c r="ABJ2" s="637"/>
      <c r="ABK2" s="637"/>
      <c r="ABL2" s="637"/>
      <c r="ABM2" s="637"/>
      <c r="ABN2" s="637"/>
      <c r="ABO2" s="637"/>
      <c r="ABP2" s="637"/>
      <c r="ABQ2" s="637"/>
      <c r="ABR2" s="637"/>
      <c r="ABS2" s="637"/>
      <c r="ABT2" s="637"/>
      <c r="ABU2" s="637"/>
      <c r="ABV2" s="637"/>
      <c r="ABW2" s="637"/>
      <c r="ABX2" s="637"/>
      <c r="ABY2" s="637"/>
      <c r="ABZ2" s="637"/>
      <c r="ACA2" s="637"/>
      <c r="ACB2" s="637"/>
      <c r="ACC2" s="637"/>
      <c r="ACD2" s="637"/>
      <c r="ACE2" s="637"/>
      <c r="ACF2" s="637"/>
      <c r="ACG2" s="637"/>
      <c r="ACH2" s="637"/>
      <c r="ACI2" s="637"/>
      <c r="ACJ2" s="637"/>
      <c r="ACK2" s="637"/>
      <c r="ACL2" s="637"/>
      <c r="ACM2" s="637"/>
      <c r="ACN2" s="637"/>
      <c r="ACO2" s="637"/>
      <c r="ACP2" s="637"/>
      <c r="ACQ2" s="637"/>
      <c r="ACR2" s="637"/>
      <c r="ACS2" s="637"/>
      <c r="ACT2" s="637"/>
      <c r="ACU2" s="637"/>
      <c r="ACV2" s="637"/>
      <c r="ACW2" s="637"/>
      <c r="ACX2" s="637"/>
      <c r="ACY2" s="637"/>
      <c r="ACZ2" s="637"/>
      <c r="ADA2" s="637"/>
      <c r="ADB2" s="637"/>
      <c r="ADC2" s="637"/>
      <c r="ADD2" s="637"/>
      <c r="ADE2" s="637"/>
      <c r="ADF2" s="637"/>
      <c r="ADG2" s="637"/>
      <c r="ADH2" s="637"/>
      <c r="ADI2" s="637"/>
      <c r="ADJ2" s="637"/>
      <c r="ADK2" s="637"/>
      <c r="ADL2" s="637"/>
      <c r="ADM2" s="637"/>
      <c r="ADN2" s="637"/>
      <c r="ADO2" s="637"/>
      <c r="ADP2" s="637"/>
      <c r="ADQ2" s="637"/>
      <c r="ADR2" s="637"/>
      <c r="ADS2" s="637"/>
      <c r="ADT2" s="637"/>
      <c r="ADU2" s="637"/>
      <c r="ADV2" s="637"/>
      <c r="ADW2" s="637"/>
      <c r="ADX2" s="637"/>
      <c r="ADY2" s="637"/>
      <c r="ADZ2" s="637"/>
      <c r="AEA2" s="637"/>
      <c r="AEB2" s="637"/>
      <c r="AEC2" s="637"/>
      <c r="AED2" s="637"/>
      <c r="AEE2" s="637"/>
      <c r="AEF2" s="637"/>
      <c r="AEG2" s="637"/>
      <c r="AEH2" s="637"/>
      <c r="AEI2" s="637"/>
      <c r="AEJ2" s="637"/>
      <c r="AEK2" s="637"/>
      <c r="AEL2" s="637"/>
      <c r="AEM2" s="637"/>
      <c r="AEN2" s="637"/>
      <c r="AEO2" s="637"/>
      <c r="AEP2" s="637"/>
      <c r="AEQ2" s="637"/>
      <c r="AER2" s="637"/>
      <c r="AES2" s="637"/>
      <c r="AET2" s="637"/>
      <c r="AEU2" s="637"/>
      <c r="AEV2" s="637"/>
      <c r="AEW2" s="637"/>
      <c r="AEX2" s="637"/>
      <c r="AEY2" s="637"/>
      <c r="AEZ2" s="637"/>
      <c r="AFA2" s="637"/>
      <c r="AFB2" s="637"/>
      <c r="AFC2" s="637"/>
      <c r="AFD2" s="637"/>
      <c r="AFE2" s="637"/>
      <c r="AFF2" s="637"/>
      <c r="AFG2" s="637"/>
      <c r="AFH2" s="637"/>
      <c r="AFI2" s="637"/>
      <c r="AFJ2" s="637"/>
      <c r="AFK2" s="637"/>
      <c r="AFL2" s="637"/>
      <c r="AFM2" s="637"/>
      <c r="AFN2" s="637"/>
      <c r="AFO2" s="637"/>
      <c r="AFP2" s="637"/>
      <c r="AFQ2" s="637"/>
      <c r="AFR2" s="637"/>
      <c r="AFS2" s="637"/>
      <c r="AFT2" s="637"/>
      <c r="AFU2" s="637"/>
      <c r="AFV2" s="637"/>
      <c r="AFW2" s="637"/>
      <c r="AFX2" s="637"/>
      <c r="AFY2" s="637"/>
      <c r="AFZ2" s="637"/>
      <c r="AGA2" s="637"/>
      <c r="AGB2" s="637"/>
      <c r="AGC2" s="637"/>
      <c r="AGD2" s="637"/>
      <c r="AGE2" s="637"/>
      <c r="AGF2" s="637"/>
      <c r="AGG2" s="637"/>
      <c r="AGH2" s="637"/>
      <c r="AGI2" s="637"/>
      <c r="AGJ2" s="637"/>
      <c r="AGK2" s="637"/>
      <c r="AGL2" s="637"/>
      <c r="AGM2" s="637"/>
      <c r="AGN2" s="637"/>
      <c r="AGO2" s="637"/>
      <c r="AGP2" s="637"/>
      <c r="AGQ2" s="637"/>
      <c r="AGR2" s="637"/>
      <c r="AGS2" s="637"/>
      <c r="AGT2" s="637"/>
      <c r="AGU2" s="637"/>
      <c r="AGV2" s="637"/>
      <c r="AGW2" s="637"/>
      <c r="AGX2" s="637"/>
      <c r="AGY2" s="637"/>
      <c r="AGZ2" s="637"/>
      <c r="AHA2" s="637"/>
      <c r="AHB2" s="637"/>
      <c r="AHC2" s="637"/>
      <c r="AHD2" s="637"/>
      <c r="AHE2" s="637"/>
      <c r="AHF2" s="637"/>
      <c r="AHG2" s="637"/>
      <c r="AHH2" s="637"/>
      <c r="AHI2" s="637"/>
      <c r="AHJ2" s="637"/>
      <c r="AHK2" s="637"/>
      <c r="AHL2" s="637"/>
      <c r="AHM2" s="637"/>
      <c r="AHN2" s="637"/>
      <c r="AHO2" s="637"/>
      <c r="AHP2" s="637"/>
      <c r="AHQ2" s="637"/>
      <c r="AHR2" s="637"/>
      <c r="AHS2" s="637"/>
      <c r="AHT2" s="637"/>
      <c r="AHU2" s="637"/>
      <c r="AHV2" s="637"/>
      <c r="AHW2" s="637"/>
      <c r="AHX2" s="637"/>
      <c r="AHY2" s="637"/>
      <c r="AHZ2" s="637"/>
      <c r="AIA2" s="637"/>
      <c r="AIB2" s="637"/>
      <c r="AIC2" s="637"/>
      <c r="AID2" s="637"/>
      <c r="AIE2" s="637"/>
      <c r="AIF2" s="637"/>
      <c r="AIG2" s="637"/>
      <c r="AIH2" s="637"/>
      <c r="AII2" s="637"/>
      <c r="AIJ2" s="637"/>
      <c r="AIK2" s="637"/>
      <c r="AIL2" s="637"/>
      <c r="AIM2" s="637"/>
      <c r="AIN2" s="637"/>
      <c r="AIO2" s="637"/>
      <c r="AIP2" s="637"/>
      <c r="AIQ2" s="637"/>
      <c r="AIR2" s="637"/>
      <c r="AIS2" s="637"/>
      <c r="AIT2" s="637"/>
      <c r="AIU2" s="637"/>
      <c r="AIV2" s="637"/>
      <c r="AIW2" s="637"/>
      <c r="AIX2" s="637"/>
      <c r="AIY2" s="637"/>
      <c r="AIZ2" s="637"/>
      <c r="AJA2" s="637"/>
      <c r="AJB2" s="637"/>
      <c r="AJC2" s="637"/>
      <c r="AJD2" s="637"/>
      <c r="AJE2" s="637"/>
      <c r="AJF2" s="637"/>
      <c r="AJG2" s="637"/>
      <c r="AJH2" s="637"/>
      <c r="AJI2" s="637"/>
      <c r="AJJ2" s="637"/>
      <c r="AJK2" s="637"/>
      <c r="AJL2" s="637"/>
      <c r="AJM2" s="637"/>
      <c r="AJN2" s="637"/>
      <c r="AJO2" s="637"/>
      <c r="AJP2" s="637"/>
      <c r="AJQ2" s="637"/>
      <c r="AJR2" s="637"/>
      <c r="AJS2" s="637"/>
      <c r="AJT2" s="637"/>
      <c r="AJU2" s="637"/>
      <c r="AJV2" s="637"/>
      <c r="AJW2" s="637"/>
      <c r="AJX2" s="637"/>
      <c r="AJY2" s="637"/>
      <c r="AJZ2" s="637"/>
      <c r="AKA2" s="637"/>
      <c r="AKB2" s="637"/>
      <c r="AKC2" s="637"/>
      <c r="AKD2" s="637"/>
      <c r="AKE2" s="637"/>
      <c r="AKF2" s="637"/>
      <c r="AKG2" s="637"/>
      <c r="AKH2" s="637"/>
      <c r="AKI2" s="637"/>
      <c r="AKJ2" s="637"/>
      <c r="AKK2" s="637"/>
      <c r="AKL2" s="637"/>
      <c r="AKM2" s="637"/>
      <c r="AKN2" s="637"/>
      <c r="AKO2" s="637"/>
      <c r="AKP2" s="637"/>
      <c r="AKQ2" s="637"/>
      <c r="AKR2" s="637"/>
      <c r="AKS2" s="637"/>
      <c r="AKT2" s="637"/>
      <c r="AKU2" s="637"/>
      <c r="AKV2" s="637"/>
      <c r="AKW2" s="637"/>
      <c r="AKX2" s="637"/>
      <c r="AKY2" s="637"/>
      <c r="AKZ2" s="637"/>
      <c r="ALA2" s="637"/>
      <c r="ALB2" s="637"/>
      <c r="ALC2" s="637"/>
      <c r="ALD2" s="637"/>
      <c r="ALE2" s="637"/>
      <c r="ALF2" s="637"/>
      <c r="ALG2" s="637"/>
      <c r="ALH2" s="637"/>
      <c r="ALI2" s="637"/>
      <c r="ALJ2" s="637"/>
      <c r="ALK2" s="637"/>
      <c r="ALL2" s="637"/>
      <c r="ALM2" s="637"/>
      <c r="ALN2" s="637"/>
      <c r="ALO2" s="637"/>
      <c r="ALP2" s="637"/>
      <c r="ALQ2" s="637"/>
      <c r="ALR2" s="637"/>
      <c r="ALS2" s="637"/>
      <c r="ALT2" s="637"/>
      <c r="ALU2" s="637"/>
      <c r="ALV2" s="637"/>
      <c r="ALW2" s="637"/>
      <c r="ALX2" s="637"/>
      <c r="ALY2" s="637"/>
      <c r="ALZ2" s="637"/>
      <c r="AMA2" s="637"/>
      <c r="AMB2" s="637"/>
      <c r="AMC2" s="637"/>
      <c r="AMD2" s="637"/>
      <c r="AME2" s="637"/>
      <c r="AMF2" s="637"/>
      <c r="AMG2" s="637"/>
      <c r="AMH2" s="637"/>
      <c r="AMI2" s="637"/>
      <c r="AMJ2" s="637"/>
    </row>
    <row r="3" spans="1:1024" s="638" customFormat="1" ht="12.75">
      <c r="A3" s="1093" t="s">
        <v>3</v>
      </c>
      <c r="B3" s="1093"/>
      <c r="C3" s="1093"/>
      <c r="D3" s="1093"/>
      <c r="E3" s="1093" t="s">
        <v>112</v>
      </c>
      <c r="F3" s="1093" t="s">
        <v>113</v>
      </c>
      <c r="G3" s="1091" t="s">
        <v>114</v>
      </c>
      <c r="H3" s="1091"/>
      <c r="I3" s="1091"/>
      <c r="J3" s="1091"/>
      <c r="K3" s="1091"/>
      <c r="L3" s="1091"/>
      <c r="M3" s="1091" t="s">
        <v>115</v>
      </c>
      <c r="N3" s="1091"/>
      <c r="O3" s="1091"/>
      <c r="P3" s="1091"/>
      <c r="Q3" s="1091" t="s">
        <v>67</v>
      </c>
      <c r="R3" s="1091"/>
      <c r="S3" s="637"/>
      <c r="T3" s="637"/>
      <c r="U3" s="637"/>
      <c r="V3" s="637"/>
      <c r="W3" s="637"/>
      <c r="X3" s="637"/>
      <c r="Y3" s="637"/>
      <c r="Z3" s="637"/>
      <c r="AA3" s="637"/>
      <c r="AB3" s="637"/>
      <c r="AC3" s="637"/>
      <c r="AD3" s="637"/>
      <c r="AE3" s="637"/>
      <c r="AF3" s="637"/>
      <c r="AG3" s="637"/>
      <c r="AH3" s="637"/>
      <c r="AI3" s="637"/>
      <c r="AJ3" s="637"/>
      <c r="AK3" s="637"/>
      <c r="AL3" s="637"/>
      <c r="AM3" s="637"/>
      <c r="AN3" s="637"/>
      <c r="AO3" s="637"/>
      <c r="AP3" s="637"/>
      <c r="AQ3" s="637"/>
      <c r="AR3" s="637"/>
      <c r="AS3" s="637"/>
      <c r="AT3" s="637"/>
      <c r="AU3" s="637"/>
      <c r="AV3" s="637"/>
      <c r="AW3" s="637"/>
      <c r="AX3" s="637"/>
      <c r="AY3" s="637"/>
      <c r="AZ3" s="637"/>
      <c r="BA3" s="637"/>
      <c r="BB3" s="637"/>
      <c r="BC3" s="637"/>
      <c r="BD3" s="637"/>
      <c r="BE3" s="637"/>
      <c r="BF3" s="637"/>
      <c r="BG3" s="637"/>
      <c r="BH3" s="637"/>
      <c r="BI3" s="637"/>
      <c r="BJ3" s="637"/>
      <c r="BK3" s="637"/>
      <c r="BL3" s="637"/>
      <c r="BM3" s="637"/>
      <c r="BN3" s="637"/>
      <c r="BO3" s="637"/>
      <c r="BP3" s="637"/>
      <c r="BQ3" s="637"/>
      <c r="BR3" s="637"/>
      <c r="BS3" s="637"/>
      <c r="BT3" s="637"/>
      <c r="BU3" s="637"/>
      <c r="BV3" s="637"/>
      <c r="BW3" s="637"/>
      <c r="BX3" s="637"/>
      <c r="BY3" s="637"/>
      <c r="BZ3" s="637"/>
      <c r="CA3" s="637"/>
      <c r="CB3" s="637"/>
      <c r="CC3" s="637"/>
      <c r="CD3" s="637"/>
      <c r="CE3" s="637"/>
      <c r="CF3" s="637"/>
      <c r="CG3" s="637"/>
      <c r="CH3" s="637"/>
      <c r="CI3" s="637"/>
      <c r="CJ3" s="637"/>
      <c r="CK3" s="637"/>
      <c r="CL3" s="637"/>
      <c r="CM3" s="637"/>
      <c r="CN3" s="637"/>
      <c r="CO3" s="637"/>
      <c r="CP3" s="637"/>
      <c r="CQ3" s="637"/>
      <c r="CR3" s="637"/>
      <c r="CS3" s="637"/>
      <c r="CT3" s="637"/>
      <c r="CU3" s="637"/>
      <c r="CV3" s="637"/>
      <c r="CW3" s="637"/>
      <c r="CX3" s="637"/>
      <c r="CY3" s="637"/>
      <c r="CZ3" s="637"/>
      <c r="DA3" s="637"/>
      <c r="DB3" s="637"/>
      <c r="DC3" s="637"/>
      <c r="DD3" s="637"/>
      <c r="DE3" s="637"/>
      <c r="DF3" s="637"/>
      <c r="DG3" s="637"/>
      <c r="DH3" s="637"/>
      <c r="DI3" s="637"/>
      <c r="DJ3" s="637"/>
      <c r="DK3" s="637"/>
      <c r="DL3" s="637"/>
      <c r="DM3" s="637"/>
      <c r="DN3" s="637"/>
      <c r="DO3" s="637"/>
      <c r="DP3" s="637"/>
      <c r="DQ3" s="637"/>
      <c r="DR3" s="637"/>
      <c r="DS3" s="637"/>
      <c r="DT3" s="637"/>
      <c r="DU3" s="637"/>
      <c r="DV3" s="637"/>
      <c r="DW3" s="637"/>
      <c r="DX3" s="637"/>
      <c r="DY3" s="637"/>
      <c r="DZ3" s="637"/>
      <c r="EA3" s="637"/>
      <c r="EB3" s="637"/>
      <c r="EC3" s="637"/>
      <c r="ED3" s="637"/>
      <c r="EE3" s="637"/>
      <c r="EF3" s="637"/>
      <c r="EG3" s="637"/>
      <c r="EH3" s="637"/>
      <c r="EI3" s="637"/>
      <c r="EJ3" s="637"/>
      <c r="EK3" s="637"/>
      <c r="EL3" s="637"/>
      <c r="EM3" s="637"/>
      <c r="EN3" s="637"/>
      <c r="EO3" s="637"/>
      <c r="EP3" s="637"/>
      <c r="EQ3" s="637"/>
      <c r="ER3" s="637"/>
      <c r="ES3" s="637"/>
      <c r="ET3" s="637"/>
      <c r="EU3" s="637"/>
      <c r="EV3" s="637"/>
      <c r="EW3" s="637"/>
      <c r="EX3" s="637"/>
      <c r="EY3" s="637"/>
      <c r="EZ3" s="637"/>
      <c r="FA3" s="637"/>
      <c r="FB3" s="637"/>
      <c r="FC3" s="637"/>
      <c r="FD3" s="637"/>
      <c r="FE3" s="637"/>
      <c r="FF3" s="637"/>
      <c r="FG3" s="637"/>
      <c r="FH3" s="637"/>
      <c r="FI3" s="637"/>
      <c r="FJ3" s="637"/>
      <c r="FK3" s="637"/>
      <c r="FL3" s="637"/>
      <c r="FM3" s="637"/>
      <c r="FN3" s="637"/>
      <c r="FO3" s="637"/>
      <c r="FP3" s="637"/>
      <c r="FQ3" s="637"/>
      <c r="FR3" s="637"/>
      <c r="FS3" s="637"/>
      <c r="FT3" s="637"/>
      <c r="FU3" s="637"/>
      <c r="FV3" s="637"/>
      <c r="FW3" s="637"/>
      <c r="FX3" s="637"/>
      <c r="FY3" s="637"/>
      <c r="FZ3" s="637"/>
      <c r="GA3" s="637"/>
      <c r="GB3" s="637"/>
      <c r="GC3" s="637"/>
      <c r="GD3" s="637"/>
      <c r="GE3" s="637"/>
      <c r="GF3" s="637"/>
      <c r="GG3" s="637"/>
      <c r="GH3" s="637"/>
      <c r="GI3" s="637"/>
      <c r="GJ3" s="637"/>
      <c r="GK3" s="637"/>
      <c r="GL3" s="637"/>
      <c r="GM3" s="637"/>
      <c r="GN3" s="637"/>
      <c r="GO3" s="637"/>
      <c r="GP3" s="637"/>
      <c r="GQ3" s="637"/>
      <c r="GR3" s="637"/>
      <c r="GS3" s="637"/>
      <c r="GT3" s="637"/>
      <c r="GU3" s="637"/>
      <c r="GV3" s="637"/>
      <c r="GW3" s="637"/>
      <c r="GX3" s="637"/>
      <c r="GY3" s="637"/>
      <c r="GZ3" s="637"/>
      <c r="HA3" s="637"/>
      <c r="HB3" s="637"/>
      <c r="HC3" s="637"/>
      <c r="HD3" s="637"/>
      <c r="HE3" s="637"/>
      <c r="HF3" s="637"/>
      <c r="HG3" s="637"/>
      <c r="HH3" s="637"/>
      <c r="HI3" s="637"/>
      <c r="HJ3" s="637"/>
      <c r="HK3" s="637"/>
      <c r="HL3" s="637"/>
      <c r="HM3" s="637"/>
      <c r="HN3" s="637"/>
      <c r="HO3" s="637"/>
      <c r="HP3" s="637"/>
      <c r="HQ3" s="637"/>
      <c r="HR3" s="637"/>
      <c r="HS3" s="637"/>
      <c r="HT3" s="637"/>
      <c r="HU3" s="637"/>
      <c r="HV3" s="637"/>
      <c r="HW3" s="637"/>
      <c r="HX3" s="637"/>
      <c r="HY3" s="637"/>
      <c r="HZ3" s="637"/>
      <c r="IA3" s="637"/>
      <c r="IB3" s="637"/>
      <c r="IC3" s="637"/>
      <c r="ID3" s="637"/>
      <c r="IE3" s="637"/>
      <c r="IF3" s="637"/>
      <c r="IG3" s="637"/>
      <c r="IH3" s="637"/>
      <c r="II3" s="637"/>
      <c r="IJ3" s="637"/>
      <c r="IK3" s="637"/>
      <c r="IL3" s="637"/>
      <c r="IM3" s="637"/>
      <c r="IN3" s="637"/>
      <c r="IO3" s="637"/>
      <c r="IP3" s="637"/>
      <c r="IQ3" s="637"/>
      <c r="IR3" s="637"/>
      <c r="IS3" s="637"/>
      <c r="IT3" s="637"/>
      <c r="IU3" s="637"/>
      <c r="IV3" s="637"/>
      <c r="IW3" s="637"/>
      <c r="IX3" s="637"/>
      <c r="IY3" s="637"/>
      <c r="IZ3" s="637"/>
      <c r="JA3" s="637"/>
      <c r="JB3" s="637"/>
      <c r="JC3" s="637"/>
      <c r="JD3" s="637"/>
      <c r="JE3" s="637"/>
      <c r="JF3" s="637"/>
      <c r="JG3" s="637"/>
      <c r="JH3" s="637"/>
      <c r="JI3" s="637"/>
      <c r="JJ3" s="637"/>
      <c r="JK3" s="637"/>
      <c r="JL3" s="637"/>
      <c r="JM3" s="637"/>
      <c r="JN3" s="637"/>
      <c r="JO3" s="637"/>
      <c r="JP3" s="637"/>
      <c r="JQ3" s="637"/>
      <c r="JR3" s="637"/>
      <c r="JS3" s="637"/>
      <c r="JT3" s="637"/>
      <c r="JU3" s="637"/>
      <c r="JV3" s="637"/>
      <c r="JW3" s="637"/>
      <c r="JX3" s="637"/>
      <c r="JY3" s="637"/>
      <c r="JZ3" s="637"/>
      <c r="KA3" s="637"/>
      <c r="KB3" s="637"/>
      <c r="KC3" s="637"/>
      <c r="KD3" s="637"/>
      <c r="KE3" s="637"/>
      <c r="KF3" s="637"/>
      <c r="KG3" s="637"/>
      <c r="KH3" s="637"/>
      <c r="KI3" s="637"/>
      <c r="KJ3" s="637"/>
      <c r="KK3" s="637"/>
      <c r="KL3" s="637"/>
      <c r="KM3" s="637"/>
      <c r="KN3" s="637"/>
      <c r="KO3" s="637"/>
      <c r="KP3" s="637"/>
      <c r="KQ3" s="637"/>
      <c r="KR3" s="637"/>
      <c r="KS3" s="637"/>
      <c r="KT3" s="637"/>
      <c r="KU3" s="637"/>
      <c r="KV3" s="637"/>
      <c r="KW3" s="637"/>
      <c r="KX3" s="637"/>
      <c r="KY3" s="637"/>
      <c r="KZ3" s="637"/>
      <c r="LA3" s="637"/>
      <c r="LB3" s="637"/>
      <c r="LC3" s="637"/>
      <c r="LD3" s="637"/>
      <c r="LE3" s="637"/>
      <c r="LF3" s="637"/>
      <c r="LG3" s="637"/>
      <c r="LH3" s="637"/>
      <c r="LI3" s="637"/>
      <c r="LJ3" s="637"/>
      <c r="LK3" s="637"/>
      <c r="LL3" s="637"/>
      <c r="LM3" s="637"/>
      <c r="LN3" s="637"/>
      <c r="LO3" s="637"/>
      <c r="LP3" s="637"/>
      <c r="LQ3" s="637"/>
      <c r="LR3" s="637"/>
      <c r="LS3" s="637"/>
      <c r="LT3" s="637"/>
      <c r="LU3" s="637"/>
      <c r="LV3" s="637"/>
      <c r="LW3" s="637"/>
      <c r="LX3" s="637"/>
      <c r="LY3" s="637"/>
      <c r="LZ3" s="637"/>
      <c r="MA3" s="637"/>
      <c r="MB3" s="637"/>
      <c r="MC3" s="637"/>
      <c r="MD3" s="637"/>
      <c r="ME3" s="637"/>
      <c r="MF3" s="637"/>
      <c r="MG3" s="637"/>
      <c r="MH3" s="637"/>
      <c r="MI3" s="637"/>
      <c r="MJ3" s="637"/>
      <c r="MK3" s="637"/>
      <c r="ML3" s="637"/>
      <c r="MM3" s="637"/>
      <c r="MN3" s="637"/>
      <c r="MO3" s="637"/>
      <c r="MP3" s="637"/>
      <c r="MQ3" s="637"/>
      <c r="MR3" s="637"/>
      <c r="MS3" s="637"/>
      <c r="MT3" s="637"/>
      <c r="MU3" s="637"/>
      <c r="MV3" s="637"/>
      <c r="MW3" s="637"/>
      <c r="MX3" s="637"/>
      <c r="MY3" s="637"/>
      <c r="MZ3" s="637"/>
      <c r="NA3" s="637"/>
      <c r="NB3" s="637"/>
      <c r="NC3" s="637"/>
      <c r="ND3" s="637"/>
      <c r="NE3" s="637"/>
      <c r="NF3" s="637"/>
      <c r="NG3" s="637"/>
      <c r="NH3" s="637"/>
      <c r="NI3" s="637"/>
      <c r="NJ3" s="637"/>
      <c r="NK3" s="637"/>
      <c r="NL3" s="637"/>
      <c r="NM3" s="637"/>
      <c r="NN3" s="637"/>
      <c r="NO3" s="637"/>
      <c r="NP3" s="637"/>
      <c r="NQ3" s="637"/>
      <c r="NR3" s="637"/>
      <c r="NS3" s="637"/>
      <c r="NT3" s="637"/>
      <c r="NU3" s="637"/>
      <c r="NV3" s="637"/>
      <c r="NW3" s="637"/>
      <c r="NX3" s="637"/>
      <c r="NY3" s="637"/>
      <c r="NZ3" s="637"/>
      <c r="OA3" s="637"/>
      <c r="OB3" s="637"/>
      <c r="OC3" s="637"/>
      <c r="OD3" s="637"/>
      <c r="OE3" s="637"/>
      <c r="OF3" s="637"/>
      <c r="OG3" s="637"/>
      <c r="OH3" s="637"/>
      <c r="OI3" s="637"/>
      <c r="OJ3" s="637"/>
      <c r="OK3" s="637"/>
      <c r="OL3" s="637"/>
      <c r="OM3" s="637"/>
      <c r="ON3" s="637"/>
      <c r="OO3" s="637"/>
      <c r="OP3" s="637"/>
      <c r="OQ3" s="637"/>
      <c r="OR3" s="637"/>
      <c r="OS3" s="637"/>
      <c r="OT3" s="637"/>
      <c r="OU3" s="637"/>
      <c r="OV3" s="637"/>
      <c r="OW3" s="637"/>
      <c r="OX3" s="637"/>
      <c r="OY3" s="637"/>
      <c r="OZ3" s="637"/>
      <c r="PA3" s="637"/>
      <c r="PB3" s="637"/>
      <c r="PC3" s="637"/>
      <c r="PD3" s="637"/>
      <c r="PE3" s="637"/>
      <c r="PF3" s="637"/>
      <c r="PG3" s="637"/>
      <c r="PH3" s="637"/>
      <c r="PI3" s="637"/>
      <c r="PJ3" s="637"/>
      <c r="PK3" s="637"/>
      <c r="PL3" s="637"/>
      <c r="PM3" s="637"/>
      <c r="PN3" s="637"/>
      <c r="PO3" s="637"/>
      <c r="PP3" s="637"/>
      <c r="PQ3" s="637"/>
      <c r="PR3" s="637"/>
      <c r="PS3" s="637"/>
      <c r="PT3" s="637"/>
      <c r="PU3" s="637"/>
      <c r="PV3" s="637"/>
      <c r="PW3" s="637"/>
      <c r="PX3" s="637"/>
      <c r="PY3" s="637"/>
      <c r="PZ3" s="637"/>
      <c r="QA3" s="637"/>
      <c r="QB3" s="637"/>
      <c r="QC3" s="637"/>
      <c r="QD3" s="637"/>
      <c r="QE3" s="637"/>
      <c r="QF3" s="637"/>
      <c r="QG3" s="637"/>
      <c r="QH3" s="637"/>
      <c r="QI3" s="637"/>
      <c r="QJ3" s="637"/>
      <c r="QK3" s="637"/>
      <c r="QL3" s="637"/>
      <c r="QM3" s="637"/>
      <c r="QN3" s="637"/>
      <c r="QO3" s="637"/>
      <c r="QP3" s="637"/>
      <c r="QQ3" s="637"/>
      <c r="QR3" s="637"/>
      <c r="QS3" s="637"/>
      <c r="QT3" s="637"/>
      <c r="QU3" s="637"/>
      <c r="QV3" s="637"/>
      <c r="QW3" s="637"/>
      <c r="QX3" s="637"/>
      <c r="QY3" s="637"/>
      <c r="QZ3" s="637"/>
      <c r="RA3" s="637"/>
      <c r="RB3" s="637"/>
      <c r="RC3" s="637"/>
      <c r="RD3" s="637"/>
      <c r="RE3" s="637"/>
      <c r="RF3" s="637"/>
      <c r="RG3" s="637"/>
      <c r="RH3" s="637"/>
      <c r="RI3" s="637"/>
      <c r="RJ3" s="637"/>
      <c r="RK3" s="637"/>
      <c r="RL3" s="637"/>
      <c r="RM3" s="637"/>
      <c r="RN3" s="637"/>
      <c r="RO3" s="637"/>
      <c r="RP3" s="637"/>
      <c r="RQ3" s="637"/>
      <c r="RR3" s="637"/>
      <c r="RS3" s="637"/>
      <c r="RT3" s="637"/>
      <c r="RU3" s="637"/>
      <c r="RV3" s="637"/>
      <c r="RW3" s="637"/>
      <c r="RX3" s="637"/>
      <c r="RY3" s="637"/>
      <c r="RZ3" s="637"/>
      <c r="SA3" s="637"/>
      <c r="SB3" s="637"/>
      <c r="SC3" s="637"/>
      <c r="SD3" s="637"/>
      <c r="SE3" s="637"/>
      <c r="SF3" s="637"/>
      <c r="SG3" s="637"/>
      <c r="SH3" s="637"/>
      <c r="SI3" s="637"/>
      <c r="SJ3" s="637"/>
      <c r="SK3" s="637"/>
      <c r="SL3" s="637"/>
      <c r="SM3" s="637"/>
      <c r="SN3" s="637"/>
      <c r="SO3" s="637"/>
      <c r="SP3" s="637"/>
      <c r="SQ3" s="637"/>
      <c r="SR3" s="637"/>
      <c r="SS3" s="637"/>
      <c r="ST3" s="637"/>
      <c r="SU3" s="637"/>
      <c r="SV3" s="637"/>
      <c r="SW3" s="637"/>
      <c r="SX3" s="637"/>
      <c r="SY3" s="637"/>
      <c r="SZ3" s="637"/>
      <c r="TA3" s="637"/>
      <c r="TB3" s="637"/>
      <c r="TC3" s="637"/>
      <c r="TD3" s="637"/>
      <c r="TE3" s="637"/>
      <c r="TF3" s="637"/>
      <c r="TG3" s="637"/>
      <c r="TH3" s="637"/>
      <c r="TI3" s="637"/>
      <c r="TJ3" s="637"/>
      <c r="TK3" s="637"/>
      <c r="TL3" s="637"/>
      <c r="TM3" s="637"/>
      <c r="TN3" s="637"/>
      <c r="TO3" s="637"/>
      <c r="TP3" s="637"/>
      <c r="TQ3" s="637"/>
      <c r="TR3" s="637"/>
      <c r="TS3" s="637"/>
      <c r="TT3" s="637"/>
      <c r="TU3" s="637"/>
      <c r="TV3" s="637"/>
      <c r="TW3" s="637"/>
      <c r="TX3" s="637"/>
      <c r="TY3" s="637"/>
      <c r="TZ3" s="637"/>
      <c r="UA3" s="637"/>
      <c r="UB3" s="637"/>
      <c r="UC3" s="637"/>
      <c r="UD3" s="637"/>
      <c r="UE3" s="637"/>
      <c r="UF3" s="637"/>
      <c r="UG3" s="637"/>
      <c r="UH3" s="637"/>
      <c r="UI3" s="637"/>
      <c r="UJ3" s="637"/>
      <c r="UK3" s="637"/>
      <c r="UL3" s="637"/>
      <c r="UM3" s="637"/>
      <c r="UN3" s="637"/>
      <c r="UO3" s="637"/>
      <c r="UP3" s="637"/>
      <c r="UQ3" s="637"/>
      <c r="UR3" s="637"/>
      <c r="US3" s="637"/>
      <c r="UT3" s="637"/>
      <c r="UU3" s="637"/>
      <c r="UV3" s="637"/>
      <c r="UW3" s="637"/>
      <c r="UX3" s="637"/>
      <c r="UY3" s="637"/>
      <c r="UZ3" s="637"/>
      <c r="VA3" s="637"/>
      <c r="VB3" s="637"/>
      <c r="VC3" s="637"/>
      <c r="VD3" s="637"/>
      <c r="VE3" s="637"/>
      <c r="VF3" s="637"/>
      <c r="VG3" s="637"/>
      <c r="VH3" s="637"/>
      <c r="VI3" s="637"/>
      <c r="VJ3" s="637"/>
      <c r="VK3" s="637"/>
      <c r="VL3" s="637"/>
      <c r="VM3" s="637"/>
      <c r="VN3" s="637"/>
      <c r="VO3" s="637"/>
      <c r="VP3" s="637"/>
      <c r="VQ3" s="637"/>
      <c r="VR3" s="637"/>
      <c r="VS3" s="637"/>
      <c r="VT3" s="637"/>
      <c r="VU3" s="637"/>
      <c r="VV3" s="637"/>
      <c r="VW3" s="637"/>
      <c r="VX3" s="637"/>
      <c r="VY3" s="637"/>
      <c r="VZ3" s="637"/>
      <c r="WA3" s="637"/>
      <c r="WB3" s="637"/>
      <c r="WC3" s="637"/>
      <c r="WD3" s="637"/>
      <c r="WE3" s="637"/>
      <c r="WF3" s="637"/>
      <c r="WG3" s="637"/>
      <c r="WH3" s="637"/>
      <c r="WI3" s="637"/>
      <c r="WJ3" s="637"/>
      <c r="WK3" s="637"/>
      <c r="WL3" s="637"/>
      <c r="WM3" s="637"/>
      <c r="WN3" s="637"/>
      <c r="WO3" s="637"/>
      <c r="WP3" s="637"/>
      <c r="WQ3" s="637"/>
      <c r="WR3" s="637"/>
      <c r="WS3" s="637"/>
      <c r="WT3" s="637"/>
      <c r="WU3" s="637"/>
      <c r="WV3" s="637"/>
      <c r="WW3" s="637"/>
      <c r="WX3" s="637"/>
      <c r="WY3" s="637"/>
      <c r="WZ3" s="637"/>
      <c r="XA3" s="637"/>
      <c r="XB3" s="637"/>
      <c r="XC3" s="637"/>
      <c r="XD3" s="637"/>
      <c r="XE3" s="637"/>
      <c r="XF3" s="637"/>
      <c r="XG3" s="637"/>
      <c r="XH3" s="637"/>
      <c r="XI3" s="637"/>
      <c r="XJ3" s="637"/>
      <c r="XK3" s="637"/>
      <c r="XL3" s="637"/>
      <c r="XM3" s="637"/>
      <c r="XN3" s="637"/>
      <c r="XO3" s="637"/>
      <c r="XP3" s="637"/>
      <c r="XQ3" s="637"/>
      <c r="XR3" s="637"/>
      <c r="XS3" s="637"/>
      <c r="XT3" s="637"/>
      <c r="XU3" s="637"/>
      <c r="XV3" s="637"/>
      <c r="XW3" s="637"/>
      <c r="XX3" s="637"/>
      <c r="XY3" s="637"/>
      <c r="XZ3" s="637"/>
      <c r="YA3" s="637"/>
      <c r="YB3" s="637"/>
      <c r="YC3" s="637"/>
      <c r="YD3" s="637"/>
      <c r="YE3" s="637"/>
      <c r="YF3" s="637"/>
      <c r="YG3" s="637"/>
      <c r="YH3" s="637"/>
      <c r="YI3" s="637"/>
      <c r="YJ3" s="637"/>
      <c r="YK3" s="637"/>
      <c r="YL3" s="637"/>
      <c r="YM3" s="637"/>
      <c r="YN3" s="637"/>
      <c r="YO3" s="637"/>
      <c r="YP3" s="637"/>
      <c r="YQ3" s="637"/>
      <c r="YR3" s="637"/>
      <c r="YS3" s="637"/>
      <c r="YT3" s="637"/>
      <c r="YU3" s="637"/>
      <c r="YV3" s="637"/>
      <c r="YW3" s="637"/>
      <c r="YX3" s="637"/>
      <c r="YY3" s="637"/>
      <c r="YZ3" s="637"/>
      <c r="ZA3" s="637"/>
      <c r="ZB3" s="637"/>
      <c r="ZC3" s="637"/>
      <c r="ZD3" s="637"/>
      <c r="ZE3" s="637"/>
      <c r="ZF3" s="637"/>
      <c r="ZG3" s="637"/>
      <c r="ZH3" s="637"/>
      <c r="ZI3" s="637"/>
      <c r="ZJ3" s="637"/>
      <c r="ZK3" s="637"/>
      <c r="ZL3" s="637"/>
      <c r="ZM3" s="637"/>
      <c r="ZN3" s="637"/>
      <c r="ZO3" s="637"/>
      <c r="ZP3" s="637"/>
      <c r="ZQ3" s="637"/>
      <c r="ZR3" s="637"/>
      <c r="ZS3" s="637"/>
      <c r="ZT3" s="637"/>
      <c r="ZU3" s="637"/>
      <c r="ZV3" s="637"/>
      <c r="ZW3" s="637"/>
      <c r="ZX3" s="637"/>
      <c r="ZY3" s="637"/>
      <c r="ZZ3" s="637"/>
      <c r="AAA3" s="637"/>
      <c r="AAB3" s="637"/>
      <c r="AAC3" s="637"/>
      <c r="AAD3" s="637"/>
      <c r="AAE3" s="637"/>
      <c r="AAF3" s="637"/>
      <c r="AAG3" s="637"/>
      <c r="AAH3" s="637"/>
      <c r="AAI3" s="637"/>
      <c r="AAJ3" s="637"/>
      <c r="AAK3" s="637"/>
      <c r="AAL3" s="637"/>
      <c r="AAM3" s="637"/>
      <c r="AAN3" s="637"/>
      <c r="AAO3" s="637"/>
      <c r="AAP3" s="637"/>
      <c r="AAQ3" s="637"/>
      <c r="AAR3" s="637"/>
      <c r="AAS3" s="637"/>
      <c r="AAT3" s="637"/>
      <c r="AAU3" s="637"/>
      <c r="AAV3" s="637"/>
      <c r="AAW3" s="637"/>
      <c r="AAX3" s="637"/>
      <c r="AAY3" s="637"/>
      <c r="AAZ3" s="637"/>
      <c r="ABA3" s="637"/>
      <c r="ABB3" s="637"/>
      <c r="ABC3" s="637"/>
      <c r="ABD3" s="637"/>
      <c r="ABE3" s="637"/>
      <c r="ABF3" s="637"/>
      <c r="ABG3" s="637"/>
      <c r="ABH3" s="637"/>
      <c r="ABI3" s="637"/>
      <c r="ABJ3" s="637"/>
      <c r="ABK3" s="637"/>
      <c r="ABL3" s="637"/>
      <c r="ABM3" s="637"/>
      <c r="ABN3" s="637"/>
      <c r="ABO3" s="637"/>
      <c r="ABP3" s="637"/>
      <c r="ABQ3" s="637"/>
      <c r="ABR3" s="637"/>
      <c r="ABS3" s="637"/>
      <c r="ABT3" s="637"/>
      <c r="ABU3" s="637"/>
      <c r="ABV3" s="637"/>
      <c r="ABW3" s="637"/>
      <c r="ABX3" s="637"/>
      <c r="ABY3" s="637"/>
      <c r="ABZ3" s="637"/>
      <c r="ACA3" s="637"/>
      <c r="ACB3" s="637"/>
      <c r="ACC3" s="637"/>
      <c r="ACD3" s="637"/>
      <c r="ACE3" s="637"/>
      <c r="ACF3" s="637"/>
      <c r="ACG3" s="637"/>
      <c r="ACH3" s="637"/>
      <c r="ACI3" s="637"/>
      <c r="ACJ3" s="637"/>
      <c r="ACK3" s="637"/>
      <c r="ACL3" s="637"/>
      <c r="ACM3" s="637"/>
      <c r="ACN3" s="637"/>
      <c r="ACO3" s="637"/>
      <c r="ACP3" s="637"/>
      <c r="ACQ3" s="637"/>
      <c r="ACR3" s="637"/>
      <c r="ACS3" s="637"/>
      <c r="ACT3" s="637"/>
      <c r="ACU3" s="637"/>
      <c r="ACV3" s="637"/>
      <c r="ACW3" s="637"/>
      <c r="ACX3" s="637"/>
      <c r="ACY3" s="637"/>
      <c r="ACZ3" s="637"/>
      <c r="ADA3" s="637"/>
      <c r="ADB3" s="637"/>
      <c r="ADC3" s="637"/>
      <c r="ADD3" s="637"/>
      <c r="ADE3" s="637"/>
      <c r="ADF3" s="637"/>
      <c r="ADG3" s="637"/>
      <c r="ADH3" s="637"/>
      <c r="ADI3" s="637"/>
      <c r="ADJ3" s="637"/>
      <c r="ADK3" s="637"/>
      <c r="ADL3" s="637"/>
      <c r="ADM3" s="637"/>
      <c r="ADN3" s="637"/>
      <c r="ADO3" s="637"/>
      <c r="ADP3" s="637"/>
      <c r="ADQ3" s="637"/>
      <c r="ADR3" s="637"/>
      <c r="ADS3" s="637"/>
      <c r="ADT3" s="637"/>
      <c r="ADU3" s="637"/>
      <c r="ADV3" s="637"/>
      <c r="ADW3" s="637"/>
      <c r="ADX3" s="637"/>
      <c r="ADY3" s="637"/>
      <c r="ADZ3" s="637"/>
      <c r="AEA3" s="637"/>
      <c r="AEB3" s="637"/>
      <c r="AEC3" s="637"/>
      <c r="AED3" s="637"/>
      <c r="AEE3" s="637"/>
      <c r="AEF3" s="637"/>
      <c r="AEG3" s="637"/>
      <c r="AEH3" s="637"/>
      <c r="AEI3" s="637"/>
      <c r="AEJ3" s="637"/>
      <c r="AEK3" s="637"/>
      <c r="AEL3" s="637"/>
      <c r="AEM3" s="637"/>
      <c r="AEN3" s="637"/>
      <c r="AEO3" s="637"/>
      <c r="AEP3" s="637"/>
      <c r="AEQ3" s="637"/>
      <c r="AER3" s="637"/>
      <c r="AES3" s="637"/>
      <c r="AET3" s="637"/>
      <c r="AEU3" s="637"/>
      <c r="AEV3" s="637"/>
      <c r="AEW3" s="637"/>
      <c r="AEX3" s="637"/>
      <c r="AEY3" s="637"/>
      <c r="AEZ3" s="637"/>
      <c r="AFA3" s="637"/>
      <c r="AFB3" s="637"/>
      <c r="AFC3" s="637"/>
      <c r="AFD3" s="637"/>
      <c r="AFE3" s="637"/>
      <c r="AFF3" s="637"/>
      <c r="AFG3" s="637"/>
      <c r="AFH3" s="637"/>
      <c r="AFI3" s="637"/>
      <c r="AFJ3" s="637"/>
      <c r="AFK3" s="637"/>
      <c r="AFL3" s="637"/>
      <c r="AFM3" s="637"/>
      <c r="AFN3" s="637"/>
      <c r="AFO3" s="637"/>
      <c r="AFP3" s="637"/>
      <c r="AFQ3" s="637"/>
      <c r="AFR3" s="637"/>
      <c r="AFS3" s="637"/>
      <c r="AFT3" s="637"/>
      <c r="AFU3" s="637"/>
      <c r="AFV3" s="637"/>
      <c r="AFW3" s="637"/>
      <c r="AFX3" s="637"/>
      <c r="AFY3" s="637"/>
      <c r="AFZ3" s="637"/>
      <c r="AGA3" s="637"/>
      <c r="AGB3" s="637"/>
      <c r="AGC3" s="637"/>
      <c r="AGD3" s="637"/>
      <c r="AGE3" s="637"/>
      <c r="AGF3" s="637"/>
      <c r="AGG3" s="637"/>
      <c r="AGH3" s="637"/>
      <c r="AGI3" s="637"/>
      <c r="AGJ3" s="637"/>
      <c r="AGK3" s="637"/>
      <c r="AGL3" s="637"/>
      <c r="AGM3" s="637"/>
      <c r="AGN3" s="637"/>
      <c r="AGO3" s="637"/>
      <c r="AGP3" s="637"/>
      <c r="AGQ3" s="637"/>
      <c r="AGR3" s="637"/>
      <c r="AGS3" s="637"/>
      <c r="AGT3" s="637"/>
      <c r="AGU3" s="637"/>
      <c r="AGV3" s="637"/>
      <c r="AGW3" s="637"/>
      <c r="AGX3" s="637"/>
      <c r="AGY3" s="637"/>
      <c r="AGZ3" s="637"/>
      <c r="AHA3" s="637"/>
      <c r="AHB3" s="637"/>
      <c r="AHC3" s="637"/>
      <c r="AHD3" s="637"/>
      <c r="AHE3" s="637"/>
      <c r="AHF3" s="637"/>
      <c r="AHG3" s="637"/>
      <c r="AHH3" s="637"/>
      <c r="AHI3" s="637"/>
      <c r="AHJ3" s="637"/>
      <c r="AHK3" s="637"/>
      <c r="AHL3" s="637"/>
      <c r="AHM3" s="637"/>
      <c r="AHN3" s="637"/>
      <c r="AHO3" s="637"/>
      <c r="AHP3" s="637"/>
      <c r="AHQ3" s="637"/>
      <c r="AHR3" s="637"/>
      <c r="AHS3" s="637"/>
      <c r="AHT3" s="637"/>
      <c r="AHU3" s="637"/>
      <c r="AHV3" s="637"/>
      <c r="AHW3" s="637"/>
      <c r="AHX3" s="637"/>
      <c r="AHY3" s="637"/>
      <c r="AHZ3" s="637"/>
      <c r="AIA3" s="637"/>
      <c r="AIB3" s="637"/>
      <c r="AIC3" s="637"/>
      <c r="AID3" s="637"/>
      <c r="AIE3" s="637"/>
      <c r="AIF3" s="637"/>
      <c r="AIG3" s="637"/>
      <c r="AIH3" s="637"/>
      <c r="AII3" s="637"/>
      <c r="AIJ3" s="637"/>
      <c r="AIK3" s="637"/>
      <c r="AIL3" s="637"/>
      <c r="AIM3" s="637"/>
      <c r="AIN3" s="637"/>
      <c r="AIO3" s="637"/>
      <c r="AIP3" s="637"/>
      <c r="AIQ3" s="637"/>
      <c r="AIR3" s="637"/>
      <c r="AIS3" s="637"/>
      <c r="AIT3" s="637"/>
      <c r="AIU3" s="637"/>
      <c r="AIV3" s="637"/>
      <c r="AIW3" s="637"/>
      <c r="AIX3" s="637"/>
      <c r="AIY3" s="637"/>
      <c r="AIZ3" s="637"/>
      <c r="AJA3" s="637"/>
      <c r="AJB3" s="637"/>
      <c r="AJC3" s="637"/>
      <c r="AJD3" s="637"/>
      <c r="AJE3" s="637"/>
      <c r="AJF3" s="637"/>
      <c r="AJG3" s="637"/>
      <c r="AJH3" s="637"/>
      <c r="AJI3" s="637"/>
      <c r="AJJ3" s="637"/>
      <c r="AJK3" s="637"/>
      <c r="AJL3" s="637"/>
      <c r="AJM3" s="637"/>
      <c r="AJN3" s="637"/>
      <c r="AJO3" s="637"/>
      <c r="AJP3" s="637"/>
      <c r="AJQ3" s="637"/>
      <c r="AJR3" s="637"/>
      <c r="AJS3" s="637"/>
      <c r="AJT3" s="637"/>
      <c r="AJU3" s="637"/>
      <c r="AJV3" s="637"/>
      <c r="AJW3" s="637"/>
      <c r="AJX3" s="637"/>
      <c r="AJY3" s="637"/>
      <c r="AJZ3" s="637"/>
      <c r="AKA3" s="637"/>
      <c r="AKB3" s="637"/>
      <c r="AKC3" s="637"/>
      <c r="AKD3" s="637"/>
      <c r="AKE3" s="637"/>
      <c r="AKF3" s="637"/>
      <c r="AKG3" s="637"/>
      <c r="AKH3" s="637"/>
      <c r="AKI3" s="637"/>
      <c r="AKJ3" s="637"/>
      <c r="AKK3" s="637"/>
      <c r="AKL3" s="637"/>
      <c r="AKM3" s="637"/>
      <c r="AKN3" s="637"/>
      <c r="AKO3" s="637"/>
      <c r="AKP3" s="637"/>
      <c r="AKQ3" s="637"/>
      <c r="AKR3" s="637"/>
      <c r="AKS3" s="637"/>
      <c r="AKT3" s="637"/>
      <c r="AKU3" s="637"/>
      <c r="AKV3" s="637"/>
      <c r="AKW3" s="637"/>
      <c r="AKX3" s="637"/>
      <c r="AKY3" s="637"/>
      <c r="AKZ3" s="637"/>
      <c r="ALA3" s="637"/>
      <c r="ALB3" s="637"/>
      <c r="ALC3" s="637"/>
      <c r="ALD3" s="637"/>
      <c r="ALE3" s="637"/>
      <c r="ALF3" s="637"/>
      <c r="ALG3" s="637"/>
      <c r="ALH3" s="637"/>
      <c r="ALI3" s="637"/>
      <c r="ALJ3" s="637"/>
      <c r="ALK3" s="637"/>
      <c r="ALL3" s="637"/>
      <c r="ALM3" s="637"/>
      <c r="ALN3" s="637"/>
      <c r="ALO3" s="637"/>
      <c r="ALP3" s="637"/>
      <c r="ALQ3" s="637"/>
      <c r="ALR3" s="637"/>
      <c r="ALS3" s="637"/>
      <c r="ALT3" s="637"/>
      <c r="ALU3" s="637"/>
      <c r="ALV3" s="637"/>
      <c r="ALW3" s="637"/>
      <c r="ALX3" s="637"/>
      <c r="ALY3" s="637"/>
      <c r="ALZ3" s="637"/>
      <c r="AMA3" s="637"/>
      <c r="AMB3" s="637"/>
      <c r="AMC3" s="637"/>
      <c r="AMD3" s="637"/>
      <c r="AME3" s="637"/>
      <c r="AMF3" s="637"/>
      <c r="AMG3" s="637"/>
      <c r="AMH3" s="637"/>
      <c r="AMI3" s="637"/>
      <c r="AMJ3" s="637"/>
    </row>
    <row r="4" spans="1:1024" s="638" customFormat="1" ht="15.75" customHeight="1">
      <c r="A4" s="1093"/>
      <c r="B4" s="1093"/>
      <c r="C4" s="1093"/>
      <c r="D4" s="1093"/>
      <c r="E4" s="1093"/>
      <c r="F4" s="1093"/>
      <c r="G4" s="1092" t="s">
        <v>7</v>
      </c>
      <c r="H4" s="1092" t="s">
        <v>129</v>
      </c>
      <c r="I4" s="1092" t="s">
        <v>116</v>
      </c>
      <c r="J4" s="1092" t="s">
        <v>57</v>
      </c>
      <c r="K4" s="1092" t="s">
        <v>117</v>
      </c>
      <c r="L4" s="1092" t="s">
        <v>23</v>
      </c>
      <c r="M4" s="1093" t="s">
        <v>72</v>
      </c>
      <c r="N4" s="1093" t="s">
        <v>70</v>
      </c>
      <c r="O4" s="1092" t="s">
        <v>37</v>
      </c>
      <c r="P4" s="1097" t="s">
        <v>40</v>
      </c>
      <c r="Q4" s="1097" t="s">
        <v>118</v>
      </c>
      <c r="R4" s="1092" t="s">
        <v>119</v>
      </c>
      <c r="S4" s="637"/>
      <c r="T4" s="637"/>
      <c r="U4" s="637"/>
      <c r="V4" s="637"/>
      <c r="W4" s="637"/>
      <c r="X4" s="637"/>
      <c r="Y4" s="637"/>
      <c r="Z4" s="637"/>
      <c r="AA4" s="637"/>
      <c r="AB4" s="637"/>
      <c r="AC4" s="637"/>
      <c r="AD4" s="637"/>
      <c r="AE4" s="637"/>
      <c r="AF4" s="637"/>
      <c r="AG4" s="637"/>
      <c r="AH4" s="637"/>
      <c r="AI4" s="637"/>
      <c r="AJ4" s="637"/>
      <c r="AK4" s="637"/>
      <c r="AL4" s="637"/>
      <c r="AM4" s="637"/>
      <c r="AN4" s="637"/>
      <c r="AO4" s="637"/>
      <c r="AP4" s="637"/>
      <c r="AQ4" s="637"/>
      <c r="AR4" s="637"/>
      <c r="AS4" s="637"/>
      <c r="AT4" s="637"/>
      <c r="AU4" s="637"/>
      <c r="AV4" s="637"/>
      <c r="AW4" s="637"/>
      <c r="AX4" s="637"/>
      <c r="AY4" s="637"/>
      <c r="AZ4" s="637"/>
      <c r="BA4" s="637"/>
      <c r="BB4" s="637"/>
      <c r="BC4" s="637"/>
      <c r="BD4" s="637"/>
      <c r="BE4" s="637"/>
      <c r="BF4" s="637"/>
      <c r="BG4" s="637"/>
      <c r="BH4" s="637"/>
      <c r="BI4" s="637"/>
      <c r="BJ4" s="637"/>
      <c r="BK4" s="637"/>
      <c r="BL4" s="637"/>
      <c r="BM4" s="637"/>
      <c r="BN4" s="637"/>
      <c r="BO4" s="637"/>
      <c r="BP4" s="637"/>
      <c r="BQ4" s="637"/>
      <c r="BR4" s="637"/>
      <c r="BS4" s="637"/>
      <c r="BT4" s="637"/>
      <c r="BU4" s="637"/>
      <c r="BV4" s="637"/>
      <c r="BW4" s="637"/>
      <c r="BX4" s="637"/>
      <c r="BY4" s="637"/>
      <c r="BZ4" s="637"/>
      <c r="CA4" s="637"/>
      <c r="CB4" s="637"/>
      <c r="CC4" s="637"/>
      <c r="CD4" s="637"/>
      <c r="CE4" s="637"/>
      <c r="CF4" s="637"/>
      <c r="CG4" s="637"/>
      <c r="CH4" s="637"/>
      <c r="CI4" s="637"/>
      <c r="CJ4" s="637"/>
      <c r="CK4" s="637"/>
      <c r="CL4" s="637"/>
      <c r="CM4" s="637"/>
      <c r="CN4" s="637"/>
      <c r="CO4" s="637"/>
      <c r="CP4" s="637"/>
      <c r="CQ4" s="637"/>
      <c r="CR4" s="637"/>
      <c r="CS4" s="637"/>
      <c r="CT4" s="637"/>
      <c r="CU4" s="637"/>
      <c r="CV4" s="637"/>
      <c r="CW4" s="637"/>
      <c r="CX4" s="637"/>
      <c r="CY4" s="637"/>
      <c r="CZ4" s="637"/>
      <c r="DA4" s="637"/>
      <c r="DB4" s="637"/>
      <c r="DC4" s="637"/>
      <c r="DD4" s="637"/>
      <c r="DE4" s="637"/>
      <c r="DF4" s="637"/>
      <c r="DG4" s="637"/>
      <c r="DH4" s="637"/>
      <c r="DI4" s="637"/>
      <c r="DJ4" s="637"/>
      <c r="DK4" s="637"/>
      <c r="DL4" s="637"/>
      <c r="DM4" s="637"/>
      <c r="DN4" s="637"/>
      <c r="DO4" s="637"/>
      <c r="DP4" s="637"/>
      <c r="DQ4" s="637"/>
      <c r="DR4" s="637"/>
      <c r="DS4" s="637"/>
      <c r="DT4" s="637"/>
      <c r="DU4" s="637"/>
      <c r="DV4" s="637"/>
      <c r="DW4" s="637"/>
      <c r="DX4" s="637"/>
      <c r="DY4" s="637"/>
      <c r="DZ4" s="637"/>
      <c r="EA4" s="637"/>
      <c r="EB4" s="637"/>
      <c r="EC4" s="637"/>
      <c r="ED4" s="637"/>
      <c r="EE4" s="637"/>
      <c r="EF4" s="637"/>
      <c r="EG4" s="637"/>
      <c r="EH4" s="637"/>
      <c r="EI4" s="637"/>
      <c r="EJ4" s="637"/>
      <c r="EK4" s="637"/>
      <c r="EL4" s="637"/>
      <c r="EM4" s="637"/>
      <c r="EN4" s="637"/>
      <c r="EO4" s="637"/>
      <c r="EP4" s="637"/>
      <c r="EQ4" s="637"/>
      <c r="ER4" s="637"/>
      <c r="ES4" s="637"/>
      <c r="ET4" s="637"/>
      <c r="EU4" s="637"/>
      <c r="EV4" s="637"/>
      <c r="EW4" s="637"/>
      <c r="EX4" s="637"/>
      <c r="EY4" s="637"/>
      <c r="EZ4" s="637"/>
      <c r="FA4" s="637"/>
      <c r="FB4" s="637"/>
      <c r="FC4" s="637"/>
      <c r="FD4" s="637"/>
      <c r="FE4" s="637"/>
      <c r="FF4" s="637"/>
      <c r="FG4" s="637"/>
      <c r="FH4" s="637"/>
      <c r="FI4" s="637"/>
      <c r="FJ4" s="637"/>
      <c r="FK4" s="637"/>
      <c r="FL4" s="637"/>
      <c r="FM4" s="637"/>
      <c r="FN4" s="637"/>
      <c r="FO4" s="637"/>
      <c r="FP4" s="637"/>
      <c r="FQ4" s="637"/>
      <c r="FR4" s="637"/>
      <c r="FS4" s="637"/>
      <c r="FT4" s="637"/>
      <c r="FU4" s="637"/>
      <c r="FV4" s="637"/>
      <c r="FW4" s="637"/>
      <c r="FX4" s="637"/>
      <c r="FY4" s="637"/>
      <c r="FZ4" s="637"/>
      <c r="GA4" s="637"/>
      <c r="GB4" s="637"/>
      <c r="GC4" s="637"/>
      <c r="GD4" s="637"/>
      <c r="GE4" s="637"/>
      <c r="GF4" s="637"/>
      <c r="GG4" s="637"/>
      <c r="GH4" s="637"/>
      <c r="GI4" s="637"/>
      <c r="GJ4" s="637"/>
      <c r="GK4" s="637"/>
      <c r="GL4" s="637"/>
      <c r="GM4" s="637"/>
      <c r="GN4" s="637"/>
      <c r="GO4" s="637"/>
      <c r="GP4" s="637"/>
      <c r="GQ4" s="637"/>
      <c r="GR4" s="637"/>
      <c r="GS4" s="637"/>
      <c r="GT4" s="637"/>
      <c r="GU4" s="637"/>
      <c r="GV4" s="637"/>
      <c r="GW4" s="637"/>
      <c r="GX4" s="637"/>
      <c r="GY4" s="637"/>
      <c r="GZ4" s="637"/>
      <c r="HA4" s="637"/>
      <c r="HB4" s="637"/>
      <c r="HC4" s="637"/>
      <c r="HD4" s="637"/>
      <c r="HE4" s="637"/>
      <c r="HF4" s="637"/>
      <c r="HG4" s="637"/>
      <c r="HH4" s="637"/>
      <c r="HI4" s="637"/>
      <c r="HJ4" s="637"/>
      <c r="HK4" s="637"/>
      <c r="HL4" s="637"/>
      <c r="HM4" s="637"/>
      <c r="HN4" s="637"/>
      <c r="HO4" s="637"/>
      <c r="HP4" s="637"/>
      <c r="HQ4" s="637"/>
      <c r="HR4" s="637"/>
      <c r="HS4" s="637"/>
      <c r="HT4" s="637"/>
      <c r="HU4" s="637"/>
      <c r="HV4" s="637"/>
      <c r="HW4" s="637"/>
      <c r="HX4" s="637"/>
      <c r="HY4" s="637"/>
      <c r="HZ4" s="637"/>
      <c r="IA4" s="637"/>
      <c r="IB4" s="637"/>
      <c r="IC4" s="637"/>
      <c r="ID4" s="637"/>
      <c r="IE4" s="637"/>
      <c r="IF4" s="637"/>
      <c r="IG4" s="637"/>
      <c r="IH4" s="637"/>
      <c r="II4" s="637"/>
      <c r="IJ4" s="637"/>
      <c r="IK4" s="637"/>
      <c r="IL4" s="637"/>
      <c r="IM4" s="637"/>
      <c r="IN4" s="637"/>
      <c r="IO4" s="637"/>
      <c r="IP4" s="637"/>
      <c r="IQ4" s="637"/>
      <c r="IR4" s="637"/>
      <c r="IS4" s="637"/>
      <c r="IT4" s="637"/>
      <c r="IU4" s="637"/>
      <c r="IV4" s="637"/>
      <c r="IW4" s="637"/>
      <c r="IX4" s="637"/>
      <c r="IY4" s="637"/>
      <c r="IZ4" s="637"/>
      <c r="JA4" s="637"/>
      <c r="JB4" s="637"/>
      <c r="JC4" s="637"/>
      <c r="JD4" s="637"/>
      <c r="JE4" s="637"/>
      <c r="JF4" s="637"/>
      <c r="JG4" s="637"/>
      <c r="JH4" s="637"/>
      <c r="JI4" s="637"/>
      <c r="JJ4" s="637"/>
      <c r="JK4" s="637"/>
      <c r="JL4" s="637"/>
      <c r="JM4" s="637"/>
      <c r="JN4" s="637"/>
      <c r="JO4" s="637"/>
      <c r="JP4" s="637"/>
      <c r="JQ4" s="637"/>
      <c r="JR4" s="637"/>
      <c r="JS4" s="637"/>
      <c r="JT4" s="637"/>
      <c r="JU4" s="637"/>
      <c r="JV4" s="637"/>
      <c r="JW4" s="637"/>
      <c r="JX4" s="637"/>
      <c r="JY4" s="637"/>
      <c r="JZ4" s="637"/>
      <c r="KA4" s="637"/>
      <c r="KB4" s="637"/>
      <c r="KC4" s="637"/>
      <c r="KD4" s="637"/>
      <c r="KE4" s="637"/>
      <c r="KF4" s="637"/>
      <c r="KG4" s="637"/>
      <c r="KH4" s="637"/>
      <c r="KI4" s="637"/>
      <c r="KJ4" s="637"/>
      <c r="KK4" s="637"/>
      <c r="KL4" s="637"/>
      <c r="KM4" s="637"/>
      <c r="KN4" s="637"/>
      <c r="KO4" s="637"/>
      <c r="KP4" s="637"/>
      <c r="KQ4" s="637"/>
      <c r="KR4" s="637"/>
      <c r="KS4" s="637"/>
      <c r="KT4" s="637"/>
      <c r="KU4" s="637"/>
      <c r="KV4" s="637"/>
      <c r="KW4" s="637"/>
      <c r="KX4" s="637"/>
      <c r="KY4" s="637"/>
      <c r="KZ4" s="637"/>
      <c r="LA4" s="637"/>
      <c r="LB4" s="637"/>
      <c r="LC4" s="637"/>
      <c r="LD4" s="637"/>
      <c r="LE4" s="637"/>
      <c r="LF4" s="637"/>
      <c r="LG4" s="637"/>
      <c r="LH4" s="637"/>
      <c r="LI4" s="637"/>
      <c r="LJ4" s="637"/>
      <c r="LK4" s="637"/>
      <c r="LL4" s="637"/>
      <c r="LM4" s="637"/>
      <c r="LN4" s="637"/>
      <c r="LO4" s="637"/>
      <c r="LP4" s="637"/>
      <c r="LQ4" s="637"/>
      <c r="LR4" s="637"/>
      <c r="LS4" s="637"/>
      <c r="LT4" s="637"/>
      <c r="LU4" s="637"/>
      <c r="LV4" s="637"/>
      <c r="LW4" s="637"/>
      <c r="LX4" s="637"/>
      <c r="LY4" s="637"/>
      <c r="LZ4" s="637"/>
      <c r="MA4" s="637"/>
      <c r="MB4" s="637"/>
      <c r="MC4" s="637"/>
      <c r="MD4" s="637"/>
      <c r="ME4" s="637"/>
      <c r="MF4" s="637"/>
      <c r="MG4" s="637"/>
      <c r="MH4" s="637"/>
      <c r="MI4" s="637"/>
      <c r="MJ4" s="637"/>
      <c r="MK4" s="637"/>
      <c r="ML4" s="637"/>
      <c r="MM4" s="637"/>
      <c r="MN4" s="637"/>
      <c r="MO4" s="637"/>
      <c r="MP4" s="637"/>
      <c r="MQ4" s="637"/>
      <c r="MR4" s="637"/>
      <c r="MS4" s="637"/>
      <c r="MT4" s="637"/>
      <c r="MU4" s="637"/>
      <c r="MV4" s="637"/>
      <c r="MW4" s="637"/>
      <c r="MX4" s="637"/>
      <c r="MY4" s="637"/>
      <c r="MZ4" s="637"/>
      <c r="NA4" s="637"/>
      <c r="NB4" s="637"/>
      <c r="NC4" s="637"/>
      <c r="ND4" s="637"/>
      <c r="NE4" s="637"/>
      <c r="NF4" s="637"/>
      <c r="NG4" s="637"/>
      <c r="NH4" s="637"/>
      <c r="NI4" s="637"/>
      <c r="NJ4" s="637"/>
      <c r="NK4" s="637"/>
      <c r="NL4" s="637"/>
      <c r="NM4" s="637"/>
      <c r="NN4" s="637"/>
      <c r="NO4" s="637"/>
      <c r="NP4" s="637"/>
      <c r="NQ4" s="637"/>
      <c r="NR4" s="637"/>
      <c r="NS4" s="637"/>
      <c r="NT4" s="637"/>
      <c r="NU4" s="637"/>
      <c r="NV4" s="637"/>
      <c r="NW4" s="637"/>
      <c r="NX4" s="637"/>
      <c r="NY4" s="637"/>
      <c r="NZ4" s="637"/>
      <c r="OA4" s="637"/>
      <c r="OB4" s="637"/>
      <c r="OC4" s="637"/>
      <c r="OD4" s="637"/>
      <c r="OE4" s="637"/>
      <c r="OF4" s="637"/>
      <c r="OG4" s="637"/>
      <c r="OH4" s="637"/>
      <c r="OI4" s="637"/>
      <c r="OJ4" s="637"/>
      <c r="OK4" s="637"/>
      <c r="OL4" s="637"/>
      <c r="OM4" s="637"/>
      <c r="ON4" s="637"/>
      <c r="OO4" s="637"/>
      <c r="OP4" s="637"/>
      <c r="OQ4" s="637"/>
      <c r="OR4" s="637"/>
      <c r="OS4" s="637"/>
      <c r="OT4" s="637"/>
      <c r="OU4" s="637"/>
      <c r="OV4" s="637"/>
      <c r="OW4" s="637"/>
      <c r="OX4" s="637"/>
      <c r="OY4" s="637"/>
      <c r="OZ4" s="637"/>
      <c r="PA4" s="637"/>
      <c r="PB4" s="637"/>
      <c r="PC4" s="637"/>
      <c r="PD4" s="637"/>
      <c r="PE4" s="637"/>
      <c r="PF4" s="637"/>
      <c r="PG4" s="637"/>
      <c r="PH4" s="637"/>
      <c r="PI4" s="637"/>
      <c r="PJ4" s="637"/>
      <c r="PK4" s="637"/>
      <c r="PL4" s="637"/>
      <c r="PM4" s="637"/>
      <c r="PN4" s="637"/>
      <c r="PO4" s="637"/>
      <c r="PP4" s="637"/>
      <c r="PQ4" s="637"/>
      <c r="PR4" s="637"/>
      <c r="PS4" s="637"/>
      <c r="PT4" s="637"/>
      <c r="PU4" s="637"/>
      <c r="PV4" s="637"/>
      <c r="PW4" s="637"/>
      <c r="PX4" s="637"/>
      <c r="PY4" s="637"/>
      <c r="PZ4" s="637"/>
      <c r="QA4" s="637"/>
      <c r="QB4" s="637"/>
      <c r="QC4" s="637"/>
      <c r="QD4" s="637"/>
      <c r="QE4" s="637"/>
      <c r="QF4" s="637"/>
      <c r="QG4" s="637"/>
      <c r="QH4" s="637"/>
      <c r="QI4" s="637"/>
      <c r="QJ4" s="637"/>
      <c r="QK4" s="637"/>
      <c r="QL4" s="637"/>
      <c r="QM4" s="637"/>
      <c r="QN4" s="637"/>
      <c r="QO4" s="637"/>
      <c r="QP4" s="637"/>
      <c r="QQ4" s="637"/>
      <c r="QR4" s="637"/>
      <c r="QS4" s="637"/>
      <c r="QT4" s="637"/>
      <c r="QU4" s="637"/>
      <c r="QV4" s="637"/>
      <c r="QW4" s="637"/>
      <c r="QX4" s="637"/>
      <c r="QY4" s="637"/>
      <c r="QZ4" s="637"/>
      <c r="RA4" s="637"/>
      <c r="RB4" s="637"/>
      <c r="RC4" s="637"/>
      <c r="RD4" s="637"/>
      <c r="RE4" s="637"/>
      <c r="RF4" s="637"/>
      <c r="RG4" s="637"/>
      <c r="RH4" s="637"/>
      <c r="RI4" s="637"/>
      <c r="RJ4" s="637"/>
      <c r="RK4" s="637"/>
      <c r="RL4" s="637"/>
      <c r="RM4" s="637"/>
      <c r="RN4" s="637"/>
      <c r="RO4" s="637"/>
      <c r="RP4" s="637"/>
      <c r="RQ4" s="637"/>
      <c r="RR4" s="637"/>
      <c r="RS4" s="637"/>
      <c r="RT4" s="637"/>
      <c r="RU4" s="637"/>
      <c r="RV4" s="637"/>
      <c r="RW4" s="637"/>
      <c r="RX4" s="637"/>
      <c r="RY4" s="637"/>
      <c r="RZ4" s="637"/>
      <c r="SA4" s="637"/>
      <c r="SB4" s="637"/>
      <c r="SC4" s="637"/>
      <c r="SD4" s="637"/>
      <c r="SE4" s="637"/>
      <c r="SF4" s="637"/>
      <c r="SG4" s="637"/>
      <c r="SH4" s="637"/>
      <c r="SI4" s="637"/>
      <c r="SJ4" s="637"/>
      <c r="SK4" s="637"/>
      <c r="SL4" s="637"/>
      <c r="SM4" s="637"/>
      <c r="SN4" s="637"/>
      <c r="SO4" s="637"/>
      <c r="SP4" s="637"/>
      <c r="SQ4" s="637"/>
      <c r="SR4" s="637"/>
      <c r="SS4" s="637"/>
      <c r="ST4" s="637"/>
      <c r="SU4" s="637"/>
      <c r="SV4" s="637"/>
      <c r="SW4" s="637"/>
      <c r="SX4" s="637"/>
      <c r="SY4" s="637"/>
      <c r="SZ4" s="637"/>
      <c r="TA4" s="637"/>
      <c r="TB4" s="637"/>
      <c r="TC4" s="637"/>
      <c r="TD4" s="637"/>
      <c r="TE4" s="637"/>
      <c r="TF4" s="637"/>
      <c r="TG4" s="637"/>
      <c r="TH4" s="637"/>
      <c r="TI4" s="637"/>
      <c r="TJ4" s="637"/>
      <c r="TK4" s="637"/>
      <c r="TL4" s="637"/>
      <c r="TM4" s="637"/>
      <c r="TN4" s="637"/>
      <c r="TO4" s="637"/>
      <c r="TP4" s="637"/>
      <c r="TQ4" s="637"/>
      <c r="TR4" s="637"/>
      <c r="TS4" s="637"/>
      <c r="TT4" s="637"/>
      <c r="TU4" s="637"/>
      <c r="TV4" s="637"/>
      <c r="TW4" s="637"/>
      <c r="TX4" s="637"/>
      <c r="TY4" s="637"/>
      <c r="TZ4" s="637"/>
      <c r="UA4" s="637"/>
      <c r="UB4" s="637"/>
      <c r="UC4" s="637"/>
      <c r="UD4" s="637"/>
      <c r="UE4" s="637"/>
      <c r="UF4" s="637"/>
      <c r="UG4" s="637"/>
      <c r="UH4" s="637"/>
      <c r="UI4" s="637"/>
      <c r="UJ4" s="637"/>
      <c r="UK4" s="637"/>
      <c r="UL4" s="637"/>
      <c r="UM4" s="637"/>
      <c r="UN4" s="637"/>
      <c r="UO4" s="637"/>
      <c r="UP4" s="637"/>
      <c r="UQ4" s="637"/>
      <c r="UR4" s="637"/>
      <c r="US4" s="637"/>
      <c r="UT4" s="637"/>
      <c r="UU4" s="637"/>
      <c r="UV4" s="637"/>
      <c r="UW4" s="637"/>
      <c r="UX4" s="637"/>
      <c r="UY4" s="637"/>
      <c r="UZ4" s="637"/>
      <c r="VA4" s="637"/>
      <c r="VB4" s="637"/>
      <c r="VC4" s="637"/>
      <c r="VD4" s="637"/>
      <c r="VE4" s="637"/>
      <c r="VF4" s="637"/>
      <c r="VG4" s="637"/>
      <c r="VH4" s="637"/>
      <c r="VI4" s="637"/>
      <c r="VJ4" s="637"/>
      <c r="VK4" s="637"/>
      <c r="VL4" s="637"/>
      <c r="VM4" s="637"/>
      <c r="VN4" s="637"/>
      <c r="VO4" s="637"/>
      <c r="VP4" s="637"/>
      <c r="VQ4" s="637"/>
      <c r="VR4" s="637"/>
      <c r="VS4" s="637"/>
      <c r="VT4" s="637"/>
      <c r="VU4" s="637"/>
      <c r="VV4" s="637"/>
      <c r="VW4" s="637"/>
      <c r="VX4" s="637"/>
      <c r="VY4" s="637"/>
      <c r="VZ4" s="637"/>
      <c r="WA4" s="637"/>
      <c r="WB4" s="637"/>
      <c r="WC4" s="637"/>
      <c r="WD4" s="637"/>
      <c r="WE4" s="637"/>
      <c r="WF4" s="637"/>
      <c r="WG4" s="637"/>
      <c r="WH4" s="637"/>
      <c r="WI4" s="637"/>
      <c r="WJ4" s="637"/>
      <c r="WK4" s="637"/>
      <c r="WL4" s="637"/>
      <c r="WM4" s="637"/>
      <c r="WN4" s="637"/>
      <c r="WO4" s="637"/>
      <c r="WP4" s="637"/>
      <c r="WQ4" s="637"/>
      <c r="WR4" s="637"/>
      <c r="WS4" s="637"/>
      <c r="WT4" s="637"/>
      <c r="WU4" s="637"/>
      <c r="WV4" s="637"/>
      <c r="WW4" s="637"/>
      <c r="WX4" s="637"/>
      <c r="WY4" s="637"/>
      <c r="WZ4" s="637"/>
      <c r="XA4" s="637"/>
      <c r="XB4" s="637"/>
      <c r="XC4" s="637"/>
      <c r="XD4" s="637"/>
      <c r="XE4" s="637"/>
      <c r="XF4" s="637"/>
      <c r="XG4" s="637"/>
      <c r="XH4" s="637"/>
      <c r="XI4" s="637"/>
      <c r="XJ4" s="637"/>
      <c r="XK4" s="637"/>
      <c r="XL4" s="637"/>
      <c r="XM4" s="637"/>
      <c r="XN4" s="637"/>
      <c r="XO4" s="637"/>
      <c r="XP4" s="637"/>
      <c r="XQ4" s="637"/>
      <c r="XR4" s="637"/>
      <c r="XS4" s="637"/>
      <c r="XT4" s="637"/>
      <c r="XU4" s="637"/>
      <c r="XV4" s="637"/>
      <c r="XW4" s="637"/>
      <c r="XX4" s="637"/>
      <c r="XY4" s="637"/>
      <c r="XZ4" s="637"/>
      <c r="YA4" s="637"/>
      <c r="YB4" s="637"/>
      <c r="YC4" s="637"/>
      <c r="YD4" s="637"/>
      <c r="YE4" s="637"/>
      <c r="YF4" s="637"/>
      <c r="YG4" s="637"/>
      <c r="YH4" s="637"/>
      <c r="YI4" s="637"/>
      <c r="YJ4" s="637"/>
      <c r="YK4" s="637"/>
      <c r="YL4" s="637"/>
      <c r="YM4" s="637"/>
      <c r="YN4" s="637"/>
      <c r="YO4" s="637"/>
      <c r="YP4" s="637"/>
      <c r="YQ4" s="637"/>
      <c r="YR4" s="637"/>
      <c r="YS4" s="637"/>
      <c r="YT4" s="637"/>
      <c r="YU4" s="637"/>
      <c r="YV4" s="637"/>
      <c r="YW4" s="637"/>
      <c r="YX4" s="637"/>
      <c r="YY4" s="637"/>
      <c r="YZ4" s="637"/>
      <c r="ZA4" s="637"/>
      <c r="ZB4" s="637"/>
      <c r="ZC4" s="637"/>
      <c r="ZD4" s="637"/>
      <c r="ZE4" s="637"/>
      <c r="ZF4" s="637"/>
      <c r="ZG4" s="637"/>
      <c r="ZH4" s="637"/>
      <c r="ZI4" s="637"/>
      <c r="ZJ4" s="637"/>
      <c r="ZK4" s="637"/>
      <c r="ZL4" s="637"/>
      <c r="ZM4" s="637"/>
      <c r="ZN4" s="637"/>
      <c r="ZO4" s="637"/>
      <c r="ZP4" s="637"/>
      <c r="ZQ4" s="637"/>
      <c r="ZR4" s="637"/>
      <c r="ZS4" s="637"/>
      <c r="ZT4" s="637"/>
      <c r="ZU4" s="637"/>
      <c r="ZV4" s="637"/>
      <c r="ZW4" s="637"/>
      <c r="ZX4" s="637"/>
      <c r="ZY4" s="637"/>
      <c r="ZZ4" s="637"/>
      <c r="AAA4" s="637"/>
      <c r="AAB4" s="637"/>
      <c r="AAC4" s="637"/>
      <c r="AAD4" s="637"/>
      <c r="AAE4" s="637"/>
      <c r="AAF4" s="637"/>
      <c r="AAG4" s="637"/>
      <c r="AAH4" s="637"/>
      <c r="AAI4" s="637"/>
      <c r="AAJ4" s="637"/>
      <c r="AAK4" s="637"/>
      <c r="AAL4" s="637"/>
      <c r="AAM4" s="637"/>
      <c r="AAN4" s="637"/>
      <c r="AAO4" s="637"/>
      <c r="AAP4" s="637"/>
      <c r="AAQ4" s="637"/>
      <c r="AAR4" s="637"/>
      <c r="AAS4" s="637"/>
      <c r="AAT4" s="637"/>
      <c r="AAU4" s="637"/>
      <c r="AAV4" s="637"/>
      <c r="AAW4" s="637"/>
      <c r="AAX4" s="637"/>
      <c r="AAY4" s="637"/>
      <c r="AAZ4" s="637"/>
      <c r="ABA4" s="637"/>
      <c r="ABB4" s="637"/>
      <c r="ABC4" s="637"/>
      <c r="ABD4" s="637"/>
      <c r="ABE4" s="637"/>
      <c r="ABF4" s="637"/>
      <c r="ABG4" s="637"/>
      <c r="ABH4" s="637"/>
      <c r="ABI4" s="637"/>
      <c r="ABJ4" s="637"/>
      <c r="ABK4" s="637"/>
      <c r="ABL4" s="637"/>
      <c r="ABM4" s="637"/>
      <c r="ABN4" s="637"/>
      <c r="ABO4" s="637"/>
      <c r="ABP4" s="637"/>
      <c r="ABQ4" s="637"/>
      <c r="ABR4" s="637"/>
      <c r="ABS4" s="637"/>
      <c r="ABT4" s="637"/>
      <c r="ABU4" s="637"/>
      <c r="ABV4" s="637"/>
      <c r="ABW4" s="637"/>
      <c r="ABX4" s="637"/>
      <c r="ABY4" s="637"/>
      <c r="ABZ4" s="637"/>
      <c r="ACA4" s="637"/>
      <c r="ACB4" s="637"/>
      <c r="ACC4" s="637"/>
      <c r="ACD4" s="637"/>
      <c r="ACE4" s="637"/>
      <c r="ACF4" s="637"/>
      <c r="ACG4" s="637"/>
      <c r="ACH4" s="637"/>
      <c r="ACI4" s="637"/>
      <c r="ACJ4" s="637"/>
      <c r="ACK4" s="637"/>
      <c r="ACL4" s="637"/>
      <c r="ACM4" s="637"/>
      <c r="ACN4" s="637"/>
      <c r="ACO4" s="637"/>
      <c r="ACP4" s="637"/>
      <c r="ACQ4" s="637"/>
      <c r="ACR4" s="637"/>
      <c r="ACS4" s="637"/>
      <c r="ACT4" s="637"/>
      <c r="ACU4" s="637"/>
      <c r="ACV4" s="637"/>
      <c r="ACW4" s="637"/>
      <c r="ACX4" s="637"/>
      <c r="ACY4" s="637"/>
      <c r="ACZ4" s="637"/>
      <c r="ADA4" s="637"/>
      <c r="ADB4" s="637"/>
      <c r="ADC4" s="637"/>
      <c r="ADD4" s="637"/>
      <c r="ADE4" s="637"/>
      <c r="ADF4" s="637"/>
      <c r="ADG4" s="637"/>
      <c r="ADH4" s="637"/>
      <c r="ADI4" s="637"/>
      <c r="ADJ4" s="637"/>
      <c r="ADK4" s="637"/>
      <c r="ADL4" s="637"/>
      <c r="ADM4" s="637"/>
      <c r="ADN4" s="637"/>
      <c r="ADO4" s="637"/>
      <c r="ADP4" s="637"/>
      <c r="ADQ4" s="637"/>
      <c r="ADR4" s="637"/>
      <c r="ADS4" s="637"/>
      <c r="ADT4" s="637"/>
      <c r="ADU4" s="637"/>
      <c r="ADV4" s="637"/>
      <c r="ADW4" s="637"/>
      <c r="ADX4" s="637"/>
      <c r="ADY4" s="637"/>
      <c r="ADZ4" s="637"/>
      <c r="AEA4" s="637"/>
      <c r="AEB4" s="637"/>
      <c r="AEC4" s="637"/>
      <c r="AED4" s="637"/>
      <c r="AEE4" s="637"/>
      <c r="AEF4" s="637"/>
      <c r="AEG4" s="637"/>
      <c r="AEH4" s="637"/>
      <c r="AEI4" s="637"/>
      <c r="AEJ4" s="637"/>
      <c r="AEK4" s="637"/>
      <c r="AEL4" s="637"/>
      <c r="AEM4" s="637"/>
      <c r="AEN4" s="637"/>
      <c r="AEO4" s="637"/>
      <c r="AEP4" s="637"/>
      <c r="AEQ4" s="637"/>
      <c r="AER4" s="637"/>
      <c r="AES4" s="637"/>
      <c r="AET4" s="637"/>
      <c r="AEU4" s="637"/>
      <c r="AEV4" s="637"/>
      <c r="AEW4" s="637"/>
      <c r="AEX4" s="637"/>
      <c r="AEY4" s="637"/>
      <c r="AEZ4" s="637"/>
      <c r="AFA4" s="637"/>
      <c r="AFB4" s="637"/>
      <c r="AFC4" s="637"/>
      <c r="AFD4" s="637"/>
      <c r="AFE4" s="637"/>
      <c r="AFF4" s="637"/>
      <c r="AFG4" s="637"/>
      <c r="AFH4" s="637"/>
      <c r="AFI4" s="637"/>
      <c r="AFJ4" s="637"/>
      <c r="AFK4" s="637"/>
      <c r="AFL4" s="637"/>
      <c r="AFM4" s="637"/>
      <c r="AFN4" s="637"/>
      <c r="AFO4" s="637"/>
      <c r="AFP4" s="637"/>
      <c r="AFQ4" s="637"/>
      <c r="AFR4" s="637"/>
      <c r="AFS4" s="637"/>
      <c r="AFT4" s="637"/>
      <c r="AFU4" s="637"/>
      <c r="AFV4" s="637"/>
      <c r="AFW4" s="637"/>
      <c r="AFX4" s="637"/>
      <c r="AFY4" s="637"/>
      <c r="AFZ4" s="637"/>
      <c r="AGA4" s="637"/>
      <c r="AGB4" s="637"/>
      <c r="AGC4" s="637"/>
      <c r="AGD4" s="637"/>
      <c r="AGE4" s="637"/>
      <c r="AGF4" s="637"/>
      <c r="AGG4" s="637"/>
      <c r="AGH4" s="637"/>
      <c r="AGI4" s="637"/>
      <c r="AGJ4" s="637"/>
      <c r="AGK4" s="637"/>
      <c r="AGL4" s="637"/>
      <c r="AGM4" s="637"/>
      <c r="AGN4" s="637"/>
      <c r="AGO4" s="637"/>
      <c r="AGP4" s="637"/>
      <c r="AGQ4" s="637"/>
      <c r="AGR4" s="637"/>
      <c r="AGS4" s="637"/>
      <c r="AGT4" s="637"/>
      <c r="AGU4" s="637"/>
      <c r="AGV4" s="637"/>
      <c r="AGW4" s="637"/>
      <c r="AGX4" s="637"/>
      <c r="AGY4" s="637"/>
      <c r="AGZ4" s="637"/>
      <c r="AHA4" s="637"/>
      <c r="AHB4" s="637"/>
      <c r="AHC4" s="637"/>
      <c r="AHD4" s="637"/>
      <c r="AHE4" s="637"/>
      <c r="AHF4" s="637"/>
      <c r="AHG4" s="637"/>
      <c r="AHH4" s="637"/>
      <c r="AHI4" s="637"/>
      <c r="AHJ4" s="637"/>
      <c r="AHK4" s="637"/>
      <c r="AHL4" s="637"/>
      <c r="AHM4" s="637"/>
      <c r="AHN4" s="637"/>
      <c r="AHO4" s="637"/>
      <c r="AHP4" s="637"/>
      <c r="AHQ4" s="637"/>
      <c r="AHR4" s="637"/>
      <c r="AHS4" s="637"/>
      <c r="AHT4" s="637"/>
      <c r="AHU4" s="637"/>
      <c r="AHV4" s="637"/>
      <c r="AHW4" s="637"/>
      <c r="AHX4" s="637"/>
      <c r="AHY4" s="637"/>
      <c r="AHZ4" s="637"/>
      <c r="AIA4" s="637"/>
      <c r="AIB4" s="637"/>
      <c r="AIC4" s="637"/>
      <c r="AID4" s="637"/>
      <c r="AIE4" s="637"/>
      <c r="AIF4" s="637"/>
      <c r="AIG4" s="637"/>
      <c r="AIH4" s="637"/>
      <c r="AII4" s="637"/>
      <c r="AIJ4" s="637"/>
      <c r="AIK4" s="637"/>
      <c r="AIL4" s="637"/>
      <c r="AIM4" s="637"/>
      <c r="AIN4" s="637"/>
      <c r="AIO4" s="637"/>
      <c r="AIP4" s="637"/>
      <c r="AIQ4" s="637"/>
      <c r="AIR4" s="637"/>
      <c r="AIS4" s="637"/>
      <c r="AIT4" s="637"/>
      <c r="AIU4" s="637"/>
      <c r="AIV4" s="637"/>
      <c r="AIW4" s="637"/>
      <c r="AIX4" s="637"/>
      <c r="AIY4" s="637"/>
      <c r="AIZ4" s="637"/>
      <c r="AJA4" s="637"/>
      <c r="AJB4" s="637"/>
      <c r="AJC4" s="637"/>
      <c r="AJD4" s="637"/>
      <c r="AJE4" s="637"/>
      <c r="AJF4" s="637"/>
      <c r="AJG4" s="637"/>
      <c r="AJH4" s="637"/>
      <c r="AJI4" s="637"/>
      <c r="AJJ4" s="637"/>
      <c r="AJK4" s="637"/>
      <c r="AJL4" s="637"/>
      <c r="AJM4" s="637"/>
      <c r="AJN4" s="637"/>
      <c r="AJO4" s="637"/>
      <c r="AJP4" s="637"/>
      <c r="AJQ4" s="637"/>
      <c r="AJR4" s="637"/>
      <c r="AJS4" s="637"/>
      <c r="AJT4" s="637"/>
      <c r="AJU4" s="637"/>
      <c r="AJV4" s="637"/>
      <c r="AJW4" s="637"/>
      <c r="AJX4" s="637"/>
      <c r="AJY4" s="637"/>
      <c r="AJZ4" s="637"/>
      <c r="AKA4" s="637"/>
      <c r="AKB4" s="637"/>
      <c r="AKC4" s="637"/>
      <c r="AKD4" s="637"/>
      <c r="AKE4" s="637"/>
      <c r="AKF4" s="637"/>
      <c r="AKG4" s="637"/>
      <c r="AKH4" s="637"/>
      <c r="AKI4" s="637"/>
      <c r="AKJ4" s="637"/>
      <c r="AKK4" s="637"/>
      <c r="AKL4" s="637"/>
      <c r="AKM4" s="637"/>
      <c r="AKN4" s="637"/>
      <c r="AKO4" s="637"/>
      <c r="AKP4" s="637"/>
      <c r="AKQ4" s="637"/>
      <c r="AKR4" s="637"/>
      <c r="AKS4" s="637"/>
      <c r="AKT4" s="637"/>
      <c r="AKU4" s="637"/>
      <c r="AKV4" s="637"/>
      <c r="AKW4" s="637"/>
      <c r="AKX4" s="637"/>
      <c r="AKY4" s="637"/>
      <c r="AKZ4" s="637"/>
      <c r="ALA4" s="637"/>
      <c r="ALB4" s="637"/>
      <c r="ALC4" s="637"/>
      <c r="ALD4" s="637"/>
      <c r="ALE4" s="637"/>
      <c r="ALF4" s="637"/>
      <c r="ALG4" s="637"/>
      <c r="ALH4" s="637"/>
      <c r="ALI4" s="637"/>
      <c r="ALJ4" s="637"/>
      <c r="ALK4" s="637"/>
      <c r="ALL4" s="637"/>
      <c r="ALM4" s="637"/>
      <c r="ALN4" s="637"/>
      <c r="ALO4" s="637"/>
      <c r="ALP4" s="637"/>
      <c r="ALQ4" s="637"/>
      <c r="ALR4" s="637"/>
      <c r="ALS4" s="637"/>
      <c r="ALT4" s="637"/>
      <c r="ALU4" s="637"/>
      <c r="ALV4" s="637"/>
      <c r="ALW4" s="637"/>
      <c r="ALX4" s="637"/>
      <c r="ALY4" s="637"/>
      <c r="ALZ4" s="637"/>
      <c r="AMA4" s="637"/>
      <c r="AMB4" s="637"/>
      <c r="AMC4" s="637"/>
      <c r="AMD4" s="637"/>
      <c r="AME4" s="637"/>
      <c r="AMF4" s="637"/>
      <c r="AMG4" s="637"/>
      <c r="AMH4" s="637"/>
      <c r="AMI4" s="637"/>
      <c r="AMJ4" s="637"/>
    </row>
    <row r="5" spans="1:1024" s="638" customFormat="1" ht="90.75" customHeight="1">
      <c r="A5" s="1093"/>
      <c r="B5" s="1093"/>
      <c r="C5" s="1093"/>
      <c r="D5" s="1093"/>
      <c r="E5" s="1093"/>
      <c r="F5" s="1093"/>
      <c r="G5" s="1092"/>
      <c r="H5" s="1092"/>
      <c r="I5" s="1092"/>
      <c r="J5" s="1092"/>
      <c r="K5" s="1092"/>
      <c r="L5" s="1092"/>
      <c r="M5" s="1093"/>
      <c r="N5" s="1093"/>
      <c r="O5" s="1092"/>
      <c r="P5" s="1097"/>
      <c r="Q5" s="1097"/>
      <c r="R5" s="1092"/>
      <c r="S5" s="637"/>
      <c r="T5" s="637"/>
      <c r="U5" s="637"/>
      <c r="V5" s="637"/>
      <c r="W5" s="637"/>
      <c r="X5" s="637"/>
      <c r="Y5" s="637"/>
      <c r="Z5" s="637"/>
      <c r="AA5" s="637"/>
      <c r="AB5" s="637"/>
      <c r="AC5" s="637"/>
      <c r="AD5" s="637"/>
      <c r="AE5" s="637"/>
      <c r="AF5" s="637"/>
      <c r="AG5" s="637"/>
      <c r="AH5" s="637"/>
      <c r="AI5" s="637"/>
      <c r="AJ5" s="637"/>
      <c r="AK5" s="637"/>
      <c r="AL5" s="637"/>
      <c r="AM5" s="637"/>
      <c r="AN5" s="637"/>
      <c r="AO5" s="637"/>
      <c r="AP5" s="637"/>
      <c r="AQ5" s="637"/>
      <c r="AR5" s="637"/>
      <c r="AS5" s="637"/>
      <c r="AT5" s="637"/>
      <c r="AU5" s="637"/>
      <c r="AV5" s="637"/>
      <c r="AW5" s="637"/>
      <c r="AX5" s="637"/>
      <c r="AY5" s="637"/>
      <c r="AZ5" s="637"/>
      <c r="BA5" s="637"/>
      <c r="BB5" s="637"/>
      <c r="BC5" s="637"/>
      <c r="BD5" s="637"/>
      <c r="BE5" s="637"/>
      <c r="BF5" s="637"/>
      <c r="BG5" s="637"/>
      <c r="BH5" s="637"/>
      <c r="BI5" s="637"/>
      <c r="BJ5" s="637"/>
      <c r="BK5" s="637"/>
      <c r="BL5" s="637"/>
      <c r="BM5" s="637"/>
      <c r="BN5" s="637"/>
      <c r="BO5" s="637"/>
      <c r="BP5" s="637"/>
      <c r="BQ5" s="637"/>
      <c r="BR5" s="637"/>
      <c r="BS5" s="637"/>
      <c r="BT5" s="637"/>
      <c r="BU5" s="637"/>
      <c r="BV5" s="637"/>
      <c r="BW5" s="637"/>
      <c r="BX5" s="637"/>
      <c r="BY5" s="637"/>
      <c r="BZ5" s="637"/>
      <c r="CA5" s="637"/>
      <c r="CB5" s="637"/>
      <c r="CC5" s="637"/>
      <c r="CD5" s="637"/>
      <c r="CE5" s="637"/>
      <c r="CF5" s="637"/>
      <c r="CG5" s="637"/>
      <c r="CH5" s="637"/>
      <c r="CI5" s="637"/>
      <c r="CJ5" s="637"/>
      <c r="CK5" s="637"/>
      <c r="CL5" s="637"/>
      <c r="CM5" s="637"/>
      <c r="CN5" s="637"/>
      <c r="CO5" s="637"/>
      <c r="CP5" s="637"/>
      <c r="CQ5" s="637"/>
      <c r="CR5" s="637"/>
      <c r="CS5" s="637"/>
      <c r="CT5" s="637"/>
      <c r="CU5" s="637"/>
      <c r="CV5" s="637"/>
      <c r="CW5" s="637"/>
      <c r="CX5" s="637"/>
      <c r="CY5" s="637"/>
      <c r="CZ5" s="637"/>
      <c r="DA5" s="637"/>
      <c r="DB5" s="637"/>
      <c r="DC5" s="637"/>
      <c r="DD5" s="637"/>
      <c r="DE5" s="637"/>
      <c r="DF5" s="637"/>
      <c r="DG5" s="637"/>
      <c r="DH5" s="637"/>
      <c r="DI5" s="637"/>
      <c r="DJ5" s="637"/>
      <c r="DK5" s="637"/>
      <c r="DL5" s="637"/>
      <c r="DM5" s="637"/>
      <c r="DN5" s="637"/>
      <c r="DO5" s="637"/>
      <c r="DP5" s="637"/>
      <c r="DQ5" s="637"/>
      <c r="DR5" s="637"/>
      <c r="DS5" s="637"/>
      <c r="DT5" s="637"/>
      <c r="DU5" s="637"/>
      <c r="DV5" s="637"/>
      <c r="DW5" s="637"/>
      <c r="DX5" s="637"/>
      <c r="DY5" s="637"/>
      <c r="DZ5" s="637"/>
      <c r="EA5" s="637"/>
      <c r="EB5" s="637"/>
      <c r="EC5" s="637"/>
      <c r="ED5" s="637"/>
      <c r="EE5" s="637"/>
      <c r="EF5" s="637"/>
      <c r="EG5" s="637"/>
      <c r="EH5" s="637"/>
      <c r="EI5" s="637"/>
      <c r="EJ5" s="637"/>
      <c r="EK5" s="637"/>
      <c r="EL5" s="637"/>
      <c r="EM5" s="637"/>
      <c r="EN5" s="637"/>
      <c r="EO5" s="637"/>
      <c r="EP5" s="637"/>
      <c r="EQ5" s="637"/>
      <c r="ER5" s="637"/>
      <c r="ES5" s="637"/>
      <c r="ET5" s="637"/>
      <c r="EU5" s="637"/>
      <c r="EV5" s="637"/>
      <c r="EW5" s="637"/>
      <c r="EX5" s="637"/>
      <c r="EY5" s="637"/>
      <c r="EZ5" s="637"/>
      <c r="FA5" s="637"/>
      <c r="FB5" s="637"/>
      <c r="FC5" s="637"/>
      <c r="FD5" s="637"/>
      <c r="FE5" s="637"/>
      <c r="FF5" s="637"/>
      <c r="FG5" s="637"/>
      <c r="FH5" s="637"/>
      <c r="FI5" s="637"/>
      <c r="FJ5" s="637"/>
      <c r="FK5" s="637"/>
      <c r="FL5" s="637"/>
      <c r="FM5" s="637"/>
      <c r="FN5" s="637"/>
      <c r="FO5" s="637"/>
      <c r="FP5" s="637"/>
      <c r="FQ5" s="637"/>
      <c r="FR5" s="637"/>
      <c r="FS5" s="637"/>
      <c r="FT5" s="637"/>
      <c r="FU5" s="637"/>
      <c r="FV5" s="637"/>
      <c r="FW5" s="637"/>
      <c r="FX5" s="637"/>
      <c r="FY5" s="637"/>
      <c r="FZ5" s="637"/>
      <c r="GA5" s="637"/>
      <c r="GB5" s="637"/>
      <c r="GC5" s="637"/>
      <c r="GD5" s="637"/>
      <c r="GE5" s="637"/>
      <c r="GF5" s="637"/>
      <c r="GG5" s="637"/>
      <c r="GH5" s="637"/>
      <c r="GI5" s="637"/>
      <c r="GJ5" s="637"/>
      <c r="GK5" s="637"/>
      <c r="GL5" s="637"/>
      <c r="GM5" s="637"/>
      <c r="GN5" s="637"/>
      <c r="GO5" s="637"/>
      <c r="GP5" s="637"/>
      <c r="GQ5" s="637"/>
      <c r="GR5" s="637"/>
      <c r="GS5" s="637"/>
      <c r="GT5" s="637"/>
      <c r="GU5" s="637"/>
      <c r="GV5" s="637"/>
      <c r="GW5" s="637"/>
      <c r="GX5" s="637"/>
      <c r="GY5" s="637"/>
      <c r="GZ5" s="637"/>
      <c r="HA5" s="637"/>
      <c r="HB5" s="637"/>
      <c r="HC5" s="637"/>
      <c r="HD5" s="637"/>
      <c r="HE5" s="637"/>
      <c r="HF5" s="637"/>
      <c r="HG5" s="637"/>
      <c r="HH5" s="637"/>
      <c r="HI5" s="637"/>
      <c r="HJ5" s="637"/>
      <c r="HK5" s="637"/>
      <c r="HL5" s="637"/>
      <c r="HM5" s="637"/>
      <c r="HN5" s="637"/>
      <c r="HO5" s="637"/>
      <c r="HP5" s="637"/>
      <c r="HQ5" s="637"/>
      <c r="HR5" s="637"/>
      <c r="HS5" s="637"/>
      <c r="HT5" s="637"/>
      <c r="HU5" s="637"/>
      <c r="HV5" s="637"/>
      <c r="HW5" s="637"/>
      <c r="HX5" s="637"/>
      <c r="HY5" s="637"/>
      <c r="HZ5" s="637"/>
      <c r="IA5" s="637"/>
      <c r="IB5" s="637"/>
      <c r="IC5" s="637"/>
      <c r="ID5" s="637"/>
      <c r="IE5" s="637"/>
      <c r="IF5" s="637"/>
      <c r="IG5" s="637"/>
      <c r="IH5" s="637"/>
      <c r="II5" s="637"/>
      <c r="IJ5" s="637"/>
      <c r="IK5" s="637"/>
      <c r="IL5" s="637"/>
      <c r="IM5" s="637"/>
      <c r="IN5" s="637"/>
      <c r="IO5" s="637"/>
      <c r="IP5" s="637"/>
      <c r="IQ5" s="637"/>
      <c r="IR5" s="637"/>
      <c r="IS5" s="637"/>
      <c r="IT5" s="637"/>
      <c r="IU5" s="637"/>
      <c r="IV5" s="637"/>
      <c r="IW5" s="637"/>
      <c r="IX5" s="637"/>
      <c r="IY5" s="637"/>
      <c r="IZ5" s="637"/>
      <c r="JA5" s="637"/>
      <c r="JB5" s="637"/>
      <c r="JC5" s="637"/>
      <c r="JD5" s="637"/>
      <c r="JE5" s="637"/>
      <c r="JF5" s="637"/>
      <c r="JG5" s="637"/>
      <c r="JH5" s="637"/>
      <c r="JI5" s="637"/>
      <c r="JJ5" s="637"/>
      <c r="JK5" s="637"/>
      <c r="JL5" s="637"/>
      <c r="JM5" s="637"/>
      <c r="JN5" s="637"/>
      <c r="JO5" s="637"/>
      <c r="JP5" s="637"/>
      <c r="JQ5" s="637"/>
      <c r="JR5" s="637"/>
      <c r="JS5" s="637"/>
      <c r="JT5" s="637"/>
      <c r="JU5" s="637"/>
      <c r="JV5" s="637"/>
      <c r="JW5" s="637"/>
      <c r="JX5" s="637"/>
      <c r="JY5" s="637"/>
      <c r="JZ5" s="637"/>
      <c r="KA5" s="637"/>
      <c r="KB5" s="637"/>
      <c r="KC5" s="637"/>
      <c r="KD5" s="637"/>
      <c r="KE5" s="637"/>
      <c r="KF5" s="637"/>
      <c r="KG5" s="637"/>
      <c r="KH5" s="637"/>
      <c r="KI5" s="637"/>
      <c r="KJ5" s="637"/>
      <c r="KK5" s="637"/>
      <c r="KL5" s="637"/>
      <c r="KM5" s="637"/>
      <c r="KN5" s="637"/>
      <c r="KO5" s="637"/>
      <c r="KP5" s="637"/>
      <c r="KQ5" s="637"/>
      <c r="KR5" s="637"/>
      <c r="KS5" s="637"/>
      <c r="KT5" s="637"/>
      <c r="KU5" s="637"/>
      <c r="KV5" s="637"/>
      <c r="KW5" s="637"/>
      <c r="KX5" s="637"/>
      <c r="KY5" s="637"/>
      <c r="KZ5" s="637"/>
      <c r="LA5" s="637"/>
      <c r="LB5" s="637"/>
      <c r="LC5" s="637"/>
      <c r="LD5" s="637"/>
      <c r="LE5" s="637"/>
      <c r="LF5" s="637"/>
      <c r="LG5" s="637"/>
      <c r="LH5" s="637"/>
      <c r="LI5" s="637"/>
      <c r="LJ5" s="637"/>
      <c r="LK5" s="637"/>
      <c r="LL5" s="637"/>
      <c r="LM5" s="637"/>
      <c r="LN5" s="637"/>
      <c r="LO5" s="637"/>
      <c r="LP5" s="637"/>
      <c r="LQ5" s="637"/>
      <c r="LR5" s="637"/>
      <c r="LS5" s="637"/>
      <c r="LT5" s="637"/>
      <c r="LU5" s="637"/>
      <c r="LV5" s="637"/>
      <c r="LW5" s="637"/>
      <c r="LX5" s="637"/>
      <c r="LY5" s="637"/>
      <c r="LZ5" s="637"/>
      <c r="MA5" s="637"/>
      <c r="MB5" s="637"/>
      <c r="MC5" s="637"/>
      <c r="MD5" s="637"/>
      <c r="ME5" s="637"/>
      <c r="MF5" s="637"/>
      <c r="MG5" s="637"/>
      <c r="MH5" s="637"/>
      <c r="MI5" s="637"/>
      <c r="MJ5" s="637"/>
      <c r="MK5" s="637"/>
      <c r="ML5" s="637"/>
      <c r="MM5" s="637"/>
      <c r="MN5" s="637"/>
      <c r="MO5" s="637"/>
      <c r="MP5" s="637"/>
      <c r="MQ5" s="637"/>
      <c r="MR5" s="637"/>
      <c r="MS5" s="637"/>
      <c r="MT5" s="637"/>
      <c r="MU5" s="637"/>
      <c r="MV5" s="637"/>
      <c r="MW5" s="637"/>
      <c r="MX5" s="637"/>
      <c r="MY5" s="637"/>
      <c r="MZ5" s="637"/>
      <c r="NA5" s="637"/>
      <c r="NB5" s="637"/>
      <c r="NC5" s="637"/>
      <c r="ND5" s="637"/>
      <c r="NE5" s="637"/>
      <c r="NF5" s="637"/>
      <c r="NG5" s="637"/>
      <c r="NH5" s="637"/>
      <c r="NI5" s="637"/>
      <c r="NJ5" s="637"/>
      <c r="NK5" s="637"/>
      <c r="NL5" s="637"/>
      <c r="NM5" s="637"/>
      <c r="NN5" s="637"/>
      <c r="NO5" s="637"/>
      <c r="NP5" s="637"/>
      <c r="NQ5" s="637"/>
      <c r="NR5" s="637"/>
      <c r="NS5" s="637"/>
      <c r="NT5" s="637"/>
      <c r="NU5" s="637"/>
      <c r="NV5" s="637"/>
      <c r="NW5" s="637"/>
      <c r="NX5" s="637"/>
      <c r="NY5" s="637"/>
      <c r="NZ5" s="637"/>
      <c r="OA5" s="637"/>
      <c r="OB5" s="637"/>
      <c r="OC5" s="637"/>
      <c r="OD5" s="637"/>
      <c r="OE5" s="637"/>
      <c r="OF5" s="637"/>
      <c r="OG5" s="637"/>
      <c r="OH5" s="637"/>
      <c r="OI5" s="637"/>
      <c r="OJ5" s="637"/>
      <c r="OK5" s="637"/>
      <c r="OL5" s="637"/>
      <c r="OM5" s="637"/>
      <c r="ON5" s="637"/>
      <c r="OO5" s="637"/>
      <c r="OP5" s="637"/>
      <c r="OQ5" s="637"/>
      <c r="OR5" s="637"/>
      <c r="OS5" s="637"/>
      <c r="OT5" s="637"/>
      <c r="OU5" s="637"/>
      <c r="OV5" s="637"/>
      <c r="OW5" s="637"/>
      <c r="OX5" s="637"/>
      <c r="OY5" s="637"/>
      <c r="OZ5" s="637"/>
      <c r="PA5" s="637"/>
      <c r="PB5" s="637"/>
      <c r="PC5" s="637"/>
      <c r="PD5" s="637"/>
      <c r="PE5" s="637"/>
      <c r="PF5" s="637"/>
      <c r="PG5" s="637"/>
      <c r="PH5" s="637"/>
      <c r="PI5" s="637"/>
      <c r="PJ5" s="637"/>
      <c r="PK5" s="637"/>
      <c r="PL5" s="637"/>
      <c r="PM5" s="637"/>
      <c r="PN5" s="637"/>
      <c r="PO5" s="637"/>
      <c r="PP5" s="637"/>
      <c r="PQ5" s="637"/>
      <c r="PR5" s="637"/>
      <c r="PS5" s="637"/>
      <c r="PT5" s="637"/>
      <c r="PU5" s="637"/>
      <c r="PV5" s="637"/>
      <c r="PW5" s="637"/>
      <c r="PX5" s="637"/>
      <c r="PY5" s="637"/>
      <c r="PZ5" s="637"/>
      <c r="QA5" s="637"/>
      <c r="QB5" s="637"/>
      <c r="QC5" s="637"/>
      <c r="QD5" s="637"/>
      <c r="QE5" s="637"/>
      <c r="QF5" s="637"/>
      <c r="QG5" s="637"/>
      <c r="QH5" s="637"/>
      <c r="QI5" s="637"/>
      <c r="QJ5" s="637"/>
      <c r="QK5" s="637"/>
      <c r="QL5" s="637"/>
      <c r="QM5" s="637"/>
      <c r="QN5" s="637"/>
      <c r="QO5" s="637"/>
      <c r="QP5" s="637"/>
      <c r="QQ5" s="637"/>
      <c r="QR5" s="637"/>
      <c r="QS5" s="637"/>
      <c r="QT5" s="637"/>
      <c r="QU5" s="637"/>
      <c r="QV5" s="637"/>
      <c r="QW5" s="637"/>
      <c r="QX5" s="637"/>
      <c r="QY5" s="637"/>
      <c r="QZ5" s="637"/>
      <c r="RA5" s="637"/>
      <c r="RB5" s="637"/>
      <c r="RC5" s="637"/>
      <c r="RD5" s="637"/>
      <c r="RE5" s="637"/>
      <c r="RF5" s="637"/>
      <c r="RG5" s="637"/>
      <c r="RH5" s="637"/>
      <c r="RI5" s="637"/>
      <c r="RJ5" s="637"/>
      <c r="RK5" s="637"/>
      <c r="RL5" s="637"/>
      <c r="RM5" s="637"/>
      <c r="RN5" s="637"/>
      <c r="RO5" s="637"/>
      <c r="RP5" s="637"/>
      <c r="RQ5" s="637"/>
      <c r="RR5" s="637"/>
      <c r="RS5" s="637"/>
      <c r="RT5" s="637"/>
      <c r="RU5" s="637"/>
      <c r="RV5" s="637"/>
      <c r="RW5" s="637"/>
      <c r="RX5" s="637"/>
      <c r="RY5" s="637"/>
      <c r="RZ5" s="637"/>
      <c r="SA5" s="637"/>
      <c r="SB5" s="637"/>
      <c r="SC5" s="637"/>
      <c r="SD5" s="637"/>
      <c r="SE5" s="637"/>
      <c r="SF5" s="637"/>
      <c r="SG5" s="637"/>
      <c r="SH5" s="637"/>
      <c r="SI5" s="637"/>
      <c r="SJ5" s="637"/>
      <c r="SK5" s="637"/>
      <c r="SL5" s="637"/>
      <c r="SM5" s="637"/>
      <c r="SN5" s="637"/>
      <c r="SO5" s="637"/>
      <c r="SP5" s="637"/>
      <c r="SQ5" s="637"/>
      <c r="SR5" s="637"/>
      <c r="SS5" s="637"/>
      <c r="ST5" s="637"/>
      <c r="SU5" s="637"/>
      <c r="SV5" s="637"/>
      <c r="SW5" s="637"/>
      <c r="SX5" s="637"/>
      <c r="SY5" s="637"/>
      <c r="SZ5" s="637"/>
      <c r="TA5" s="637"/>
      <c r="TB5" s="637"/>
      <c r="TC5" s="637"/>
      <c r="TD5" s="637"/>
      <c r="TE5" s="637"/>
      <c r="TF5" s="637"/>
      <c r="TG5" s="637"/>
      <c r="TH5" s="637"/>
      <c r="TI5" s="637"/>
      <c r="TJ5" s="637"/>
      <c r="TK5" s="637"/>
      <c r="TL5" s="637"/>
      <c r="TM5" s="637"/>
      <c r="TN5" s="637"/>
      <c r="TO5" s="637"/>
      <c r="TP5" s="637"/>
      <c r="TQ5" s="637"/>
      <c r="TR5" s="637"/>
      <c r="TS5" s="637"/>
      <c r="TT5" s="637"/>
      <c r="TU5" s="637"/>
      <c r="TV5" s="637"/>
      <c r="TW5" s="637"/>
      <c r="TX5" s="637"/>
      <c r="TY5" s="637"/>
      <c r="TZ5" s="637"/>
      <c r="UA5" s="637"/>
      <c r="UB5" s="637"/>
      <c r="UC5" s="637"/>
      <c r="UD5" s="637"/>
      <c r="UE5" s="637"/>
      <c r="UF5" s="637"/>
      <c r="UG5" s="637"/>
      <c r="UH5" s="637"/>
      <c r="UI5" s="637"/>
      <c r="UJ5" s="637"/>
      <c r="UK5" s="637"/>
      <c r="UL5" s="637"/>
      <c r="UM5" s="637"/>
      <c r="UN5" s="637"/>
      <c r="UO5" s="637"/>
      <c r="UP5" s="637"/>
      <c r="UQ5" s="637"/>
      <c r="UR5" s="637"/>
      <c r="US5" s="637"/>
      <c r="UT5" s="637"/>
      <c r="UU5" s="637"/>
      <c r="UV5" s="637"/>
      <c r="UW5" s="637"/>
      <c r="UX5" s="637"/>
      <c r="UY5" s="637"/>
      <c r="UZ5" s="637"/>
      <c r="VA5" s="637"/>
      <c r="VB5" s="637"/>
      <c r="VC5" s="637"/>
      <c r="VD5" s="637"/>
      <c r="VE5" s="637"/>
      <c r="VF5" s="637"/>
      <c r="VG5" s="637"/>
      <c r="VH5" s="637"/>
      <c r="VI5" s="637"/>
      <c r="VJ5" s="637"/>
      <c r="VK5" s="637"/>
      <c r="VL5" s="637"/>
      <c r="VM5" s="637"/>
      <c r="VN5" s="637"/>
      <c r="VO5" s="637"/>
      <c r="VP5" s="637"/>
      <c r="VQ5" s="637"/>
      <c r="VR5" s="637"/>
      <c r="VS5" s="637"/>
      <c r="VT5" s="637"/>
      <c r="VU5" s="637"/>
      <c r="VV5" s="637"/>
      <c r="VW5" s="637"/>
      <c r="VX5" s="637"/>
      <c r="VY5" s="637"/>
      <c r="VZ5" s="637"/>
      <c r="WA5" s="637"/>
      <c r="WB5" s="637"/>
      <c r="WC5" s="637"/>
      <c r="WD5" s="637"/>
      <c r="WE5" s="637"/>
      <c r="WF5" s="637"/>
      <c r="WG5" s="637"/>
      <c r="WH5" s="637"/>
      <c r="WI5" s="637"/>
      <c r="WJ5" s="637"/>
      <c r="WK5" s="637"/>
      <c r="WL5" s="637"/>
      <c r="WM5" s="637"/>
      <c r="WN5" s="637"/>
      <c r="WO5" s="637"/>
      <c r="WP5" s="637"/>
      <c r="WQ5" s="637"/>
      <c r="WR5" s="637"/>
      <c r="WS5" s="637"/>
      <c r="WT5" s="637"/>
      <c r="WU5" s="637"/>
      <c r="WV5" s="637"/>
      <c r="WW5" s="637"/>
      <c r="WX5" s="637"/>
      <c r="WY5" s="637"/>
      <c r="WZ5" s="637"/>
      <c r="XA5" s="637"/>
      <c r="XB5" s="637"/>
      <c r="XC5" s="637"/>
      <c r="XD5" s="637"/>
      <c r="XE5" s="637"/>
      <c r="XF5" s="637"/>
      <c r="XG5" s="637"/>
      <c r="XH5" s="637"/>
      <c r="XI5" s="637"/>
      <c r="XJ5" s="637"/>
      <c r="XK5" s="637"/>
      <c r="XL5" s="637"/>
      <c r="XM5" s="637"/>
      <c r="XN5" s="637"/>
      <c r="XO5" s="637"/>
      <c r="XP5" s="637"/>
      <c r="XQ5" s="637"/>
      <c r="XR5" s="637"/>
      <c r="XS5" s="637"/>
      <c r="XT5" s="637"/>
      <c r="XU5" s="637"/>
      <c r="XV5" s="637"/>
      <c r="XW5" s="637"/>
      <c r="XX5" s="637"/>
      <c r="XY5" s="637"/>
      <c r="XZ5" s="637"/>
      <c r="YA5" s="637"/>
      <c r="YB5" s="637"/>
      <c r="YC5" s="637"/>
      <c r="YD5" s="637"/>
      <c r="YE5" s="637"/>
      <c r="YF5" s="637"/>
      <c r="YG5" s="637"/>
      <c r="YH5" s="637"/>
      <c r="YI5" s="637"/>
      <c r="YJ5" s="637"/>
      <c r="YK5" s="637"/>
      <c r="YL5" s="637"/>
      <c r="YM5" s="637"/>
      <c r="YN5" s="637"/>
      <c r="YO5" s="637"/>
      <c r="YP5" s="637"/>
      <c r="YQ5" s="637"/>
      <c r="YR5" s="637"/>
      <c r="YS5" s="637"/>
      <c r="YT5" s="637"/>
      <c r="YU5" s="637"/>
      <c r="YV5" s="637"/>
      <c r="YW5" s="637"/>
      <c r="YX5" s="637"/>
      <c r="YY5" s="637"/>
      <c r="YZ5" s="637"/>
      <c r="ZA5" s="637"/>
      <c r="ZB5" s="637"/>
      <c r="ZC5" s="637"/>
      <c r="ZD5" s="637"/>
      <c r="ZE5" s="637"/>
      <c r="ZF5" s="637"/>
      <c r="ZG5" s="637"/>
      <c r="ZH5" s="637"/>
      <c r="ZI5" s="637"/>
      <c r="ZJ5" s="637"/>
      <c r="ZK5" s="637"/>
      <c r="ZL5" s="637"/>
      <c r="ZM5" s="637"/>
      <c r="ZN5" s="637"/>
      <c r="ZO5" s="637"/>
      <c r="ZP5" s="637"/>
      <c r="ZQ5" s="637"/>
      <c r="ZR5" s="637"/>
      <c r="ZS5" s="637"/>
      <c r="ZT5" s="637"/>
      <c r="ZU5" s="637"/>
      <c r="ZV5" s="637"/>
      <c r="ZW5" s="637"/>
      <c r="ZX5" s="637"/>
      <c r="ZY5" s="637"/>
      <c r="ZZ5" s="637"/>
      <c r="AAA5" s="637"/>
      <c r="AAB5" s="637"/>
      <c r="AAC5" s="637"/>
      <c r="AAD5" s="637"/>
      <c r="AAE5" s="637"/>
      <c r="AAF5" s="637"/>
      <c r="AAG5" s="637"/>
      <c r="AAH5" s="637"/>
      <c r="AAI5" s="637"/>
      <c r="AAJ5" s="637"/>
      <c r="AAK5" s="637"/>
      <c r="AAL5" s="637"/>
      <c r="AAM5" s="637"/>
      <c r="AAN5" s="637"/>
      <c r="AAO5" s="637"/>
      <c r="AAP5" s="637"/>
      <c r="AAQ5" s="637"/>
      <c r="AAR5" s="637"/>
      <c r="AAS5" s="637"/>
      <c r="AAT5" s="637"/>
      <c r="AAU5" s="637"/>
      <c r="AAV5" s="637"/>
      <c r="AAW5" s="637"/>
      <c r="AAX5" s="637"/>
      <c r="AAY5" s="637"/>
      <c r="AAZ5" s="637"/>
      <c r="ABA5" s="637"/>
      <c r="ABB5" s="637"/>
      <c r="ABC5" s="637"/>
      <c r="ABD5" s="637"/>
      <c r="ABE5" s="637"/>
      <c r="ABF5" s="637"/>
      <c r="ABG5" s="637"/>
      <c r="ABH5" s="637"/>
      <c r="ABI5" s="637"/>
      <c r="ABJ5" s="637"/>
      <c r="ABK5" s="637"/>
      <c r="ABL5" s="637"/>
      <c r="ABM5" s="637"/>
      <c r="ABN5" s="637"/>
      <c r="ABO5" s="637"/>
      <c r="ABP5" s="637"/>
      <c r="ABQ5" s="637"/>
      <c r="ABR5" s="637"/>
      <c r="ABS5" s="637"/>
      <c r="ABT5" s="637"/>
      <c r="ABU5" s="637"/>
      <c r="ABV5" s="637"/>
      <c r="ABW5" s="637"/>
      <c r="ABX5" s="637"/>
      <c r="ABY5" s="637"/>
      <c r="ABZ5" s="637"/>
      <c r="ACA5" s="637"/>
      <c r="ACB5" s="637"/>
      <c r="ACC5" s="637"/>
      <c r="ACD5" s="637"/>
      <c r="ACE5" s="637"/>
      <c r="ACF5" s="637"/>
      <c r="ACG5" s="637"/>
      <c r="ACH5" s="637"/>
      <c r="ACI5" s="637"/>
      <c r="ACJ5" s="637"/>
      <c r="ACK5" s="637"/>
      <c r="ACL5" s="637"/>
      <c r="ACM5" s="637"/>
      <c r="ACN5" s="637"/>
      <c r="ACO5" s="637"/>
      <c r="ACP5" s="637"/>
      <c r="ACQ5" s="637"/>
      <c r="ACR5" s="637"/>
      <c r="ACS5" s="637"/>
      <c r="ACT5" s="637"/>
      <c r="ACU5" s="637"/>
      <c r="ACV5" s="637"/>
      <c r="ACW5" s="637"/>
      <c r="ACX5" s="637"/>
      <c r="ACY5" s="637"/>
      <c r="ACZ5" s="637"/>
      <c r="ADA5" s="637"/>
      <c r="ADB5" s="637"/>
      <c r="ADC5" s="637"/>
      <c r="ADD5" s="637"/>
      <c r="ADE5" s="637"/>
      <c r="ADF5" s="637"/>
      <c r="ADG5" s="637"/>
      <c r="ADH5" s="637"/>
      <c r="ADI5" s="637"/>
      <c r="ADJ5" s="637"/>
      <c r="ADK5" s="637"/>
      <c r="ADL5" s="637"/>
      <c r="ADM5" s="637"/>
      <c r="ADN5" s="637"/>
      <c r="ADO5" s="637"/>
      <c r="ADP5" s="637"/>
      <c r="ADQ5" s="637"/>
      <c r="ADR5" s="637"/>
      <c r="ADS5" s="637"/>
      <c r="ADT5" s="637"/>
      <c r="ADU5" s="637"/>
      <c r="ADV5" s="637"/>
      <c r="ADW5" s="637"/>
      <c r="ADX5" s="637"/>
      <c r="ADY5" s="637"/>
      <c r="ADZ5" s="637"/>
      <c r="AEA5" s="637"/>
      <c r="AEB5" s="637"/>
      <c r="AEC5" s="637"/>
      <c r="AED5" s="637"/>
      <c r="AEE5" s="637"/>
      <c r="AEF5" s="637"/>
      <c r="AEG5" s="637"/>
      <c r="AEH5" s="637"/>
      <c r="AEI5" s="637"/>
      <c r="AEJ5" s="637"/>
      <c r="AEK5" s="637"/>
      <c r="AEL5" s="637"/>
      <c r="AEM5" s="637"/>
      <c r="AEN5" s="637"/>
      <c r="AEO5" s="637"/>
      <c r="AEP5" s="637"/>
      <c r="AEQ5" s="637"/>
      <c r="AER5" s="637"/>
      <c r="AES5" s="637"/>
      <c r="AET5" s="637"/>
      <c r="AEU5" s="637"/>
      <c r="AEV5" s="637"/>
      <c r="AEW5" s="637"/>
      <c r="AEX5" s="637"/>
      <c r="AEY5" s="637"/>
      <c r="AEZ5" s="637"/>
      <c r="AFA5" s="637"/>
      <c r="AFB5" s="637"/>
      <c r="AFC5" s="637"/>
      <c r="AFD5" s="637"/>
      <c r="AFE5" s="637"/>
      <c r="AFF5" s="637"/>
      <c r="AFG5" s="637"/>
      <c r="AFH5" s="637"/>
      <c r="AFI5" s="637"/>
      <c r="AFJ5" s="637"/>
      <c r="AFK5" s="637"/>
      <c r="AFL5" s="637"/>
      <c r="AFM5" s="637"/>
      <c r="AFN5" s="637"/>
      <c r="AFO5" s="637"/>
      <c r="AFP5" s="637"/>
      <c r="AFQ5" s="637"/>
      <c r="AFR5" s="637"/>
      <c r="AFS5" s="637"/>
      <c r="AFT5" s="637"/>
      <c r="AFU5" s="637"/>
      <c r="AFV5" s="637"/>
      <c r="AFW5" s="637"/>
      <c r="AFX5" s="637"/>
      <c r="AFY5" s="637"/>
      <c r="AFZ5" s="637"/>
      <c r="AGA5" s="637"/>
      <c r="AGB5" s="637"/>
      <c r="AGC5" s="637"/>
      <c r="AGD5" s="637"/>
      <c r="AGE5" s="637"/>
      <c r="AGF5" s="637"/>
      <c r="AGG5" s="637"/>
      <c r="AGH5" s="637"/>
      <c r="AGI5" s="637"/>
      <c r="AGJ5" s="637"/>
      <c r="AGK5" s="637"/>
      <c r="AGL5" s="637"/>
      <c r="AGM5" s="637"/>
      <c r="AGN5" s="637"/>
      <c r="AGO5" s="637"/>
      <c r="AGP5" s="637"/>
      <c r="AGQ5" s="637"/>
      <c r="AGR5" s="637"/>
      <c r="AGS5" s="637"/>
      <c r="AGT5" s="637"/>
      <c r="AGU5" s="637"/>
      <c r="AGV5" s="637"/>
      <c r="AGW5" s="637"/>
      <c r="AGX5" s="637"/>
      <c r="AGY5" s="637"/>
      <c r="AGZ5" s="637"/>
      <c r="AHA5" s="637"/>
      <c r="AHB5" s="637"/>
      <c r="AHC5" s="637"/>
      <c r="AHD5" s="637"/>
      <c r="AHE5" s="637"/>
      <c r="AHF5" s="637"/>
      <c r="AHG5" s="637"/>
      <c r="AHH5" s="637"/>
      <c r="AHI5" s="637"/>
      <c r="AHJ5" s="637"/>
      <c r="AHK5" s="637"/>
      <c r="AHL5" s="637"/>
      <c r="AHM5" s="637"/>
      <c r="AHN5" s="637"/>
      <c r="AHO5" s="637"/>
      <c r="AHP5" s="637"/>
      <c r="AHQ5" s="637"/>
      <c r="AHR5" s="637"/>
      <c r="AHS5" s="637"/>
      <c r="AHT5" s="637"/>
      <c r="AHU5" s="637"/>
      <c r="AHV5" s="637"/>
      <c r="AHW5" s="637"/>
      <c r="AHX5" s="637"/>
      <c r="AHY5" s="637"/>
      <c r="AHZ5" s="637"/>
      <c r="AIA5" s="637"/>
      <c r="AIB5" s="637"/>
      <c r="AIC5" s="637"/>
      <c r="AID5" s="637"/>
      <c r="AIE5" s="637"/>
      <c r="AIF5" s="637"/>
      <c r="AIG5" s="637"/>
      <c r="AIH5" s="637"/>
      <c r="AII5" s="637"/>
      <c r="AIJ5" s="637"/>
      <c r="AIK5" s="637"/>
      <c r="AIL5" s="637"/>
      <c r="AIM5" s="637"/>
      <c r="AIN5" s="637"/>
      <c r="AIO5" s="637"/>
      <c r="AIP5" s="637"/>
      <c r="AIQ5" s="637"/>
      <c r="AIR5" s="637"/>
      <c r="AIS5" s="637"/>
      <c r="AIT5" s="637"/>
      <c r="AIU5" s="637"/>
      <c r="AIV5" s="637"/>
      <c r="AIW5" s="637"/>
      <c r="AIX5" s="637"/>
      <c r="AIY5" s="637"/>
      <c r="AIZ5" s="637"/>
      <c r="AJA5" s="637"/>
      <c r="AJB5" s="637"/>
      <c r="AJC5" s="637"/>
      <c r="AJD5" s="637"/>
      <c r="AJE5" s="637"/>
      <c r="AJF5" s="637"/>
      <c r="AJG5" s="637"/>
      <c r="AJH5" s="637"/>
      <c r="AJI5" s="637"/>
      <c r="AJJ5" s="637"/>
      <c r="AJK5" s="637"/>
      <c r="AJL5" s="637"/>
      <c r="AJM5" s="637"/>
      <c r="AJN5" s="637"/>
      <c r="AJO5" s="637"/>
      <c r="AJP5" s="637"/>
      <c r="AJQ5" s="637"/>
      <c r="AJR5" s="637"/>
      <c r="AJS5" s="637"/>
      <c r="AJT5" s="637"/>
      <c r="AJU5" s="637"/>
      <c r="AJV5" s="637"/>
      <c r="AJW5" s="637"/>
      <c r="AJX5" s="637"/>
      <c r="AJY5" s="637"/>
      <c r="AJZ5" s="637"/>
      <c r="AKA5" s="637"/>
      <c r="AKB5" s="637"/>
      <c r="AKC5" s="637"/>
      <c r="AKD5" s="637"/>
      <c r="AKE5" s="637"/>
      <c r="AKF5" s="637"/>
      <c r="AKG5" s="637"/>
      <c r="AKH5" s="637"/>
      <c r="AKI5" s="637"/>
      <c r="AKJ5" s="637"/>
      <c r="AKK5" s="637"/>
      <c r="AKL5" s="637"/>
      <c r="AKM5" s="637"/>
      <c r="AKN5" s="637"/>
      <c r="AKO5" s="637"/>
      <c r="AKP5" s="637"/>
      <c r="AKQ5" s="637"/>
      <c r="AKR5" s="637"/>
      <c r="AKS5" s="637"/>
      <c r="AKT5" s="637"/>
      <c r="AKU5" s="637"/>
      <c r="AKV5" s="637"/>
      <c r="AKW5" s="637"/>
      <c r="AKX5" s="637"/>
      <c r="AKY5" s="637"/>
      <c r="AKZ5" s="637"/>
      <c r="ALA5" s="637"/>
      <c r="ALB5" s="637"/>
      <c r="ALC5" s="637"/>
      <c r="ALD5" s="637"/>
      <c r="ALE5" s="637"/>
      <c r="ALF5" s="637"/>
      <c r="ALG5" s="637"/>
      <c r="ALH5" s="637"/>
      <c r="ALI5" s="637"/>
      <c r="ALJ5" s="637"/>
      <c r="ALK5" s="637"/>
      <c r="ALL5" s="637"/>
      <c r="ALM5" s="637"/>
      <c r="ALN5" s="637"/>
      <c r="ALO5" s="637"/>
      <c r="ALP5" s="637"/>
      <c r="ALQ5" s="637"/>
      <c r="ALR5" s="637"/>
      <c r="ALS5" s="637"/>
      <c r="ALT5" s="637"/>
      <c r="ALU5" s="637"/>
      <c r="ALV5" s="637"/>
      <c r="ALW5" s="637"/>
      <c r="ALX5" s="637"/>
      <c r="ALY5" s="637"/>
      <c r="ALZ5" s="637"/>
      <c r="AMA5" s="637"/>
      <c r="AMB5" s="637"/>
      <c r="AMC5" s="637"/>
      <c r="AMD5" s="637"/>
      <c r="AME5" s="637"/>
      <c r="AMF5" s="637"/>
      <c r="AMG5" s="637"/>
      <c r="AMH5" s="637"/>
      <c r="AMI5" s="637"/>
      <c r="AMJ5" s="637"/>
    </row>
    <row r="6" spans="1:1024" s="638" customFormat="1" ht="12.75">
      <c r="A6" s="1094" t="s">
        <v>130</v>
      </c>
      <c r="B6" s="1094"/>
      <c r="C6" s="1094"/>
      <c r="D6" s="981"/>
      <c r="E6" s="982"/>
      <c r="F6" s="982"/>
      <c r="G6" s="983"/>
      <c r="H6" s="983"/>
      <c r="I6" s="983"/>
      <c r="J6" s="983"/>
      <c r="K6" s="983"/>
      <c r="L6" s="983"/>
      <c r="M6" s="983"/>
      <c r="N6" s="983"/>
      <c r="O6" s="983"/>
      <c r="P6" s="983"/>
      <c r="Q6" s="983"/>
      <c r="R6" s="984"/>
      <c r="S6" s="637"/>
      <c r="T6" s="637"/>
      <c r="U6" s="637"/>
      <c r="V6" s="637"/>
      <c r="W6" s="637"/>
      <c r="X6" s="637"/>
      <c r="Y6" s="637"/>
      <c r="Z6" s="637"/>
      <c r="AA6" s="637"/>
      <c r="AB6" s="637"/>
      <c r="AC6" s="637"/>
      <c r="AD6" s="637"/>
      <c r="AE6" s="637"/>
      <c r="AF6" s="637"/>
      <c r="AG6" s="637"/>
      <c r="AH6" s="637"/>
      <c r="AI6" s="637"/>
      <c r="AJ6" s="637"/>
      <c r="AK6" s="637"/>
      <c r="AL6" s="637"/>
      <c r="AM6" s="637"/>
      <c r="AN6" s="637"/>
      <c r="AO6" s="637"/>
      <c r="AP6" s="637"/>
      <c r="AQ6" s="637"/>
      <c r="AR6" s="637"/>
      <c r="AS6" s="637"/>
      <c r="AT6" s="637"/>
      <c r="AU6" s="637"/>
      <c r="AV6" s="637"/>
      <c r="AW6" s="637"/>
      <c r="AX6" s="637"/>
      <c r="AY6" s="637"/>
      <c r="AZ6" s="637"/>
      <c r="BA6" s="637"/>
      <c r="BB6" s="637"/>
      <c r="BC6" s="637"/>
      <c r="BD6" s="637"/>
      <c r="BE6" s="637"/>
      <c r="BF6" s="637"/>
      <c r="BG6" s="637"/>
      <c r="BH6" s="637"/>
      <c r="BI6" s="637"/>
      <c r="BJ6" s="637"/>
      <c r="BK6" s="637"/>
      <c r="BL6" s="637"/>
      <c r="BM6" s="637"/>
      <c r="BN6" s="637"/>
      <c r="BO6" s="637"/>
      <c r="BP6" s="637"/>
      <c r="BQ6" s="637"/>
      <c r="BR6" s="637"/>
      <c r="BS6" s="637"/>
      <c r="BT6" s="637"/>
      <c r="BU6" s="637"/>
      <c r="BV6" s="637"/>
      <c r="BW6" s="637"/>
      <c r="BX6" s="637"/>
      <c r="BY6" s="637"/>
      <c r="BZ6" s="637"/>
      <c r="CA6" s="637"/>
      <c r="CB6" s="637"/>
      <c r="CC6" s="637"/>
      <c r="CD6" s="637"/>
      <c r="CE6" s="637"/>
      <c r="CF6" s="637"/>
      <c r="CG6" s="637"/>
      <c r="CH6" s="637"/>
      <c r="CI6" s="637"/>
      <c r="CJ6" s="637"/>
      <c r="CK6" s="637"/>
      <c r="CL6" s="637"/>
      <c r="CM6" s="637"/>
      <c r="CN6" s="637"/>
      <c r="CO6" s="637"/>
      <c r="CP6" s="637"/>
      <c r="CQ6" s="637"/>
      <c r="CR6" s="637"/>
      <c r="CS6" s="637"/>
      <c r="CT6" s="637"/>
      <c r="CU6" s="637"/>
      <c r="CV6" s="637"/>
      <c r="CW6" s="637"/>
      <c r="CX6" s="637"/>
      <c r="CY6" s="637"/>
      <c r="CZ6" s="637"/>
      <c r="DA6" s="637"/>
      <c r="DB6" s="637"/>
      <c r="DC6" s="637"/>
      <c r="DD6" s="637"/>
      <c r="DE6" s="637"/>
      <c r="DF6" s="637"/>
      <c r="DG6" s="637"/>
      <c r="DH6" s="637"/>
      <c r="DI6" s="637"/>
      <c r="DJ6" s="637"/>
      <c r="DK6" s="637"/>
      <c r="DL6" s="637"/>
      <c r="DM6" s="637"/>
      <c r="DN6" s="637"/>
      <c r="DO6" s="637"/>
      <c r="DP6" s="637"/>
      <c r="DQ6" s="637"/>
      <c r="DR6" s="637"/>
      <c r="DS6" s="637"/>
      <c r="DT6" s="637"/>
      <c r="DU6" s="637"/>
      <c r="DV6" s="637"/>
      <c r="DW6" s="637"/>
      <c r="DX6" s="637"/>
      <c r="DY6" s="637"/>
      <c r="DZ6" s="637"/>
      <c r="EA6" s="637"/>
      <c r="EB6" s="637"/>
      <c r="EC6" s="637"/>
      <c r="ED6" s="637"/>
      <c r="EE6" s="637"/>
      <c r="EF6" s="637"/>
      <c r="EG6" s="637"/>
      <c r="EH6" s="637"/>
      <c r="EI6" s="637"/>
      <c r="EJ6" s="637"/>
      <c r="EK6" s="637"/>
      <c r="EL6" s="637"/>
      <c r="EM6" s="637"/>
      <c r="EN6" s="637"/>
      <c r="EO6" s="637"/>
      <c r="EP6" s="637"/>
      <c r="EQ6" s="637"/>
      <c r="ER6" s="637"/>
      <c r="ES6" s="637"/>
      <c r="ET6" s="637"/>
      <c r="EU6" s="637"/>
      <c r="EV6" s="637"/>
      <c r="EW6" s="637"/>
      <c r="EX6" s="637"/>
      <c r="EY6" s="637"/>
      <c r="EZ6" s="637"/>
      <c r="FA6" s="637"/>
      <c r="FB6" s="637"/>
      <c r="FC6" s="637"/>
      <c r="FD6" s="637"/>
      <c r="FE6" s="637"/>
      <c r="FF6" s="637"/>
      <c r="FG6" s="637"/>
      <c r="FH6" s="637"/>
      <c r="FI6" s="637"/>
      <c r="FJ6" s="637"/>
      <c r="FK6" s="637"/>
      <c r="FL6" s="637"/>
      <c r="FM6" s="637"/>
      <c r="FN6" s="637"/>
      <c r="FO6" s="637"/>
      <c r="FP6" s="637"/>
      <c r="FQ6" s="637"/>
      <c r="FR6" s="637"/>
      <c r="FS6" s="637"/>
      <c r="FT6" s="637"/>
      <c r="FU6" s="637"/>
      <c r="FV6" s="637"/>
      <c r="FW6" s="637"/>
      <c r="FX6" s="637"/>
      <c r="FY6" s="637"/>
      <c r="FZ6" s="637"/>
      <c r="GA6" s="637"/>
      <c r="GB6" s="637"/>
      <c r="GC6" s="637"/>
      <c r="GD6" s="637"/>
      <c r="GE6" s="637"/>
      <c r="GF6" s="637"/>
      <c r="GG6" s="637"/>
      <c r="GH6" s="637"/>
      <c r="GI6" s="637"/>
      <c r="GJ6" s="637"/>
      <c r="GK6" s="637"/>
      <c r="GL6" s="637"/>
      <c r="GM6" s="637"/>
      <c r="GN6" s="637"/>
      <c r="GO6" s="637"/>
      <c r="GP6" s="637"/>
      <c r="GQ6" s="637"/>
      <c r="GR6" s="637"/>
      <c r="GS6" s="637"/>
      <c r="GT6" s="637"/>
      <c r="GU6" s="637"/>
      <c r="GV6" s="637"/>
      <c r="GW6" s="637"/>
      <c r="GX6" s="637"/>
      <c r="GY6" s="637"/>
      <c r="GZ6" s="637"/>
      <c r="HA6" s="637"/>
      <c r="HB6" s="637"/>
      <c r="HC6" s="637"/>
      <c r="HD6" s="637"/>
      <c r="HE6" s="637"/>
      <c r="HF6" s="637"/>
      <c r="HG6" s="637"/>
      <c r="HH6" s="637"/>
      <c r="HI6" s="637"/>
      <c r="HJ6" s="637"/>
      <c r="HK6" s="637"/>
      <c r="HL6" s="637"/>
      <c r="HM6" s="637"/>
      <c r="HN6" s="637"/>
      <c r="HO6" s="637"/>
      <c r="HP6" s="637"/>
      <c r="HQ6" s="637"/>
      <c r="HR6" s="637"/>
      <c r="HS6" s="637"/>
      <c r="HT6" s="637"/>
      <c r="HU6" s="637"/>
      <c r="HV6" s="637"/>
      <c r="HW6" s="637"/>
      <c r="HX6" s="637"/>
      <c r="HY6" s="637"/>
      <c r="HZ6" s="637"/>
      <c r="IA6" s="637"/>
      <c r="IB6" s="637"/>
      <c r="IC6" s="637"/>
      <c r="ID6" s="637"/>
      <c r="IE6" s="637"/>
      <c r="IF6" s="637"/>
      <c r="IG6" s="637"/>
      <c r="IH6" s="637"/>
      <c r="II6" s="637"/>
      <c r="IJ6" s="637"/>
      <c r="IK6" s="637"/>
      <c r="IL6" s="637"/>
      <c r="IM6" s="637"/>
      <c r="IN6" s="637"/>
      <c r="IO6" s="637"/>
      <c r="IP6" s="637"/>
      <c r="IQ6" s="637"/>
      <c r="IR6" s="637"/>
      <c r="IS6" s="637"/>
      <c r="IT6" s="637"/>
      <c r="IU6" s="637"/>
      <c r="IV6" s="637"/>
      <c r="IW6" s="637"/>
      <c r="IX6" s="637"/>
      <c r="IY6" s="637"/>
      <c r="IZ6" s="637"/>
      <c r="JA6" s="637"/>
      <c r="JB6" s="637"/>
      <c r="JC6" s="637"/>
      <c r="JD6" s="637"/>
      <c r="JE6" s="637"/>
      <c r="JF6" s="637"/>
      <c r="JG6" s="637"/>
      <c r="JH6" s="637"/>
      <c r="JI6" s="637"/>
      <c r="JJ6" s="637"/>
      <c r="JK6" s="637"/>
      <c r="JL6" s="637"/>
      <c r="JM6" s="637"/>
      <c r="JN6" s="637"/>
      <c r="JO6" s="637"/>
      <c r="JP6" s="637"/>
      <c r="JQ6" s="637"/>
      <c r="JR6" s="637"/>
      <c r="JS6" s="637"/>
      <c r="JT6" s="637"/>
      <c r="JU6" s="637"/>
      <c r="JV6" s="637"/>
      <c r="JW6" s="637"/>
      <c r="JX6" s="637"/>
      <c r="JY6" s="637"/>
      <c r="JZ6" s="637"/>
      <c r="KA6" s="637"/>
      <c r="KB6" s="637"/>
      <c r="KC6" s="637"/>
      <c r="KD6" s="637"/>
      <c r="KE6" s="637"/>
      <c r="KF6" s="637"/>
      <c r="KG6" s="637"/>
      <c r="KH6" s="637"/>
      <c r="KI6" s="637"/>
      <c r="KJ6" s="637"/>
      <c r="KK6" s="637"/>
      <c r="KL6" s="637"/>
      <c r="KM6" s="637"/>
      <c r="KN6" s="637"/>
      <c r="KO6" s="637"/>
      <c r="KP6" s="637"/>
      <c r="KQ6" s="637"/>
      <c r="KR6" s="637"/>
      <c r="KS6" s="637"/>
      <c r="KT6" s="637"/>
      <c r="KU6" s="637"/>
      <c r="KV6" s="637"/>
      <c r="KW6" s="637"/>
      <c r="KX6" s="637"/>
      <c r="KY6" s="637"/>
      <c r="KZ6" s="637"/>
      <c r="LA6" s="637"/>
      <c r="LB6" s="637"/>
      <c r="LC6" s="637"/>
      <c r="LD6" s="637"/>
      <c r="LE6" s="637"/>
      <c r="LF6" s="637"/>
      <c r="LG6" s="637"/>
      <c r="LH6" s="637"/>
      <c r="LI6" s="637"/>
      <c r="LJ6" s="637"/>
      <c r="LK6" s="637"/>
      <c r="LL6" s="637"/>
      <c r="LM6" s="637"/>
      <c r="LN6" s="637"/>
      <c r="LO6" s="637"/>
      <c r="LP6" s="637"/>
      <c r="LQ6" s="637"/>
      <c r="LR6" s="637"/>
      <c r="LS6" s="637"/>
      <c r="LT6" s="637"/>
      <c r="LU6" s="637"/>
      <c r="LV6" s="637"/>
      <c r="LW6" s="637"/>
      <c r="LX6" s="637"/>
      <c r="LY6" s="637"/>
      <c r="LZ6" s="637"/>
      <c r="MA6" s="637"/>
      <c r="MB6" s="637"/>
      <c r="MC6" s="637"/>
      <c r="MD6" s="637"/>
      <c r="ME6" s="637"/>
      <c r="MF6" s="637"/>
      <c r="MG6" s="637"/>
      <c r="MH6" s="637"/>
      <c r="MI6" s="637"/>
      <c r="MJ6" s="637"/>
      <c r="MK6" s="637"/>
      <c r="ML6" s="637"/>
      <c r="MM6" s="637"/>
      <c r="MN6" s="637"/>
      <c r="MO6" s="637"/>
      <c r="MP6" s="637"/>
      <c r="MQ6" s="637"/>
      <c r="MR6" s="637"/>
      <c r="MS6" s="637"/>
      <c r="MT6" s="637"/>
      <c r="MU6" s="637"/>
      <c r="MV6" s="637"/>
      <c r="MW6" s="637"/>
      <c r="MX6" s="637"/>
      <c r="MY6" s="637"/>
      <c r="MZ6" s="637"/>
      <c r="NA6" s="637"/>
      <c r="NB6" s="637"/>
      <c r="NC6" s="637"/>
      <c r="ND6" s="637"/>
      <c r="NE6" s="637"/>
      <c r="NF6" s="637"/>
      <c r="NG6" s="637"/>
      <c r="NH6" s="637"/>
      <c r="NI6" s="637"/>
      <c r="NJ6" s="637"/>
      <c r="NK6" s="637"/>
      <c r="NL6" s="637"/>
      <c r="NM6" s="637"/>
      <c r="NN6" s="637"/>
      <c r="NO6" s="637"/>
      <c r="NP6" s="637"/>
      <c r="NQ6" s="637"/>
      <c r="NR6" s="637"/>
      <c r="NS6" s="637"/>
      <c r="NT6" s="637"/>
      <c r="NU6" s="637"/>
      <c r="NV6" s="637"/>
      <c r="NW6" s="637"/>
      <c r="NX6" s="637"/>
      <c r="NY6" s="637"/>
      <c r="NZ6" s="637"/>
      <c r="OA6" s="637"/>
      <c r="OB6" s="637"/>
      <c r="OC6" s="637"/>
      <c r="OD6" s="637"/>
      <c r="OE6" s="637"/>
      <c r="OF6" s="637"/>
      <c r="OG6" s="637"/>
      <c r="OH6" s="637"/>
      <c r="OI6" s="637"/>
      <c r="OJ6" s="637"/>
      <c r="OK6" s="637"/>
      <c r="OL6" s="637"/>
      <c r="OM6" s="637"/>
      <c r="ON6" s="637"/>
      <c r="OO6" s="637"/>
      <c r="OP6" s="637"/>
      <c r="OQ6" s="637"/>
      <c r="OR6" s="637"/>
      <c r="OS6" s="637"/>
      <c r="OT6" s="637"/>
      <c r="OU6" s="637"/>
      <c r="OV6" s="637"/>
      <c r="OW6" s="637"/>
      <c r="OX6" s="637"/>
      <c r="OY6" s="637"/>
      <c r="OZ6" s="637"/>
      <c r="PA6" s="637"/>
      <c r="PB6" s="637"/>
      <c r="PC6" s="637"/>
      <c r="PD6" s="637"/>
      <c r="PE6" s="637"/>
      <c r="PF6" s="637"/>
      <c r="PG6" s="637"/>
      <c r="PH6" s="637"/>
      <c r="PI6" s="637"/>
      <c r="PJ6" s="637"/>
      <c r="PK6" s="637"/>
      <c r="PL6" s="637"/>
      <c r="PM6" s="637"/>
      <c r="PN6" s="637"/>
      <c r="PO6" s="637"/>
      <c r="PP6" s="637"/>
      <c r="PQ6" s="637"/>
      <c r="PR6" s="637"/>
      <c r="PS6" s="637"/>
      <c r="PT6" s="637"/>
      <c r="PU6" s="637"/>
      <c r="PV6" s="637"/>
      <c r="PW6" s="637"/>
      <c r="PX6" s="637"/>
      <c r="PY6" s="637"/>
      <c r="PZ6" s="637"/>
      <c r="QA6" s="637"/>
      <c r="QB6" s="637"/>
      <c r="QC6" s="637"/>
      <c r="QD6" s="637"/>
      <c r="QE6" s="637"/>
      <c r="QF6" s="637"/>
      <c r="QG6" s="637"/>
      <c r="QH6" s="637"/>
      <c r="QI6" s="637"/>
      <c r="QJ6" s="637"/>
      <c r="QK6" s="637"/>
      <c r="QL6" s="637"/>
      <c r="QM6" s="637"/>
      <c r="QN6" s="637"/>
      <c r="QO6" s="637"/>
      <c r="QP6" s="637"/>
      <c r="QQ6" s="637"/>
      <c r="QR6" s="637"/>
      <c r="QS6" s="637"/>
      <c r="QT6" s="637"/>
      <c r="QU6" s="637"/>
      <c r="QV6" s="637"/>
      <c r="QW6" s="637"/>
      <c r="QX6" s="637"/>
      <c r="QY6" s="637"/>
      <c r="QZ6" s="637"/>
      <c r="RA6" s="637"/>
      <c r="RB6" s="637"/>
      <c r="RC6" s="637"/>
      <c r="RD6" s="637"/>
      <c r="RE6" s="637"/>
      <c r="RF6" s="637"/>
      <c r="RG6" s="637"/>
      <c r="RH6" s="637"/>
      <c r="RI6" s="637"/>
      <c r="RJ6" s="637"/>
      <c r="RK6" s="637"/>
      <c r="RL6" s="637"/>
      <c r="RM6" s="637"/>
      <c r="RN6" s="637"/>
      <c r="RO6" s="637"/>
      <c r="RP6" s="637"/>
      <c r="RQ6" s="637"/>
      <c r="RR6" s="637"/>
      <c r="RS6" s="637"/>
      <c r="RT6" s="637"/>
      <c r="RU6" s="637"/>
      <c r="RV6" s="637"/>
      <c r="RW6" s="637"/>
      <c r="RX6" s="637"/>
      <c r="RY6" s="637"/>
      <c r="RZ6" s="637"/>
      <c r="SA6" s="637"/>
      <c r="SB6" s="637"/>
      <c r="SC6" s="637"/>
      <c r="SD6" s="637"/>
      <c r="SE6" s="637"/>
      <c r="SF6" s="637"/>
      <c r="SG6" s="637"/>
      <c r="SH6" s="637"/>
      <c r="SI6" s="637"/>
      <c r="SJ6" s="637"/>
      <c r="SK6" s="637"/>
      <c r="SL6" s="637"/>
      <c r="SM6" s="637"/>
      <c r="SN6" s="637"/>
      <c r="SO6" s="637"/>
      <c r="SP6" s="637"/>
      <c r="SQ6" s="637"/>
      <c r="SR6" s="637"/>
      <c r="SS6" s="637"/>
      <c r="ST6" s="637"/>
      <c r="SU6" s="637"/>
      <c r="SV6" s="637"/>
      <c r="SW6" s="637"/>
      <c r="SX6" s="637"/>
      <c r="SY6" s="637"/>
      <c r="SZ6" s="637"/>
      <c r="TA6" s="637"/>
      <c r="TB6" s="637"/>
      <c r="TC6" s="637"/>
      <c r="TD6" s="637"/>
      <c r="TE6" s="637"/>
      <c r="TF6" s="637"/>
      <c r="TG6" s="637"/>
      <c r="TH6" s="637"/>
      <c r="TI6" s="637"/>
      <c r="TJ6" s="637"/>
      <c r="TK6" s="637"/>
      <c r="TL6" s="637"/>
      <c r="TM6" s="637"/>
      <c r="TN6" s="637"/>
      <c r="TO6" s="637"/>
      <c r="TP6" s="637"/>
      <c r="TQ6" s="637"/>
      <c r="TR6" s="637"/>
      <c r="TS6" s="637"/>
      <c r="TT6" s="637"/>
      <c r="TU6" s="637"/>
      <c r="TV6" s="637"/>
      <c r="TW6" s="637"/>
      <c r="TX6" s="637"/>
      <c r="TY6" s="637"/>
      <c r="TZ6" s="637"/>
      <c r="UA6" s="637"/>
      <c r="UB6" s="637"/>
      <c r="UC6" s="637"/>
      <c r="UD6" s="637"/>
      <c r="UE6" s="637"/>
      <c r="UF6" s="637"/>
      <c r="UG6" s="637"/>
      <c r="UH6" s="637"/>
      <c r="UI6" s="637"/>
      <c r="UJ6" s="637"/>
      <c r="UK6" s="637"/>
      <c r="UL6" s="637"/>
      <c r="UM6" s="637"/>
      <c r="UN6" s="637"/>
      <c r="UO6" s="637"/>
      <c r="UP6" s="637"/>
      <c r="UQ6" s="637"/>
      <c r="UR6" s="637"/>
      <c r="US6" s="637"/>
      <c r="UT6" s="637"/>
      <c r="UU6" s="637"/>
      <c r="UV6" s="637"/>
      <c r="UW6" s="637"/>
      <c r="UX6" s="637"/>
      <c r="UY6" s="637"/>
      <c r="UZ6" s="637"/>
      <c r="VA6" s="637"/>
      <c r="VB6" s="637"/>
      <c r="VC6" s="637"/>
      <c r="VD6" s="637"/>
      <c r="VE6" s="637"/>
      <c r="VF6" s="637"/>
      <c r="VG6" s="637"/>
      <c r="VH6" s="637"/>
      <c r="VI6" s="637"/>
      <c r="VJ6" s="637"/>
      <c r="VK6" s="637"/>
      <c r="VL6" s="637"/>
      <c r="VM6" s="637"/>
      <c r="VN6" s="637"/>
      <c r="VO6" s="637"/>
      <c r="VP6" s="637"/>
      <c r="VQ6" s="637"/>
      <c r="VR6" s="637"/>
      <c r="VS6" s="637"/>
      <c r="VT6" s="637"/>
      <c r="VU6" s="637"/>
      <c r="VV6" s="637"/>
      <c r="VW6" s="637"/>
      <c r="VX6" s="637"/>
      <c r="VY6" s="637"/>
      <c r="VZ6" s="637"/>
      <c r="WA6" s="637"/>
      <c r="WB6" s="637"/>
      <c r="WC6" s="637"/>
      <c r="WD6" s="637"/>
      <c r="WE6" s="637"/>
      <c r="WF6" s="637"/>
      <c r="WG6" s="637"/>
      <c r="WH6" s="637"/>
      <c r="WI6" s="637"/>
      <c r="WJ6" s="637"/>
      <c r="WK6" s="637"/>
      <c r="WL6" s="637"/>
      <c r="WM6" s="637"/>
      <c r="WN6" s="637"/>
      <c r="WO6" s="637"/>
      <c r="WP6" s="637"/>
      <c r="WQ6" s="637"/>
      <c r="WR6" s="637"/>
      <c r="WS6" s="637"/>
      <c r="WT6" s="637"/>
      <c r="WU6" s="637"/>
      <c r="WV6" s="637"/>
      <c r="WW6" s="637"/>
      <c r="WX6" s="637"/>
      <c r="WY6" s="637"/>
      <c r="WZ6" s="637"/>
      <c r="XA6" s="637"/>
      <c r="XB6" s="637"/>
      <c r="XC6" s="637"/>
      <c r="XD6" s="637"/>
      <c r="XE6" s="637"/>
      <c r="XF6" s="637"/>
      <c r="XG6" s="637"/>
      <c r="XH6" s="637"/>
      <c r="XI6" s="637"/>
      <c r="XJ6" s="637"/>
      <c r="XK6" s="637"/>
      <c r="XL6" s="637"/>
      <c r="XM6" s="637"/>
      <c r="XN6" s="637"/>
      <c r="XO6" s="637"/>
      <c r="XP6" s="637"/>
      <c r="XQ6" s="637"/>
      <c r="XR6" s="637"/>
      <c r="XS6" s="637"/>
      <c r="XT6" s="637"/>
      <c r="XU6" s="637"/>
      <c r="XV6" s="637"/>
      <c r="XW6" s="637"/>
      <c r="XX6" s="637"/>
      <c r="XY6" s="637"/>
      <c r="XZ6" s="637"/>
      <c r="YA6" s="637"/>
      <c r="YB6" s="637"/>
      <c r="YC6" s="637"/>
      <c r="YD6" s="637"/>
      <c r="YE6" s="637"/>
      <c r="YF6" s="637"/>
      <c r="YG6" s="637"/>
      <c r="YH6" s="637"/>
      <c r="YI6" s="637"/>
      <c r="YJ6" s="637"/>
      <c r="YK6" s="637"/>
      <c r="YL6" s="637"/>
      <c r="YM6" s="637"/>
      <c r="YN6" s="637"/>
      <c r="YO6" s="637"/>
      <c r="YP6" s="637"/>
      <c r="YQ6" s="637"/>
      <c r="YR6" s="637"/>
      <c r="YS6" s="637"/>
      <c r="YT6" s="637"/>
      <c r="YU6" s="637"/>
      <c r="YV6" s="637"/>
      <c r="YW6" s="637"/>
      <c r="YX6" s="637"/>
      <c r="YY6" s="637"/>
      <c r="YZ6" s="637"/>
      <c r="ZA6" s="637"/>
      <c r="ZB6" s="637"/>
      <c r="ZC6" s="637"/>
      <c r="ZD6" s="637"/>
      <c r="ZE6" s="637"/>
      <c r="ZF6" s="637"/>
      <c r="ZG6" s="637"/>
      <c r="ZH6" s="637"/>
      <c r="ZI6" s="637"/>
      <c r="ZJ6" s="637"/>
      <c r="ZK6" s="637"/>
      <c r="ZL6" s="637"/>
      <c r="ZM6" s="637"/>
      <c r="ZN6" s="637"/>
      <c r="ZO6" s="637"/>
      <c r="ZP6" s="637"/>
      <c r="ZQ6" s="637"/>
      <c r="ZR6" s="637"/>
      <c r="ZS6" s="637"/>
      <c r="ZT6" s="637"/>
      <c r="ZU6" s="637"/>
      <c r="ZV6" s="637"/>
      <c r="ZW6" s="637"/>
      <c r="ZX6" s="637"/>
      <c r="ZY6" s="637"/>
      <c r="ZZ6" s="637"/>
      <c r="AAA6" s="637"/>
      <c r="AAB6" s="637"/>
      <c r="AAC6" s="637"/>
      <c r="AAD6" s="637"/>
      <c r="AAE6" s="637"/>
      <c r="AAF6" s="637"/>
      <c r="AAG6" s="637"/>
      <c r="AAH6" s="637"/>
      <c r="AAI6" s="637"/>
      <c r="AAJ6" s="637"/>
      <c r="AAK6" s="637"/>
      <c r="AAL6" s="637"/>
      <c r="AAM6" s="637"/>
      <c r="AAN6" s="637"/>
      <c r="AAO6" s="637"/>
      <c r="AAP6" s="637"/>
      <c r="AAQ6" s="637"/>
      <c r="AAR6" s="637"/>
      <c r="AAS6" s="637"/>
      <c r="AAT6" s="637"/>
      <c r="AAU6" s="637"/>
      <c r="AAV6" s="637"/>
      <c r="AAW6" s="637"/>
      <c r="AAX6" s="637"/>
      <c r="AAY6" s="637"/>
      <c r="AAZ6" s="637"/>
      <c r="ABA6" s="637"/>
      <c r="ABB6" s="637"/>
      <c r="ABC6" s="637"/>
      <c r="ABD6" s="637"/>
      <c r="ABE6" s="637"/>
      <c r="ABF6" s="637"/>
      <c r="ABG6" s="637"/>
      <c r="ABH6" s="637"/>
      <c r="ABI6" s="637"/>
      <c r="ABJ6" s="637"/>
      <c r="ABK6" s="637"/>
      <c r="ABL6" s="637"/>
      <c r="ABM6" s="637"/>
      <c r="ABN6" s="637"/>
      <c r="ABO6" s="637"/>
      <c r="ABP6" s="637"/>
      <c r="ABQ6" s="637"/>
      <c r="ABR6" s="637"/>
      <c r="ABS6" s="637"/>
      <c r="ABT6" s="637"/>
      <c r="ABU6" s="637"/>
      <c r="ABV6" s="637"/>
      <c r="ABW6" s="637"/>
      <c r="ABX6" s="637"/>
      <c r="ABY6" s="637"/>
      <c r="ABZ6" s="637"/>
      <c r="ACA6" s="637"/>
      <c r="ACB6" s="637"/>
      <c r="ACC6" s="637"/>
      <c r="ACD6" s="637"/>
      <c r="ACE6" s="637"/>
      <c r="ACF6" s="637"/>
      <c r="ACG6" s="637"/>
      <c r="ACH6" s="637"/>
      <c r="ACI6" s="637"/>
      <c r="ACJ6" s="637"/>
      <c r="ACK6" s="637"/>
      <c r="ACL6" s="637"/>
      <c r="ACM6" s="637"/>
      <c r="ACN6" s="637"/>
      <c r="ACO6" s="637"/>
      <c r="ACP6" s="637"/>
      <c r="ACQ6" s="637"/>
      <c r="ACR6" s="637"/>
      <c r="ACS6" s="637"/>
      <c r="ACT6" s="637"/>
      <c r="ACU6" s="637"/>
      <c r="ACV6" s="637"/>
      <c r="ACW6" s="637"/>
      <c r="ACX6" s="637"/>
      <c r="ACY6" s="637"/>
      <c r="ACZ6" s="637"/>
      <c r="ADA6" s="637"/>
      <c r="ADB6" s="637"/>
      <c r="ADC6" s="637"/>
      <c r="ADD6" s="637"/>
      <c r="ADE6" s="637"/>
      <c r="ADF6" s="637"/>
      <c r="ADG6" s="637"/>
      <c r="ADH6" s="637"/>
      <c r="ADI6" s="637"/>
      <c r="ADJ6" s="637"/>
      <c r="ADK6" s="637"/>
      <c r="ADL6" s="637"/>
      <c r="ADM6" s="637"/>
      <c r="ADN6" s="637"/>
      <c r="ADO6" s="637"/>
      <c r="ADP6" s="637"/>
      <c r="ADQ6" s="637"/>
      <c r="ADR6" s="637"/>
      <c r="ADS6" s="637"/>
      <c r="ADT6" s="637"/>
      <c r="ADU6" s="637"/>
      <c r="ADV6" s="637"/>
      <c r="ADW6" s="637"/>
      <c r="ADX6" s="637"/>
      <c r="ADY6" s="637"/>
      <c r="ADZ6" s="637"/>
      <c r="AEA6" s="637"/>
      <c r="AEB6" s="637"/>
      <c r="AEC6" s="637"/>
      <c r="AED6" s="637"/>
      <c r="AEE6" s="637"/>
      <c r="AEF6" s="637"/>
      <c r="AEG6" s="637"/>
      <c r="AEH6" s="637"/>
      <c r="AEI6" s="637"/>
      <c r="AEJ6" s="637"/>
      <c r="AEK6" s="637"/>
      <c r="AEL6" s="637"/>
      <c r="AEM6" s="637"/>
      <c r="AEN6" s="637"/>
      <c r="AEO6" s="637"/>
      <c r="AEP6" s="637"/>
      <c r="AEQ6" s="637"/>
      <c r="AER6" s="637"/>
      <c r="AES6" s="637"/>
      <c r="AET6" s="637"/>
      <c r="AEU6" s="637"/>
      <c r="AEV6" s="637"/>
      <c r="AEW6" s="637"/>
      <c r="AEX6" s="637"/>
      <c r="AEY6" s="637"/>
      <c r="AEZ6" s="637"/>
      <c r="AFA6" s="637"/>
      <c r="AFB6" s="637"/>
      <c r="AFC6" s="637"/>
      <c r="AFD6" s="637"/>
      <c r="AFE6" s="637"/>
      <c r="AFF6" s="637"/>
      <c r="AFG6" s="637"/>
      <c r="AFH6" s="637"/>
      <c r="AFI6" s="637"/>
      <c r="AFJ6" s="637"/>
      <c r="AFK6" s="637"/>
      <c r="AFL6" s="637"/>
      <c r="AFM6" s="637"/>
      <c r="AFN6" s="637"/>
      <c r="AFO6" s="637"/>
      <c r="AFP6" s="637"/>
      <c r="AFQ6" s="637"/>
      <c r="AFR6" s="637"/>
      <c r="AFS6" s="637"/>
      <c r="AFT6" s="637"/>
      <c r="AFU6" s="637"/>
      <c r="AFV6" s="637"/>
      <c r="AFW6" s="637"/>
      <c r="AFX6" s="637"/>
      <c r="AFY6" s="637"/>
      <c r="AFZ6" s="637"/>
      <c r="AGA6" s="637"/>
      <c r="AGB6" s="637"/>
      <c r="AGC6" s="637"/>
      <c r="AGD6" s="637"/>
      <c r="AGE6" s="637"/>
      <c r="AGF6" s="637"/>
      <c r="AGG6" s="637"/>
      <c r="AGH6" s="637"/>
      <c r="AGI6" s="637"/>
      <c r="AGJ6" s="637"/>
      <c r="AGK6" s="637"/>
      <c r="AGL6" s="637"/>
      <c r="AGM6" s="637"/>
      <c r="AGN6" s="637"/>
      <c r="AGO6" s="637"/>
      <c r="AGP6" s="637"/>
      <c r="AGQ6" s="637"/>
      <c r="AGR6" s="637"/>
      <c r="AGS6" s="637"/>
      <c r="AGT6" s="637"/>
      <c r="AGU6" s="637"/>
      <c r="AGV6" s="637"/>
      <c r="AGW6" s="637"/>
      <c r="AGX6" s="637"/>
      <c r="AGY6" s="637"/>
      <c r="AGZ6" s="637"/>
      <c r="AHA6" s="637"/>
      <c r="AHB6" s="637"/>
      <c r="AHC6" s="637"/>
      <c r="AHD6" s="637"/>
      <c r="AHE6" s="637"/>
      <c r="AHF6" s="637"/>
      <c r="AHG6" s="637"/>
      <c r="AHH6" s="637"/>
      <c r="AHI6" s="637"/>
      <c r="AHJ6" s="637"/>
      <c r="AHK6" s="637"/>
      <c r="AHL6" s="637"/>
      <c r="AHM6" s="637"/>
      <c r="AHN6" s="637"/>
      <c r="AHO6" s="637"/>
      <c r="AHP6" s="637"/>
      <c r="AHQ6" s="637"/>
      <c r="AHR6" s="637"/>
      <c r="AHS6" s="637"/>
      <c r="AHT6" s="637"/>
      <c r="AHU6" s="637"/>
      <c r="AHV6" s="637"/>
      <c r="AHW6" s="637"/>
      <c r="AHX6" s="637"/>
      <c r="AHY6" s="637"/>
      <c r="AHZ6" s="637"/>
      <c r="AIA6" s="637"/>
      <c r="AIB6" s="637"/>
      <c r="AIC6" s="637"/>
      <c r="AID6" s="637"/>
      <c r="AIE6" s="637"/>
      <c r="AIF6" s="637"/>
      <c r="AIG6" s="637"/>
      <c r="AIH6" s="637"/>
      <c r="AII6" s="637"/>
      <c r="AIJ6" s="637"/>
      <c r="AIK6" s="637"/>
      <c r="AIL6" s="637"/>
      <c r="AIM6" s="637"/>
      <c r="AIN6" s="637"/>
      <c r="AIO6" s="637"/>
      <c r="AIP6" s="637"/>
      <c r="AIQ6" s="637"/>
      <c r="AIR6" s="637"/>
      <c r="AIS6" s="637"/>
      <c r="AIT6" s="637"/>
      <c r="AIU6" s="637"/>
      <c r="AIV6" s="637"/>
      <c r="AIW6" s="637"/>
      <c r="AIX6" s="637"/>
      <c r="AIY6" s="637"/>
      <c r="AIZ6" s="637"/>
      <c r="AJA6" s="637"/>
      <c r="AJB6" s="637"/>
      <c r="AJC6" s="637"/>
      <c r="AJD6" s="637"/>
      <c r="AJE6" s="637"/>
      <c r="AJF6" s="637"/>
      <c r="AJG6" s="637"/>
      <c r="AJH6" s="637"/>
      <c r="AJI6" s="637"/>
      <c r="AJJ6" s="637"/>
      <c r="AJK6" s="637"/>
      <c r="AJL6" s="637"/>
      <c r="AJM6" s="637"/>
      <c r="AJN6" s="637"/>
      <c r="AJO6" s="637"/>
      <c r="AJP6" s="637"/>
      <c r="AJQ6" s="637"/>
      <c r="AJR6" s="637"/>
      <c r="AJS6" s="637"/>
      <c r="AJT6" s="637"/>
      <c r="AJU6" s="637"/>
      <c r="AJV6" s="637"/>
      <c r="AJW6" s="637"/>
      <c r="AJX6" s="637"/>
      <c r="AJY6" s="637"/>
      <c r="AJZ6" s="637"/>
      <c r="AKA6" s="637"/>
      <c r="AKB6" s="637"/>
      <c r="AKC6" s="637"/>
      <c r="AKD6" s="637"/>
      <c r="AKE6" s="637"/>
      <c r="AKF6" s="637"/>
      <c r="AKG6" s="637"/>
      <c r="AKH6" s="637"/>
      <c r="AKI6" s="637"/>
      <c r="AKJ6" s="637"/>
      <c r="AKK6" s="637"/>
      <c r="AKL6" s="637"/>
      <c r="AKM6" s="637"/>
      <c r="AKN6" s="637"/>
      <c r="AKO6" s="637"/>
      <c r="AKP6" s="637"/>
      <c r="AKQ6" s="637"/>
      <c r="AKR6" s="637"/>
      <c r="AKS6" s="637"/>
      <c r="AKT6" s="637"/>
      <c r="AKU6" s="637"/>
      <c r="AKV6" s="637"/>
      <c r="AKW6" s="637"/>
      <c r="AKX6" s="637"/>
      <c r="AKY6" s="637"/>
      <c r="AKZ6" s="637"/>
      <c r="ALA6" s="637"/>
      <c r="ALB6" s="637"/>
      <c r="ALC6" s="637"/>
      <c r="ALD6" s="637"/>
      <c r="ALE6" s="637"/>
      <c r="ALF6" s="637"/>
      <c r="ALG6" s="637"/>
      <c r="ALH6" s="637"/>
      <c r="ALI6" s="637"/>
      <c r="ALJ6" s="637"/>
      <c r="ALK6" s="637"/>
      <c r="ALL6" s="637"/>
      <c r="ALM6" s="637"/>
      <c r="ALN6" s="637"/>
      <c r="ALO6" s="637"/>
      <c r="ALP6" s="637"/>
      <c r="ALQ6" s="637"/>
      <c r="ALR6" s="637"/>
      <c r="ALS6" s="637"/>
      <c r="ALT6" s="637"/>
      <c r="ALU6" s="637"/>
      <c r="ALV6" s="637"/>
      <c r="ALW6" s="637"/>
      <c r="ALX6" s="637"/>
      <c r="ALY6" s="637"/>
      <c r="ALZ6" s="637"/>
      <c r="AMA6" s="637"/>
      <c r="AMB6" s="637"/>
      <c r="AMC6" s="637"/>
      <c r="AMD6" s="637"/>
      <c r="AME6" s="637"/>
      <c r="AMF6" s="637"/>
      <c r="AMG6" s="637"/>
      <c r="AMH6" s="637"/>
      <c r="AMI6" s="637"/>
      <c r="AMJ6" s="637"/>
    </row>
    <row r="7" spans="1:1024" s="638" customFormat="1" ht="46.5">
      <c r="A7" s="984" t="s">
        <v>120</v>
      </c>
      <c r="B7" s="985" t="s">
        <v>131</v>
      </c>
      <c r="C7" s="986" t="s">
        <v>132</v>
      </c>
      <c r="D7" s="981" t="s">
        <v>4</v>
      </c>
      <c r="E7" s="982"/>
      <c r="F7" s="982">
        <f aca="true" t="shared" si="0" ref="F7:F13">SUM(G7:R7)</f>
        <v>442710</v>
      </c>
      <c r="G7" s="987">
        <v>210591</v>
      </c>
      <c r="H7" s="987">
        <v>69354</v>
      </c>
      <c r="I7" s="987">
        <v>130645</v>
      </c>
      <c r="J7" s="987"/>
      <c r="K7" s="987"/>
      <c r="L7" s="987"/>
      <c r="M7" s="987"/>
      <c r="N7" s="987">
        <v>32120</v>
      </c>
      <c r="O7" s="987"/>
      <c r="P7" s="987"/>
      <c r="Q7" s="987"/>
      <c r="R7" s="984"/>
      <c r="S7" s="637"/>
      <c r="T7" s="637"/>
      <c r="U7" s="637"/>
      <c r="V7" s="637"/>
      <c r="W7" s="637"/>
      <c r="X7" s="637"/>
      <c r="Y7" s="637"/>
      <c r="Z7" s="637"/>
      <c r="AA7" s="637"/>
      <c r="AB7" s="637"/>
      <c r="AC7" s="637"/>
      <c r="AD7" s="637"/>
      <c r="AE7" s="637"/>
      <c r="AF7" s="637"/>
      <c r="AG7" s="637"/>
      <c r="AH7" s="637"/>
      <c r="AI7" s="637"/>
      <c r="AJ7" s="637"/>
      <c r="AK7" s="637"/>
      <c r="AL7" s="637"/>
      <c r="AM7" s="637"/>
      <c r="AN7" s="637"/>
      <c r="AO7" s="637"/>
      <c r="AP7" s="637"/>
      <c r="AQ7" s="637"/>
      <c r="AR7" s="637"/>
      <c r="AS7" s="637"/>
      <c r="AT7" s="637"/>
      <c r="AU7" s="637"/>
      <c r="AV7" s="637"/>
      <c r="AW7" s="637"/>
      <c r="AX7" s="637"/>
      <c r="AY7" s="637"/>
      <c r="AZ7" s="637"/>
      <c r="BA7" s="637"/>
      <c r="BB7" s="637"/>
      <c r="BC7" s="637"/>
      <c r="BD7" s="637"/>
      <c r="BE7" s="637"/>
      <c r="BF7" s="637"/>
      <c r="BG7" s="637"/>
      <c r="BH7" s="637"/>
      <c r="BI7" s="637"/>
      <c r="BJ7" s="637"/>
      <c r="BK7" s="637"/>
      <c r="BL7" s="637"/>
      <c r="BM7" s="637"/>
      <c r="BN7" s="637"/>
      <c r="BO7" s="637"/>
      <c r="BP7" s="637"/>
      <c r="BQ7" s="637"/>
      <c r="BR7" s="637"/>
      <c r="BS7" s="637"/>
      <c r="BT7" s="637"/>
      <c r="BU7" s="637"/>
      <c r="BV7" s="637"/>
      <c r="BW7" s="637"/>
      <c r="BX7" s="637"/>
      <c r="BY7" s="637"/>
      <c r="BZ7" s="637"/>
      <c r="CA7" s="637"/>
      <c r="CB7" s="637"/>
      <c r="CC7" s="637"/>
      <c r="CD7" s="637"/>
      <c r="CE7" s="637"/>
      <c r="CF7" s="637"/>
      <c r="CG7" s="637"/>
      <c r="CH7" s="637"/>
      <c r="CI7" s="637"/>
      <c r="CJ7" s="637"/>
      <c r="CK7" s="637"/>
      <c r="CL7" s="637"/>
      <c r="CM7" s="637"/>
      <c r="CN7" s="637"/>
      <c r="CO7" s="637"/>
      <c r="CP7" s="637"/>
      <c r="CQ7" s="637"/>
      <c r="CR7" s="637"/>
      <c r="CS7" s="637"/>
      <c r="CT7" s="637"/>
      <c r="CU7" s="637"/>
      <c r="CV7" s="637"/>
      <c r="CW7" s="637"/>
      <c r="CX7" s="637"/>
      <c r="CY7" s="637"/>
      <c r="CZ7" s="637"/>
      <c r="DA7" s="637"/>
      <c r="DB7" s="637"/>
      <c r="DC7" s="637"/>
      <c r="DD7" s="637"/>
      <c r="DE7" s="637"/>
      <c r="DF7" s="637"/>
      <c r="DG7" s="637"/>
      <c r="DH7" s="637"/>
      <c r="DI7" s="637"/>
      <c r="DJ7" s="637"/>
      <c r="DK7" s="637"/>
      <c r="DL7" s="637"/>
      <c r="DM7" s="637"/>
      <c r="DN7" s="637"/>
      <c r="DO7" s="637"/>
      <c r="DP7" s="637"/>
      <c r="DQ7" s="637"/>
      <c r="DR7" s="637"/>
      <c r="DS7" s="637"/>
      <c r="DT7" s="637"/>
      <c r="DU7" s="637"/>
      <c r="DV7" s="637"/>
      <c r="DW7" s="637"/>
      <c r="DX7" s="637"/>
      <c r="DY7" s="637"/>
      <c r="DZ7" s="637"/>
      <c r="EA7" s="637"/>
      <c r="EB7" s="637"/>
      <c r="EC7" s="637"/>
      <c r="ED7" s="637"/>
      <c r="EE7" s="637"/>
      <c r="EF7" s="637"/>
      <c r="EG7" s="637"/>
      <c r="EH7" s="637"/>
      <c r="EI7" s="637"/>
      <c r="EJ7" s="637"/>
      <c r="EK7" s="637"/>
      <c r="EL7" s="637"/>
      <c r="EM7" s="637"/>
      <c r="EN7" s="637"/>
      <c r="EO7" s="637"/>
      <c r="EP7" s="637"/>
      <c r="EQ7" s="637"/>
      <c r="ER7" s="637"/>
      <c r="ES7" s="637"/>
      <c r="ET7" s="637"/>
      <c r="EU7" s="637"/>
      <c r="EV7" s="637"/>
      <c r="EW7" s="637"/>
      <c r="EX7" s="637"/>
      <c r="EY7" s="637"/>
      <c r="EZ7" s="637"/>
      <c r="FA7" s="637"/>
      <c r="FB7" s="637"/>
      <c r="FC7" s="637"/>
      <c r="FD7" s="637"/>
      <c r="FE7" s="637"/>
      <c r="FF7" s="637"/>
      <c r="FG7" s="637"/>
      <c r="FH7" s="637"/>
      <c r="FI7" s="637"/>
      <c r="FJ7" s="637"/>
      <c r="FK7" s="637"/>
      <c r="FL7" s="637"/>
      <c r="FM7" s="637"/>
      <c r="FN7" s="637"/>
      <c r="FO7" s="637"/>
      <c r="FP7" s="637"/>
      <c r="FQ7" s="637"/>
      <c r="FR7" s="637"/>
      <c r="FS7" s="637"/>
      <c r="FT7" s="637"/>
      <c r="FU7" s="637"/>
      <c r="FV7" s="637"/>
      <c r="FW7" s="637"/>
      <c r="FX7" s="637"/>
      <c r="FY7" s="637"/>
      <c r="FZ7" s="637"/>
      <c r="GA7" s="637"/>
      <c r="GB7" s="637"/>
      <c r="GC7" s="637"/>
      <c r="GD7" s="637"/>
      <c r="GE7" s="637"/>
      <c r="GF7" s="637"/>
      <c r="GG7" s="637"/>
      <c r="GH7" s="637"/>
      <c r="GI7" s="637"/>
      <c r="GJ7" s="637"/>
      <c r="GK7" s="637"/>
      <c r="GL7" s="637"/>
      <c r="GM7" s="637"/>
      <c r="GN7" s="637"/>
      <c r="GO7" s="637"/>
      <c r="GP7" s="637"/>
      <c r="GQ7" s="637"/>
      <c r="GR7" s="637"/>
      <c r="GS7" s="637"/>
      <c r="GT7" s="637"/>
      <c r="GU7" s="637"/>
      <c r="GV7" s="637"/>
      <c r="GW7" s="637"/>
      <c r="GX7" s="637"/>
      <c r="GY7" s="637"/>
      <c r="GZ7" s="637"/>
      <c r="HA7" s="637"/>
      <c r="HB7" s="637"/>
      <c r="HC7" s="637"/>
      <c r="HD7" s="637"/>
      <c r="HE7" s="637"/>
      <c r="HF7" s="637"/>
      <c r="HG7" s="637"/>
      <c r="HH7" s="637"/>
      <c r="HI7" s="637"/>
      <c r="HJ7" s="637"/>
      <c r="HK7" s="637"/>
      <c r="HL7" s="637"/>
      <c r="HM7" s="637"/>
      <c r="HN7" s="637"/>
      <c r="HO7" s="637"/>
      <c r="HP7" s="637"/>
      <c r="HQ7" s="637"/>
      <c r="HR7" s="637"/>
      <c r="HS7" s="637"/>
      <c r="HT7" s="637"/>
      <c r="HU7" s="637"/>
      <c r="HV7" s="637"/>
      <c r="HW7" s="637"/>
      <c r="HX7" s="637"/>
      <c r="HY7" s="637"/>
      <c r="HZ7" s="637"/>
      <c r="IA7" s="637"/>
      <c r="IB7" s="637"/>
      <c r="IC7" s="637"/>
      <c r="ID7" s="637"/>
      <c r="IE7" s="637"/>
      <c r="IF7" s="637"/>
      <c r="IG7" s="637"/>
      <c r="IH7" s="637"/>
      <c r="II7" s="637"/>
      <c r="IJ7" s="637"/>
      <c r="IK7" s="637"/>
      <c r="IL7" s="637"/>
      <c r="IM7" s="637"/>
      <c r="IN7" s="637"/>
      <c r="IO7" s="637"/>
      <c r="IP7" s="637"/>
      <c r="IQ7" s="637"/>
      <c r="IR7" s="637"/>
      <c r="IS7" s="637"/>
      <c r="IT7" s="637"/>
      <c r="IU7" s="637"/>
      <c r="IV7" s="637"/>
      <c r="IW7" s="637"/>
      <c r="IX7" s="637"/>
      <c r="IY7" s="637"/>
      <c r="IZ7" s="637"/>
      <c r="JA7" s="637"/>
      <c r="JB7" s="637"/>
      <c r="JC7" s="637"/>
      <c r="JD7" s="637"/>
      <c r="JE7" s="637"/>
      <c r="JF7" s="637"/>
      <c r="JG7" s="637"/>
      <c r="JH7" s="637"/>
      <c r="JI7" s="637"/>
      <c r="JJ7" s="637"/>
      <c r="JK7" s="637"/>
      <c r="JL7" s="637"/>
      <c r="JM7" s="637"/>
      <c r="JN7" s="637"/>
      <c r="JO7" s="637"/>
      <c r="JP7" s="637"/>
      <c r="JQ7" s="637"/>
      <c r="JR7" s="637"/>
      <c r="JS7" s="637"/>
      <c r="JT7" s="637"/>
      <c r="JU7" s="637"/>
      <c r="JV7" s="637"/>
      <c r="JW7" s="637"/>
      <c r="JX7" s="637"/>
      <c r="JY7" s="637"/>
      <c r="JZ7" s="637"/>
      <c r="KA7" s="637"/>
      <c r="KB7" s="637"/>
      <c r="KC7" s="637"/>
      <c r="KD7" s="637"/>
      <c r="KE7" s="637"/>
      <c r="KF7" s="637"/>
      <c r="KG7" s="637"/>
      <c r="KH7" s="637"/>
      <c r="KI7" s="637"/>
      <c r="KJ7" s="637"/>
      <c r="KK7" s="637"/>
      <c r="KL7" s="637"/>
      <c r="KM7" s="637"/>
      <c r="KN7" s="637"/>
      <c r="KO7" s="637"/>
      <c r="KP7" s="637"/>
      <c r="KQ7" s="637"/>
      <c r="KR7" s="637"/>
      <c r="KS7" s="637"/>
      <c r="KT7" s="637"/>
      <c r="KU7" s="637"/>
      <c r="KV7" s="637"/>
      <c r="KW7" s="637"/>
      <c r="KX7" s="637"/>
      <c r="KY7" s="637"/>
      <c r="KZ7" s="637"/>
      <c r="LA7" s="637"/>
      <c r="LB7" s="637"/>
      <c r="LC7" s="637"/>
      <c r="LD7" s="637"/>
      <c r="LE7" s="637"/>
      <c r="LF7" s="637"/>
      <c r="LG7" s="637"/>
      <c r="LH7" s="637"/>
      <c r="LI7" s="637"/>
      <c r="LJ7" s="637"/>
      <c r="LK7" s="637"/>
      <c r="LL7" s="637"/>
      <c r="LM7" s="637"/>
      <c r="LN7" s="637"/>
      <c r="LO7" s="637"/>
      <c r="LP7" s="637"/>
      <c r="LQ7" s="637"/>
      <c r="LR7" s="637"/>
      <c r="LS7" s="637"/>
      <c r="LT7" s="637"/>
      <c r="LU7" s="637"/>
      <c r="LV7" s="637"/>
      <c r="LW7" s="637"/>
      <c r="LX7" s="637"/>
      <c r="LY7" s="637"/>
      <c r="LZ7" s="637"/>
      <c r="MA7" s="637"/>
      <c r="MB7" s="637"/>
      <c r="MC7" s="637"/>
      <c r="MD7" s="637"/>
      <c r="ME7" s="637"/>
      <c r="MF7" s="637"/>
      <c r="MG7" s="637"/>
      <c r="MH7" s="637"/>
      <c r="MI7" s="637"/>
      <c r="MJ7" s="637"/>
      <c r="MK7" s="637"/>
      <c r="ML7" s="637"/>
      <c r="MM7" s="637"/>
      <c r="MN7" s="637"/>
      <c r="MO7" s="637"/>
      <c r="MP7" s="637"/>
      <c r="MQ7" s="637"/>
      <c r="MR7" s="637"/>
      <c r="MS7" s="637"/>
      <c r="MT7" s="637"/>
      <c r="MU7" s="637"/>
      <c r="MV7" s="637"/>
      <c r="MW7" s="637"/>
      <c r="MX7" s="637"/>
      <c r="MY7" s="637"/>
      <c r="MZ7" s="637"/>
      <c r="NA7" s="637"/>
      <c r="NB7" s="637"/>
      <c r="NC7" s="637"/>
      <c r="ND7" s="637"/>
      <c r="NE7" s="637"/>
      <c r="NF7" s="637"/>
      <c r="NG7" s="637"/>
      <c r="NH7" s="637"/>
      <c r="NI7" s="637"/>
      <c r="NJ7" s="637"/>
      <c r="NK7" s="637"/>
      <c r="NL7" s="637"/>
      <c r="NM7" s="637"/>
      <c r="NN7" s="637"/>
      <c r="NO7" s="637"/>
      <c r="NP7" s="637"/>
      <c r="NQ7" s="637"/>
      <c r="NR7" s="637"/>
      <c r="NS7" s="637"/>
      <c r="NT7" s="637"/>
      <c r="NU7" s="637"/>
      <c r="NV7" s="637"/>
      <c r="NW7" s="637"/>
      <c r="NX7" s="637"/>
      <c r="NY7" s="637"/>
      <c r="NZ7" s="637"/>
      <c r="OA7" s="637"/>
      <c r="OB7" s="637"/>
      <c r="OC7" s="637"/>
      <c r="OD7" s="637"/>
      <c r="OE7" s="637"/>
      <c r="OF7" s="637"/>
      <c r="OG7" s="637"/>
      <c r="OH7" s="637"/>
      <c r="OI7" s="637"/>
      <c r="OJ7" s="637"/>
      <c r="OK7" s="637"/>
      <c r="OL7" s="637"/>
      <c r="OM7" s="637"/>
      <c r="ON7" s="637"/>
      <c r="OO7" s="637"/>
      <c r="OP7" s="637"/>
      <c r="OQ7" s="637"/>
      <c r="OR7" s="637"/>
      <c r="OS7" s="637"/>
      <c r="OT7" s="637"/>
      <c r="OU7" s="637"/>
      <c r="OV7" s="637"/>
      <c r="OW7" s="637"/>
      <c r="OX7" s="637"/>
      <c r="OY7" s="637"/>
      <c r="OZ7" s="637"/>
      <c r="PA7" s="637"/>
      <c r="PB7" s="637"/>
      <c r="PC7" s="637"/>
      <c r="PD7" s="637"/>
      <c r="PE7" s="637"/>
      <c r="PF7" s="637"/>
      <c r="PG7" s="637"/>
      <c r="PH7" s="637"/>
      <c r="PI7" s="637"/>
      <c r="PJ7" s="637"/>
      <c r="PK7" s="637"/>
      <c r="PL7" s="637"/>
      <c r="PM7" s="637"/>
      <c r="PN7" s="637"/>
      <c r="PO7" s="637"/>
      <c r="PP7" s="637"/>
      <c r="PQ7" s="637"/>
      <c r="PR7" s="637"/>
      <c r="PS7" s="637"/>
      <c r="PT7" s="637"/>
      <c r="PU7" s="637"/>
      <c r="PV7" s="637"/>
      <c r="PW7" s="637"/>
      <c r="PX7" s="637"/>
      <c r="PY7" s="637"/>
      <c r="PZ7" s="637"/>
      <c r="QA7" s="637"/>
      <c r="QB7" s="637"/>
      <c r="QC7" s="637"/>
      <c r="QD7" s="637"/>
      <c r="QE7" s="637"/>
      <c r="QF7" s="637"/>
      <c r="QG7" s="637"/>
      <c r="QH7" s="637"/>
      <c r="QI7" s="637"/>
      <c r="QJ7" s="637"/>
      <c r="QK7" s="637"/>
      <c r="QL7" s="637"/>
      <c r="QM7" s="637"/>
      <c r="QN7" s="637"/>
      <c r="QO7" s="637"/>
      <c r="QP7" s="637"/>
      <c r="QQ7" s="637"/>
      <c r="QR7" s="637"/>
      <c r="QS7" s="637"/>
      <c r="QT7" s="637"/>
      <c r="QU7" s="637"/>
      <c r="QV7" s="637"/>
      <c r="QW7" s="637"/>
      <c r="QX7" s="637"/>
      <c r="QY7" s="637"/>
      <c r="QZ7" s="637"/>
      <c r="RA7" s="637"/>
      <c r="RB7" s="637"/>
      <c r="RC7" s="637"/>
      <c r="RD7" s="637"/>
      <c r="RE7" s="637"/>
      <c r="RF7" s="637"/>
      <c r="RG7" s="637"/>
      <c r="RH7" s="637"/>
      <c r="RI7" s="637"/>
      <c r="RJ7" s="637"/>
      <c r="RK7" s="637"/>
      <c r="RL7" s="637"/>
      <c r="RM7" s="637"/>
      <c r="RN7" s="637"/>
      <c r="RO7" s="637"/>
      <c r="RP7" s="637"/>
      <c r="RQ7" s="637"/>
      <c r="RR7" s="637"/>
      <c r="RS7" s="637"/>
      <c r="RT7" s="637"/>
      <c r="RU7" s="637"/>
      <c r="RV7" s="637"/>
      <c r="RW7" s="637"/>
      <c r="RX7" s="637"/>
      <c r="RY7" s="637"/>
      <c r="RZ7" s="637"/>
      <c r="SA7" s="637"/>
      <c r="SB7" s="637"/>
      <c r="SC7" s="637"/>
      <c r="SD7" s="637"/>
      <c r="SE7" s="637"/>
      <c r="SF7" s="637"/>
      <c r="SG7" s="637"/>
      <c r="SH7" s="637"/>
      <c r="SI7" s="637"/>
      <c r="SJ7" s="637"/>
      <c r="SK7" s="637"/>
      <c r="SL7" s="637"/>
      <c r="SM7" s="637"/>
      <c r="SN7" s="637"/>
      <c r="SO7" s="637"/>
      <c r="SP7" s="637"/>
      <c r="SQ7" s="637"/>
      <c r="SR7" s="637"/>
      <c r="SS7" s="637"/>
      <c r="ST7" s="637"/>
      <c r="SU7" s="637"/>
      <c r="SV7" s="637"/>
      <c r="SW7" s="637"/>
      <c r="SX7" s="637"/>
      <c r="SY7" s="637"/>
      <c r="SZ7" s="637"/>
      <c r="TA7" s="637"/>
      <c r="TB7" s="637"/>
      <c r="TC7" s="637"/>
      <c r="TD7" s="637"/>
      <c r="TE7" s="637"/>
      <c r="TF7" s="637"/>
      <c r="TG7" s="637"/>
      <c r="TH7" s="637"/>
      <c r="TI7" s="637"/>
      <c r="TJ7" s="637"/>
      <c r="TK7" s="637"/>
      <c r="TL7" s="637"/>
      <c r="TM7" s="637"/>
      <c r="TN7" s="637"/>
      <c r="TO7" s="637"/>
      <c r="TP7" s="637"/>
      <c r="TQ7" s="637"/>
      <c r="TR7" s="637"/>
      <c r="TS7" s="637"/>
      <c r="TT7" s="637"/>
      <c r="TU7" s="637"/>
      <c r="TV7" s="637"/>
      <c r="TW7" s="637"/>
      <c r="TX7" s="637"/>
      <c r="TY7" s="637"/>
      <c r="TZ7" s="637"/>
      <c r="UA7" s="637"/>
      <c r="UB7" s="637"/>
      <c r="UC7" s="637"/>
      <c r="UD7" s="637"/>
      <c r="UE7" s="637"/>
      <c r="UF7" s="637"/>
      <c r="UG7" s="637"/>
      <c r="UH7" s="637"/>
      <c r="UI7" s="637"/>
      <c r="UJ7" s="637"/>
      <c r="UK7" s="637"/>
      <c r="UL7" s="637"/>
      <c r="UM7" s="637"/>
      <c r="UN7" s="637"/>
      <c r="UO7" s="637"/>
      <c r="UP7" s="637"/>
      <c r="UQ7" s="637"/>
      <c r="UR7" s="637"/>
      <c r="US7" s="637"/>
      <c r="UT7" s="637"/>
      <c r="UU7" s="637"/>
      <c r="UV7" s="637"/>
      <c r="UW7" s="637"/>
      <c r="UX7" s="637"/>
      <c r="UY7" s="637"/>
      <c r="UZ7" s="637"/>
      <c r="VA7" s="637"/>
      <c r="VB7" s="637"/>
      <c r="VC7" s="637"/>
      <c r="VD7" s="637"/>
      <c r="VE7" s="637"/>
      <c r="VF7" s="637"/>
      <c r="VG7" s="637"/>
      <c r="VH7" s="637"/>
      <c r="VI7" s="637"/>
      <c r="VJ7" s="637"/>
      <c r="VK7" s="637"/>
      <c r="VL7" s="637"/>
      <c r="VM7" s="637"/>
      <c r="VN7" s="637"/>
      <c r="VO7" s="637"/>
      <c r="VP7" s="637"/>
      <c r="VQ7" s="637"/>
      <c r="VR7" s="637"/>
      <c r="VS7" s="637"/>
      <c r="VT7" s="637"/>
      <c r="VU7" s="637"/>
      <c r="VV7" s="637"/>
      <c r="VW7" s="637"/>
      <c r="VX7" s="637"/>
      <c r="VY7" s="637"/>
      <c r="VZ7" s="637"/>
      <c r="WA7" s="637"/>
      <c r="WB7" s="637"/>
      <c r="WC7" s="637"/>
      <c r="WD7" s="637"/>
      <c r="WE7" s="637"/>
      <c r="WF7" s="637"/>
      <c r="WG7" s="637"/>
      <c r="WH7" s="637"/>
      <c r="WI7" s="637"/>
      <c r="WJ7" s="637"/>
      <c r="WK7" s="637"/>
      <c r="WL7" s="637"/>
      <c r="WM7" s="637"/>
      <c r="WN7" s="637"/>
      <c r="WO7" s="637"/>
      <c r="WP7" s="637"/>
      <c r="WQ7" s="637"/>
      <c r="WR7" s="637"/>
      <c r="WS7" s="637"/>
      <c r="WT7" s="637"/>
      <c r="WU7" s="637"/>
      <c r="WV7" s="637"/>
      <c r="WW7" s="637"/>
      <c r="WX7" s="637"/>
      <c r="WY7" s="637"/>
      <c r="WZ7" s="637"/>
      <c r="XA7" s="637"/>
      <c r="XB7" s="637"/>
      <c r="XC7" s="637"/>
      <c r="XD7" s="637"/>
      <c r="XE7" s="637"/>
      <c r="XF7" s="637"/>
      <c r="XG7" s="637"/>
      <c r="XH7" s="637"/>
      <c r="XI7" s="637"/>
      <c r="XJ7" s="637"/>
      <c r="XK7" s="637"/>
      <c r="XL7" s="637"/>
      <c r="XM7" s="637"/>
      <c r="XN7" s="637"/>
      <c r="XO7" s="637"/>
      <c r="XP7" s="637"/>
      <c r="XQ7" s="637"/>
      <c r="XR7" s="637"/>
      <c r="XS7" s="637"/>
      <c r="XT7" s="637"/>
      <c r="XU7" s="637"/>
      <c r="XV7" s="637"/>
      <c r="XW7" s="637"/>
      <c r="XX7" s="637"/>
      <c r="XY7" s="637"/>
      <c r="XZ7" s="637"/>
      <c r="YA7" s="637"/>
      <c r="YB7" s="637"/>
      <c r="YC7" s="637"/>
      <c r="YD7" s="637"/>
      <c r="YE7" s="637"/>
      <c r="YF7" s="637"/>
      <c r="YG7" s="637"/>
      <c r="YH7" s="637"/>
      <c r="YI7" s="637"/>
      <c r="YJ7" s="637"/>
      <c r="YK7" s="637"/>
      <c r="YL7" s="637"/>
      <c r="YM7" s="637"/>
      <c r="YN7" s="637"/>
      <c r="YO7" s="637"/>
      <c r="YP7" s="637"/>
      <c r="YQ7" s="637"/>
      <c r="YR7" s="637"/>
      <c r="YS7" s="637"/>
      <c r="YT7" s="637"/>
      <c r="YU7" s="637"/>
      <c r="YV7" s="637"/>
      <c r="YW7" s="637"/>
      <c r="YX7" s="637"/>
      <c r="YY7" s="637"/>
      <c r="YZ7" s="637"/>
      <c r="ZA7" s="637"/>
      <c r="ZB7" s="637"/>
      <c r="ZC7" s="637"/>
      <c r="ZD7" s="637"/>
      <c r="ZE7" s="637"/>
      <c r="ZF7" s="637"/>
      <c r="ZG7" s="637"/>
      <c r="ZH7" s="637"/>
      <c r="ZI7" s="637"/>
      <c r="ZJ7" s="637"/>
      <c r="ZK7" s="637"/>
      <c r="ZL7" s="637"/>
      <c r="ZM7" s="637"/>
      <c r="ZN7" s="637"/>
      <c r="ZO7" s="637"/>
      <c r="ZP7" s="637"/>
      <c r="ZQ7" s="637"/>
      <c r="ZR7" s="637"/>
      <c r="ZS7" s="637"/>
      <c r="ZT7" s="637"/>
      <c r="ZU7" s="637"/>
      <c r="ZV7" s="637"/>
      <c r="ZW7" s="637"/>
      <c r="ZX7" s="637"/>
      <c r="ZY7" s="637"/>
      <c r="ZZ7" s="637"/>
      <c r="AAA7" s="637"/>
      <c r="AAB7" s="637"/>
      <c r="AAC7" s="637"/>
      <c r="AAD7" s="637"/>
      <c r="AAE7" s="637"/>
      <c r="AAF7" s="637"/>
      <c r="AAG7" s="637"/>
      <c r="AAH7" s="637"/>
      <c r="AAI7" s="637"/>
      <c r="AAJ7" s="637"/>
      <c r="AAK7" s="637"/>
      <c r="AAL7" s="637"/>
      <c r="AAM7" s="637"/>
      <c r="AAN7" s="637"/>
      <c r="AAO7" s="637"/>
      <c r="AAP7" s="637"/>
      <c r="AAQ7" s="637"/>
      <c r="AAR7" s="637"/>
      <c r="AAS7" s="637"/>
      <c r="AAT7" s="637"/>
      <c r="AAU7" s="637"/>
      <c r="AAV7" s="637"/>
      <c r="AAW7" s="637"/>
      <c r="AAX7" s="637"/>
      <c r="AAY7" s="637"/>
      <c r="AAZ7" s="637"/>
      <c r="ABA7" s="637"/>
      <c r="ABB7" s="637"/>
      <c r="ABC7" s="637"/>
      <c r="ABD7" s="637"/>
      <c r="ABE7" s="637"/>
      <c r="ABF7" s="637"/>
      <c r="ABG7" s="637"/>
      <c r="ABH7" s="637"/>
      <c r="ABI7" s="637"/>
      <c r="ABJ7" s="637"/>
      <c r="ABK7" s="637"/>
      <c r="ABL7" s="637"/>
      <c r="ABM7" s="637"/>
      <c r="ABN7" s="637"/>
      <c r="ABO7" s="637"/>
      <c r="ABP7" s="637"/>
      <c r="ABQ7" s="637"/>
      <c r="ABR7" s="637"/>
      <c r="ABS7" s="637"/>
      <c r="ABT7" s="637"/>
      <c r="ABU7" s="637"/>
      <c r="ABV7" s="637"/>
      <c r="ABW7" s="637"/>
      <c r="ABX7" s="637"/>
      <c r="ABY7" s="637"/>
      <c r="ABZ7" s="637"/>
      <c r="ACA7" s="637"/>
      <c r="ACB7" s="637"/>
      <c r="ACC7" s="637"/>
      <c r="ACD7" s="637"/>
      <c r="ACE7" s="637"/>
      <c r="ACF7" s="637"/>
      <c r="ACG7" s="637"/>
      <c r="ACH7" s="637"/>
      <c r="ACI7" s="637"/>
      <c r="ACJ7" s="637"/>
      <c r="ACK7" s="637"/>
      <c r="ACL7" s="637"/>
      <c r="ACM7" s="637"/>
      <c r="ACN7" s="637"/>
      <c r="ACO7" s="637"/>
      <c r="ACP7" s="637"/>
      <c r="ACQ7" s="637"/>
      <c r="ACR7" s="637"/>
      <c r="ACS7" s="637"/>
      <c r="ACT7" s="637"/>
      <c r="ACU7" s="637"/>
      <c r="ACV7" s="637"/>
      <c r="ACW7" s="637"/>
      <c r="ACX7" s="637"/>
      <c r="ACY7" s="637"/>
      <c r="ACZ7" s="637"/>
      <c r="ADA7" s="637"/>
      <c r="ADB7" s="637"/>
      <c r="ADC7" s="637"/>
      <c r="ADD7" s="637"/>
      <c r="ADE7" s="637"/>
      <c r="ADF7" s="637"/>
      <c r="ADG7" s="637"/>
      <c r="ADH7" s="637"/>
      <c r="ADI7" s="637"/>
      <c r="ADJ7" s="637"/>
      <c r="ADK7" s="637"/>
      <c r="ADL7" s="637"/>
      <c r="ADM7" s="637"/>
      <c r="ADN7" s="637"/>
      <c r="ADO7" s="637"/>
      <c r="ADP7" s="637"/>
      <c r="ADQ7" s="637"/>
      <c r="ADR7" s="637"/>
      <c r="ADS7" s="637"/>
      <c r="ADT7" s="637"/>
      <c r="ADU7" s="637"/>
      <c r="ADV7" s="637"/>
      <c r="ADW7" s="637"/>
      <c r="ADX7" s="637"/>
      <c r="ADY7" s="637"/>
      <c r="ADZ7" s="637"/>
      <c r="AEA7" s="637"/>
      <c r="AEB7" s="637"/>
      <c r="AEC7" s="637"/>
      <c r="AED7" s="637"/>
      <c r="AEE7" s="637"/>
      <c r="AEF7" s="637"/>
      <c r="AEG7" s="637"/>
      <c r="AEH7" s="637"/>
      <c r="AEI7" s="637"/>
      <c r="AEJ7" s="637"/>
      <c r="AEK7" s="637"/>
      <c r="AEL7" s="637"/>
      <c r="AEM7" s="637"/>
      <c r="AEN7" s="637"/>
      <c r="AEO7" s="637"/>
      <c r="AEP7" s="637"/>
      <c r="AEQ7" s="637"/>
      <c r="AER7" s="637"/>
      <c r="AES7" s="637"/>
      <c r="AET7" s="637"/>
      <c r="AEU7" s="637"/>
      <c r="AEV7" s="637"/>
      <c r="AEW7" s="637"/>
      <c r="AEX7" s="637"/>
      <c r="AEY7" s="637"/>
      <c r="AEZ7" s="637"/>
      <c r="AFA7" s="637"/>
      <c r="AFB7" s="637"/>
      <c r="AFC7" s="637"/>
      <c r="AFD7" s="637"/>
      <c r="AFE7" s="637"/>
      <c r="AFF7" s="637"/>
      <c r="AFG7" s="637"/>
      <c r="AFH7" s="637"/>
      <c r="AFI7" s="637"/>
      <c r="AFJ7" s="637"/>
      <c r="AFK7" s="637"/>
      <c r="AFL7" s="637"/>
      <c r="AFM7" s="637"/>
      <c r="AFN7" s="637"/>
      <c r="AFO7" s="637"/>
      <c r="AFP7" s="637"/>
      <c r="AFQ7" s="637"/>
      <c r="AFR7" s="637"/>
      <c r="AFS7" s="637"/>
      <c r="AFT7" s="637"/>
      <c r="AFU7" s="637"/>
      <c r="AFV7" s="637"/>
      <c r="AFW7" s="637"/>
      <c r="AFX7" s="637"/>
      <c r="AFY7" s="637"/>
      <c r="AFZ7" s="637"/>
      <c r="AGA7" s="637"/>
      <c r="AGB7" s="637"/>
      <c r="AGC7" s="637"/>
      <c r="AGD7" s="637"/>
      <c r="AGE7" s="637"/>
      <c r="AGF7" s="637"/>
      <c r="AGG7" s="637"/>
      <c r="AGH7" s="637"/>
      <c r="AGI7" s="637"/>
      <c r="AGJ7" s="637"/>
      <c r="AGK7" s="637"/>
      <c r="AGL7" s="637"/>
      <c r="AGM7" s="637"/>
      <c r="AGN7" s="637"/>
      <c r="AGO7" s="637"/>
      <c r="AGP7" s="637"/>
      <c r="AGQ7" s="637"/>
      <c r="AGR7" s="637"/>
      <c r="AGS7" s="637"/>
      <c r="AGT7" s="637"/>
      <c r="AGU7" s="637"/>
      <c r="AGV7" s="637"/>
      <c r="AGW7" s="637"/>
      <c r="AGX7" s="637"/>
      <c r="AGY7" s="637"/>
      <c r="AGZ7" s="637"/>
      <c r="AHA7" s="637"/>
      <c r="AHB7" s="637"/>
      <c r="AHC7" s="637"/>
      <c r="AHD7" s="637"/>
      <c r="AHE7" s="637"/>
      <c r="AHF7" s="637"/>
      <c r="AHG7" s="637"/>
      <c r="AHH7" s="637"/>
      <c r="AHI7" s="637"/>
      <c r="AHJ7" s="637"/>
      <c r="AHK7" s="637"/>
      <c r="AHL7" s="637"/>
      <c r="AHM7" s="637"/>
      <c r="AHN7" s="637"/>
      <c r="AHO7" s="637"/>
      <c r="AHP7" s="637"/>
      <c r="AHQ7" s="637"/>
      <c r="AHR7" s="637"/>
      <c r="AHS7" s="637"/>
      <c r="AHT7" s="637"/>
      <c r="AHU7" s="637"/>
      <c r="AHV7" s="637"/>
      <c r="AHW7" s="637"/>
      <c r="AHX7" s="637"/>
      <c r="AHY7" s="637"/>
      <c r="AHZ7" s="637"/>
      <c r="AIA7" s="637"/>
      <c r="AIB7" s="637"/>
      <c r="AIC7" s="637"/>
      <c r="AID7" s="637"/>
      <c r="AIE7" s="637"/>
      <c r="AIF7" s="637"/>
      <c r="AIG7" s="637"/>
      <c r="AIH7" s="637"/>
      <c r="AII7" s="637"/>
      <c r="AIJ7" s="637"/>
      <c r="AIK7" s="637"/>
      <c r="AIL7" s="637"/>
      <c r="AIM7" s="637"/>
      <c r="AIN7" s="637"/>
      <c r="AIO7" s="637"/>
      <c r="AIP7" s="637"/>
      <c r="AIQ7" s="637"/>
      <c r="AIR7" s="637"/>
      <c r="AIS7" s="637"/>
      <c r="AIT7" s="637"/>
      <c r="AIU7" s="637"/>
      <c r="AIV7" s="637"/>
      <c r="AIW7" s="637"/>
      <c r="AIX7" s="637"/>
      <c r="AIY7" s="637"/>
      <c r="AIZ7" s="637"/>
      <c r="AJA7" s="637"/>
      <c r="AJB7" s="637"/>
      <c r="AJC7" s="637"/>
      <c r="AJD7" s="637"/>
      <c r="AJE7" s="637"/>
      <c r="AJF7" s="637"/>
      <c r="AJG7" s="637"/>
      <c r="AJH7" s="637"/>
      <c r="AJI7" s="637"/>
      <c r="AJJ7" s="637"/>
      <c r="AJK7" s="637"/>
      <c r="AJL7" s="637"/>
      <c r="AJM7" s="637"/>
      <c r="AJN7" s="637"/>
      <c r="AJO7" s="637"/>
      <c r="AJP7" s="637"/>
      <c r="AJQ7" s="637"/>
      <c r="AJR7" s="637"/>
      <c r="AJS7" s="637"/>
      <c r="AJT7" s="637"/>
      <c r="AJU7" s="637"/>
      <c r="AJV7" s="637"/>
      <c r="AJW7" s="637"/>
      <c r="AJX7" s="637"/>
      <c r="AJY7" s="637"/>
      <c r="AJZ7" s="637"/>
      <c r="AKA7" s="637"/>
      <c r="AKB7" s="637"/>
      <c r="AKC7" s="637"/>
      <c r="AKD7" s="637"/>
      <c r="AKE7" s="637"/>
      <c r="AKF7" s="637"/>
      <c r="AKG7" s="637"/>
      <c r="AKH7" s="637"/>
      <c r="AKI7" s="637"/>
      <c r="AKJ7" s="637"/>
      <c r="AKK7" s="637"/>
      <c r="AKL7" s="637"/>
      <c r="AKM7" s="637"/>
      <c r="AKN7" s="637"/>
      <c r="AKO7" s="637"/>
      <c r="AKP7" s="637"/>
      <c r="AKQ7" s="637"/>
      <c r="AKR7" s="637"/>
      <c r="AKS7" s="637"/>
      <c r="AKT7" s="637"/>
      <c r="AKU7" s="637"/>
      <c r="AKV7" s="637"/>
      <c r="AKW7" s="637"/>
      <c r="AKX7" s="637"/>
      <c r="AKY7" s="637"/>
      <c r="AKZ7" s="637"/>
      <c r="ALA7" s="637"/>
      <c r="ALB7" s="637"/>
      <c r="ALC7" s="637"/>
      <c r="ALD7" s="637"/>
      <c r="ALE7" s="637"/>
      <c r="ALF7" s="637"/>
      <c r="ALG7" s="637"/>
      <c r="ALH7" s="637"/>
      <c r="ALI7" s="637"/>
      <c r="ALJ7" s="637"/>
      <c r="ALK7" s="637"/>
      <c r="ALL7" s="637"/>
      <c r="ALM7" s="637"/>
      <c r="ALN7" s="637"/>
      <c r="ALO7" s="637"/>
      <c r="ALP7" s="637"/>
      <c r="ALQ7" s="637"/>
      <c r="ALR7" s="637"/>
      <c r="ALS7" s="637"/>
      <c r="ALT7" s="637"/>
      <c r="ALU7" s="637"/>
      <c r="ALV7" s="637"/>
      <c r="ALW7" s="637"/>
      <c r="ALX7" s="637"/>
      <c r="ALY7" s="637"/>
      <c r="ALZ7" s="637"/>
      <c r="AMA7" s="637"/>
      <c r="AMB7" s="637"/>
      <c r="AMC7" s="637"/>
      <c r="AMD7" s="637"/>
      <c r="AME7" s="637"/>
      <c r="AMF7" s="637"/>
      <c r="AMG7" s="637"/>
      <c r="AMH7" s="637"/>
      <c r="AMI7" s="637"/>
      <c r="AMJ7" s="637"/>
    </row>
    <row r="8" spans="1:1024" s="638" customFormat="1" ht="12.75">
      <c r="A8" s="984"/>
      <c r="B8" s="985"/>
      <c r="C8" s="986"/>
      <c r="D8" s="981" t="s">
        <v>861</v>
      </c>
      <c r="E8" s="982">
        <f>2498+715</f>
        <v>3213</v>
      </c>
      <c r="F8" s="982">
        <f t="shared" si="0"/>
        <v>450499</v>
      </c>
      <c r="G8" s="987">
        <f>222053-4294-3500</f>
        <v>214259</v>
      </c>
      <c r="H8" s="987">
        <f>72672-780</f>
        <v>71892</v>
      </c>
      <c r="I8" s="987">
        <f>130011-1633</f>
        <v>128378</v>
      </c>
      <c r="J8" s="987"/>
      <c r="K8" s="987"/>
      <c r="L8" s="987"/>
      <c r="M8" s="987">
        <v>185</v>
      </c>
      <c r="N8" s="987">
        <f>32785+3000</f>
        <v>35785</v>
      </c>
      <c r="O8" s="987"/>
      <c r="P8" s="987"/>
      <c r="Q8" s="987"/>
      <c r="R8" s="984"/>
      <c r="S8" s="637"/>
      <c r="T8" s="637"/>
      <c r="U8" s="637"/>
      <c r="V8" s="637"/>
      <c r="W8" s="637"/>
      <c r="X8" s="637"/>
      <c r="Y8" s="637"/>
      <c r="Z8" s="637"/>
      <c r="AA8" s="637"/>
      <c r="AB8" s="637"/>
      <c r="AC8" s="637"/>
      <c r="AD8" s="637"/>
      <c r="AE8" s="637"/>
      <c r="AF8" s="637"/>
      <c r="AG8" s="637"/>
      <c r="AH8" s="637"/>
      <c r="AI8" s="637"/>
      <c r="AJ8" s="637"/>
      <c r="AK8" s="637"/>
      <c r="AL8" s="637"/>
      <c r="AM8" s="637"/>
      <c r="AN8" s="637"/>
      <c r="AO8" s="637"/>
      <c r="AP8" s="637"/>
      <c r="AQ8" s="637"/>
      <c r="AR8" s="637"/>
      <c r="AS8" s="637"/>
      <c r="AT8" s="637"/>
      <c r="AU8" s="637"/>
      <c r="AV8" s="637"/>
      <c r="AW8" s="637"/>
      <c r="AX8" s="637"/>
      <c r="AY8" s="637"/>
      <c r="AZ8" s="637"/>
      <c r="BA8" s="637"/>
      <c r="BB8" s="637"/>
      <c r="BC8" s="637"/>
      <c r="BD8" s="637"/>
      <c r="BE8" s="637"/>
      <c r="BF8" s="637"/>
      <c r="BG8" s="637"/>
      <c r="BH8" s="637"/>
      <c r="BI8" s="637"/>
      <c r="BJ8" s="637"/>
      <c r="BK8" s="637"/>
      <c r="BL8" s="637"/>
      <c r="BM8" s="637"/>
      <c r="BN8" s="637"/>
      <c r="BO8" s="637"/>
      <c r="BP8" s="637"/>
      <c r="BQ8" s="637"/>
      <c r="BR8" s="637"/>
      <c r="BS8" s="637"/>
      <c r="BT8" s="637"/>
      <c r="BU8" s="637"/>
      <c r="BV8" s="637"/>
      <c r="BW8" s="637"/>
      <c r="BX8" s="637"/>
      <c r="BY8" s="637"/>
      <c r="BZ8" s="637"/>
      <c r="CA8" s="637"/>
      <c r="CB8" s="637"/>
      <c r="CC8" s="637"/>
      <c r="CD8" s="637"/>
      <c r="CE8" s="637"/>
      <c r="CF8" s="637"/>
      <c r="CG8" s="637"/>
      <c r="CH8" s="637"/>
      <c r="CI8" s="637"/>
      <c r="CJ8" s="637"/>
      <c r="CK8" s="637"/>
      <c r="CL8" s="637"/>
      <c r="CM8" s="637"/>
      <c r="CN8" s="637"/>
      <c r="CO8" s="637"/>
      <c r="CP8" s="637"/>
      <c r="CQ8" s="637"/>
      <c r="CR8" s="637"/>
      <c r="CS8" s="637"/>
      <c r="CT8" s="637"/>
      <c r="CU8" s="637"/>
      <c r="CV8" s="637"/>
      <c r="CW8" s="637"/>
      <c r="CX8" s="637"/>
      <c r="CY8" s="637"/>
      <c r="CZ8" s="637"/>
      <c r="DA8" s="637"/>
      <c r="DB8" s="637"/>
      <c r="DC8" s="637"/>
      <c r="DD8" s="637"/>
      <c r="DE8" s="637"/>
      <c r="DF8" s="637"/>
      <c r="DG8" s="637"/>
      <c r="DH8" s="637"/>
      <c r="DI8" s="637"/>
      <c r="DJ8" s="637"/>
      <c r="DK8" s="637"/>
      <c r="DL8" s="637"/>
      <c r="DM8" s="637"/>
      <c r="DN8" s="637"/>
      <c r="DO8" s="637"/>
      <c r="DP8" s="637"/>
      <c r="DQ8" s="637"/>
      <c r="DR8" s="637"/>
      <c r="DS8" s="637"/>
      <c r="DT8" s="637"/>
      <c r="DU8" s="637"/>
      <c r="DV8" s="637"/>
      <c r="DW8" s="637"/>
      <c r="DX8" s="637"/>
      <c r="DY8" s="637"/>
      <c r="DZ8" s="637"/>
      <c r="EA8" s="637"/>
      <c r="EB8" s="637"/>
      <c r="EC8" s="637"/>
      <c r="ED8" s="637"/>
      <c r="EE8" s="637"/>
      <c r="EF8" s="637"/>
      <c r="EG8" s="637"/>
      <c r="EH8" s="637"/>
      <c r="EI8" s="637"/>
      <c r="EJ8" s="637"/>
      <c r="EK8" s="637"/>
      <c r="EL8" s="637"/>
      <c r="EM8" s="637"/>
      <c r="EN8" s="637"/>
      <c r="EO8" s="637"/>
      <c r="EP8" s="637"/>
      <c r="EQ8" s="637"/>
      <c r="ER8" s="637"/>
      <c r="ES8" s="637"/>
      <c r="ET8" s="637"/>
      <c r="EU8" s="637"/>
      <c r="EV8" s="637"/>
      <c r="EW8" s="637"/>
      <c r="EX8" s="637"/>
      <c r="EY8" s="637"/>
      <c r="EZ8" s="637"/>
      <c r="FA8" s="637"/>
      <c r="FB8" s="637"/>
      <c r="FC8" s="637"/>
      <c r="FD8" s="637"/>
      <c r="FE8" s="637"/>
      <c r="FF8" s="637"/>
      <c r="FG8" s="637"/>
      <c r="FH8" s="637"/>
      <c r="FI8" s="637"/>
      <c r="FJ8" s="637"/>
      <c r="FK8" s="637"/>
      <c r="FL8" s="637"/>
      <c r="FM8" s="637"/>
      <c r="FN8" s="637"/>
      <c r="FO8" s="637"/>
      <c r="FP8" s="637"/>
      <c r="FQ8" s="637"/>
      <c r="FR8" s="637"/>
      <c r="FS8" s="637"/>
      <c r="FT8" s="637"/>
      <c r="FU8" s="637"/>
      <c r="FV8" s="637"/>
      <c r="FW8" s="637"/>
      <c r="FX8" s="637"/>
      <c r="FY8" s="637"/>
      <c r="FZ8" s="637"/>
      <c r="GA8" s="637"/>
      <c r="GB8" s="637"/>
      <c r="GC8" s="637"/>
      <c r="GD8" s="637"/>
      <c r="GE8" s="637"/>
      <c r="GF8" s="637"/>
      <c r="GG8" s="637"/>
      <c r="GH8" s="637"/>
      <c r="GI8" s="637"/>
      <c r="GJ8" s="637"/>
      <c r="GK8" s="637"/>
      <c r="GL8" s="637"/>
      <c r="GM8" s="637"/>
      <c r="GN8" s="637"/>
      <c r="GO8" s="637"/>
      <c r="GP8" s="637"/>
      <c r="GQ8" s="637"/>
      <c r="GR8" s="637"/>
      <c r="GS8" s="637"/>
      <c r="GT8" s="637"/>
      <c r="GU8" s="637"/>
      <c r="GV8" s="637"/>
      <c r="GW8" s="637"/>
      <c r="GX8" s="637"/>
      <c r="GY8" s="637"/>
      <c r="GZ8" s="637"/>
      <c r="HA8" s="637"/>
      <c r="HB8" s="637"/>
      <c r="HC8" s="637"/>
      <c r="HD8" s="637"/>
      <c r="HE8" s="637"/>
      <c r="HF8" s="637"/>
      <c r="HG8" s="637"/>
      <c r="HH8" s="637"/>
      <c r="HI8" s="637"/>
      <c r="HJ8" s="637"/>
      <c r="HK8" s="637"/>
      <c r="HL8" s="637"/>
      <c r="HM8" s="637"/>
      <c r="HN8" s="637"/>
      <c r="HO8" s="637"/>
      <c r="HP8" s="637"/>
      <c r="HQ8" s="637"/>
      <c r="HR8" s="637"/>
      <c r="HS8" s="637"/>
      <c r="HT8" s="637"/>
      <c r="HU8" s="637"/>
      <c r="HV8" s="637"/>
      <c r="HW8" s="637"/>
      <c r="HX8" s="637"/>
      <c r="HY8" s="637"/>
      <c r="HZ8" s="637"/>
      <c r="IA8" s="637"/>
      <c r="IB8" s="637"/>
      <c r="IC8" s="637"/>
      <c r="ID8" s="637"/>
      <c r="IE8" s="637"/>
      <c r="IF8" s="637"/>
      <c r="IG8" s="637"/>
      <c r="IH8" s="637"/>
      <c r="II8" s="637"/>
      <c r="IJ8" s="637"/>
      <c r="IK8" s="637"/>
      <c r="IL8" s="637"/>
      <c r="IM8" s="637"/>
      <c r="IN8" s="637"/>
      <c r="IO8" s="637"/>
      <c r="IP8" s="637"/>
      <c r="IQ8" s="637"/>
      <c r="IR8" s="637"/>
      <c r="IS8" s="637"/>
      <c r="IT8" s="637"/>
      <c r="IU8" s="637"/>
      <c r="IV8" s="637"/>
      <c r="IW8" s="637"/>
      <c r="IX8" s="637"/>
      <c r="IY8" s="637"/>
      <c r="IZ8" s="637"/>
      <c r="JA8" s="637"/>
      <c r="JB8" s="637"/>
      <c r="JC8" s="637"/>
      <c r="JD8" s="637"/>
      <c r="JE8" s="637"/>
      <c r="JF8" s="637"/>
      <c r="JG8" s="637"/>
      <c r="JH8" s="637"/>
      <c r="JI8" s="637"/>
      <c r="JJ8" s="637"/>
      <c r="JK8" s="637"/>
      <c r="JL8" s="637"/>
      <c r="JM8" s="637"/>
      <c r="JN8" s="637"/>
      <c r="JO8" s="637"/>
      <c r="JP8" s="637"/>
      <c r="JQ8" s="637"/>
      <c r="JR8" s="637"/>
      <c r="JS8" s="637"/>
      <c r="JT8" s="637"/>
      <c r="JU8" s="637"/>
      <c r="JV8" s="637"/>
      <c r="JW8" s="637"/>
      <c r="JX8" s="637"/>
      <c r="JY8" s="637"/>
      <c r="JZ8" s="637"/>
      <c r="KA8" s="637"/>
      <c r="KB8" s="637"/>
      <c r="KC8" s="637"/>
      <c r="KD8" s="637"/>
      <c r="KE8" s="637"/>
      <c r="KF8" s="637"/>
      <c r="KG8" s="637"/>
      <c r="KH8" s="637"/>
      <c r="KI8" s="637"/>
      <c r="KJ8" s="637"/>
      <c r="KK8" s="637"/>
      <c r="KL8" s="637"/>
      <c r="KM8" s="637"/>
      <c r="KN8" s="637"/>
      <c r="KO8" s="637"/>
      <c r="KP8" s="637"/>
      <c r="KQ8" s="637"/>
      <c r="KR8" s="637"/>
      <c r="KS8" s="637"/>
      <c r="KT8" s="637"/>
      <c r="KU8" s="637"/>
      <c r="KV8" s="637"/>
      <c r="KW8" s="637"/>
      <c r="KX8" s="637"/>
      <c r="KY8" s="637"/>
      <c r="KZ8" s="637"/>
      <c r="LA8" s="637"/>
      <c r="LB8" s="637"/>
      <c r="LC8" s="637"/>
      <c r="LD8" s="637"/>
      <c r="LE8" s="637"/>
      <c r="LF8" s="637"/>
      <c r="LG8" s="637"/>
      <c r="LH8" s="637"/>
      <c r="LI8" s="637"/>
      <c r="LJ8" s="637"/>
      <c r="LK8" s="637"/>
      <c r="LL8" s="637"/>
      <c r="LM8" s="637"/>
      <c r="LN8" s="637"/>
      <c r="LO8" s="637"/>
      <c r="LP8" s="637"/>
      <c r="LQ8" s="637"/>
      <c r="LR8" s="637"/>
      <c r="LS8" s="637"/>
      <c r="LT8" s="637"/>
      <c r="LU8" s="637"/>
      <c r="LV8" s="637"/>
      <c r="LW8" s="637"/>
      <c r="LX8" s="637"/>
      <c r="LY8" s="637"/>
      <c r="LZ8" s="637"/>
      <c r="MA8" s="637"/>
      <c r="MB8" s="637"/>
      <c r="MC8" s="637"/>
      <c r="MD8" s="637"/>
      <c r="ME8" s="637"/>
      <c r="MF8" s="637"/>
      <c r="MG8" s="637"/>
      <c r="MH8" s="637"/>
      <c r="MI8" s="637"/>
      <c r="MJ8" s="637"/>
      <c r="MK8" s="637"/>
      <c r="ML8" s="637"/>
      <c r="MM8" s="637"/>
      <c r="MN8" s="637"/>
      <c r="MO8" s="637"/>
      <c r="MP8" s="637"/>
      <c r="MQ8" s="637"/>
      <c r="MR8" s="637"/>
      <c r="MS8" s="637"/>
      <c r="MT8" s="637"/>
      <c r="MU8" s="637"/>
      <c r="MV8" s="637"/>
      <c r="MW8" s="637"/>
      <c r="MX8" s="637"/>
      <c r="MY8" s="637"/>
      <c r="MZ8" s="637"/>
      <c r="NA8" s="637"/>
      <c r="NB8" s="637"/>
      <c r="NC8" s="637"/>
      <c r="ND8" s="637"/>
      <c r="NE8" s="637"/>
      <c r="NF8" s="637"/>
      <c r="NG8" s="637"/>
      <c r="NH8" s="637"/>
      <c r="NI8" s="637"/>
      <c r="NJ8" s="637"/>
      <c r="NK8" s="637"/>
      <c r="NL8" s="637"/>
      <c r="NM8" s="637"/>
      <c r="NN8" s="637"/>
      <c r="NO8" s="637"/>
      <c r="NP8" s="637"/>
      <c r="NQ8" s="637"/>
      <c r="NR8" s="637"/>
      <c r="NS8" s="637"/>
      <c r="NT8" s="637"/>
      <c r="NU8" s="637"/>
      <c r="NV8" s="637"/>
      <c r="NW8" s="637"/>
      <c r="NX8" s="637"/>
      <c r="NY8" s="637"/>
      <c r="NZ8" s="637"/>
      <c r="OA8" s="637"/>
      <c r="OB8" s="637"/>
      <c r="OC8" s="637"/>
      <c r="OD8" s="637"/>
      <c r="OE8" s="637"/>
      <c r="OF8" s="637"/>
      <c r="OG8" s="637"/>
      <c r="OH8" s="637"/>
      <c r="OI8" s="637"/>
      <c r="OJ8" s="637"/>
      <c r="OK8" s="637"/>
      <c r="OL8" s="637"/>
      <c r="OM8" s="637"/>
      <c r="ON8" s="637"/>
      <c r="OO8" s="637"/>
      <c r="OP8" s="637"/>
      <c r="OQ8" s="637"/>
      <c r="OR8" s="637"/>
      <c r="OS8" s="637"/>
      <c r="OT8" s="637"/>
      <c r="OU8" s="637"/>
      <c r="OV8" s="637"/>
      <c r="OW8" s="637"/>
      <c r="OX8" s="637"/>
      <c r="OY8" s="637"/>
      <c r="OZ8" s="637"/>
      <c r="PA8" s="637"/>
      <c r="PB8" s="637"/>
      <c r="PC8" s="637"/>
      <c r="PD8" s="637"/>
      <c r="PE8" s="637"/>
      <c r="PF8" s="637"/>
      <c r="PG8" s="637"/>
      <c r="PH8" s="637"/>
      <c r="PI8" s="637"/>
      <c r="PJ8" s="637"/>
      <c r="PK8" s="637"/>
      <c r="PL8" s="637"/>
      <c r="PM8" s="637"/>
      <c r="PN8" s="637"/>
      <c r="PO8" s="637"/>
      <c r="PP8" s="637"/>
      <c r="PQ8" s="637"/>
      <c r="PR8" s="637"/>
      <c r="PS8" s="637"/>
      <c r="PT8" s="637"/>
      <c r="PU8" s="637"/>
      <c r="PV8" s="637"/>
      <c r="PW8" s="637"/>
      <c r="PX8" s="637"/>
      <c r="PY8" s="637"/>
      <c r="PZ8" s="637"/>
      <c r="QA8" s="637"/>
      <c r="QB8" s="637"/>
      <c r="QC8" s="637"/>
      <c r="QD8" s="637"/>
      <c r="QE8" s="637"/>
      <c r="QF8" s="637"/>
      <c r="QG8" s="637"/>
      <c r="QH8" s="637"/>
      <c r="QI8" s="637"/>
      <c r="QJ8" s="637"/>
      <c r="QK8" s="637"/>
      <c r="QL8" s="637"/>
      <c r="QM8" s="637"/>
      <c r="QN8" s="637"/>
      <c r="QO8" s="637"/>
      <c r="QP8" s="637"/>
      <c r="QQ8" s="637"/>
      <c r="QR8" s="637"/>
      <c r="QS8" s="637"/>
      <c r="QT8" s="637"/>
      <c r="QU8" s="637"/>
      <c r="QV8" s="637"/>
      <c r="QW8" s="637"/>
      <c r="QX8" s="637"/>
      <c r="QY8" s="637"/>
      <c r="QZ8" s="637"/>
      <c r="RA8" s="637"/>
      <c r="RB8" s="637"/>
      <c r="RC8" s="637"/>
      <c r="RD8" s="637"/>
      <c r="RE8" s="637"/>
      <c r="RF8" s="637"/>
      <c r="RG8" s="637"/>
      <c r="RH8" s="637"/>
      <c r="RI8" s="637"/>
      <c r="RJ8" s="637"/>
      <c r="RK8" s="637"/>
      <c r="RL8" s="637"/>
      <c r="RM8" s="637"/>
      <c r="RN8" s="637"/>
      <c r="RO8" s="637"/>
      <c r="RP8" s="637"/>
      <c r="RQ8" s="637"/>
      <c r="RR8" s="637"/>
      <c r="RS8" s="637"/>
      <c r="RT8" s="637"/>
      <c r="RU8" s="637"/>
      <c r="RV8" s="637"/>
      <c r="RW8" s="637"/>
      <c r="RX8" s="637"/>
      <c r="RY8" s="637"/>
      <c r="RZ8" s="637"/>
      <c r="SA8" s="637"/>
      <c r="SB8" s="637"/>
      <c r="SC8" s="637"/>
      <c r="SD8" s="637"/>
      <c r="SE8" s="637"/>
      <c r="SF8" s="637"/>
      <c r="SG8" s="637"/>
      <c r="SH8" s="637"/>
      <c r="SI8" s="637"/>
      <c r="SJ8" s="637"/>
      <c r="SK8" s="637"/>
      <c r="SL8" s="637"/>
      <c r="SM8" s="637"/>
      <c r="SN8" s="637"/>
      <c r="SO8" s="637"/>
      <c r="SP8" s="637"/>
      <c r="SQ8" s="637"/>
      <c r="SR8" s="637"/>
      <c r="SS8" s="637"/>
      <c r="ST8" s="637"/>
      <c r="SU8" s="637"/>
      <c r="SV8" s="637"/>
      <c r="SW8" s="637"/>
      <c r="SX8" s="637"/>
      <c r="SY8" s="637"/>
      <c r="SZ8" s="637"/>
      <c r="TA8" s="637"/>
      <c r="TB8" s="637"/>
      <c r="TC8" s="637"/>
      <c r="TD8" s="637"/>
      <c r="TE8" s="637"/>
      <c r="TF8" s="637"/>
      <c r="TG8" s="637"/>
      <c r="TH8" s="637"/>
      <c r="TI8" s="637"/>
      <c r="TJ8" s="637"/>
      <c r="TK8" s="637"/>
      <c r="TL8" s="637"/>
      <c r="TM8" s="637"/>
      <c r="TN8" s="637"/>
      <c r="TO8" s="637"/>
      <c r="TP8" s="637"/>
      <c r="TQ8" s="637"/>
      <c r="TR8" s="637"/>
      <c r="TS8" s="637"/>
      <c r="TT8" s="637"/>
      <c r="TU8" s="637"/>
      <c r="TV8" s="637"/>
      <c r="TW8" s="637"/>
      <c r="TX8" s="637"/>
      <c r="TY8" s="637"/>
      <c r="TZ8" s="637"/>
      <c r="UA8" s="637"/>
      <c r="UB8" s="637"/>
      <c r="UC8" s="637"/>
      <c r="UD8" s="637"/>
      <c r="UE8" s="637"/>
      <c r="UF8" s="637"/>
      <c r="UG8" s="637"/>
      <c r="UH8" s="637"/>
      <c r="UI8" s="637"/>
      <c r="UJ8" s="637"/>
      <c r="UK8" s="637"/>
      <c r="UL8" s="637"/>
      <c r="UM8" s="637"/>
      <c r="UN8" s="637"/>
      <c r="UO8" s="637"/>
      <c r="UP8" s="637"/>
      <c r="UQ8" s="637"/>
      <c r="UR8" s="637"/>
      <c r="US8" s="637"/>
      <c r="UT8" s="637"/>
      <c r="UU8" s="637"/>
      <c r="UV8" s="637"/>
      <c r="UW8" s="637"/>
      <c r="UX8" s="637"/>
      <c r="UY8" s="637"/>
      <c r="UZ8" s="637"/>
      <c r="VA8" s="637"/>
      <c r="VB8" s="637"/>
      <c r="VC8" s="637"/>
      <c r="VD8" s="637"/>
      <c r="VE8" s="637"/>
      <c r="VF8" s="637"/>
      <c r="VG8" s="637"/>
      <c r="VH8" s="637"/>
      <c r="VI8" s="637"/>
      <c r="VJ8" s="637"/>
      <c r="VK8" s="637"/>
      <c r="VL8" s="637"/>
      <c r="VM8" s="637"/>
      <c r="VN8" s="637"/>
      <c r="VO8" s="637"/>
      <c r="VP8" s="637"/>
      <c r="VQ8" s="637"/>
      <c r="VR8" s="637"/>
      <c r="VS8" s="637"/>
      <c r="VT8" s="637"/>
      <c r="VU8" s="637"/>
      <c r="VV8" s="637"/>
      <c r="VW8" s="637"/>
      <c r="VX8" s="637"/>
      <c r="VY8" s="637"/>
      <c r="VZ8" s="637"/>
      <c r="WA8" s="637"/>
      <c r="WB8" s="637"/>
      <c r="WC8" s="637"/>
      <c r="WD8" s="637"/>
      <c r="WE8" s="637"/>
      <c r="WF8" s="637"/>
      <c r="WG8" s="637"/>
      <c r="WH8" s="637"/>
      <c r="WI8" s="637"/>
      <c r="WJ8" s="637"/>
      <c r="WK8" s="637"/>
      <c r="WL8" s="637"/>
      <c r="WM8" s="637"/>
      <c r="WN8" s="637"/>
      <c r="WO8" s="637"/>
      <c r="WP8" s="637"/>
      <c r="WQ8" s="637"/>
      <c r="WR8" s="637"/>
      <c r="WS8" s="637"/>
      <c r="WT8" s="637"/>
      <c r="WU8" s="637"/>
      <c r="WV8" s="637"/>
      <c r="WW8" s="637"/>
      <c r="WX8" s="637"/>
      <c r="WY8" s="637"/>
      <c r="WZ8" s="637"/>
      <c r="XA8" s="637"/>
      <c r="XB8" s="637"/>
      <c r="XC8" s="637"/>
      <c r="XD8" s="637"/>
      <c r="XE8" s="637"/>
      <c r="XF8" s="637"/>
      <c r="XG8" s="637"/>
      <c r="XH8" s="637"/>
      <c r="XI8" s="637"/>
      <c r="XJ8" s="637"/>
      <c r="XK8" s="637"/>
      <c r="XL8" s="637"/>
      <c r="XM8" s="637"/>
      <c r="XN8" s="637"/>
      <c r="XO8" s="637"/>
      <c r="XP8" s="637"/>
      <c r="XQ8" s="637"/>
      <c r="XR8" s="637"/>
      <c r="XS8" s="637"/>
      <c r="XT8" s="637"/>
      <c r="XU8" s="637"/>
      <c r="XV8" s="637"/>
      <c r="XW8" s="637"/>
      <c r="XX8" s="637"/>
      <c r="XY8" s="637"/>
      <c r="XZ8" s="637"/>
      <c r="YA8" s="637"/>
      <c r="YB8" s="637"/>
      <c r="YC8" s="637"/>
      <c r="YD8" s="637"/>
      <c r="YE8" s="637"/>
      <c r="YF8" s="637"/>
      <c r="YG8" s="637"/>
      <c r="YH8" s="637"/>
      <c r="YI8" s="637"/>
      <c r="YJ8" s="637"/>
      <c r="YK8" s="637"/>
      <c r="YL8" s="637"/>
      <c r="YM8" s="637"/>
      <c r="YN8" s="637"/>
      <c r="YO8" s="637"/>
      <c r="YP8" s="637"/>
      <c r="YQ8" s="637"/>
      <c r="YR8" s="637"/>
      <c r="YS8" s="637"/>
      <c r="YT8" s="637"/>
      <c r="YU8" s="637"/>
      <c r="YV8" s="637"/>
      <c r="YW8" s="637"/>
      <c r="YX8" s="637"/>
      <c r="YY8" s="637"/>
      <c r="YZ8" s="637"/>
      <c r="ZA8" s="637"/>
      <c r="ZB8" s="637"/>
      <c r="ZC8" s="637"/>
      <c r="ZD8" s="637"/>
      <c r="ZE8" s="637"/>
      <c r="ZF8" s="637"/>
      <c r="ZG8" s="637"/>
      <c r="ZH8" s="637"/>
      <c r="ZI8" s="637"/>
      <c r="ZJ8" s="637"/>
      <c r="ZK8" s="637"/>
      <c r="ZL8" s="637"/>
      <c r="ZM8" s="637"/>
      <c r="ZN8" s="637"/>
      <c r="ZO8" s="637"/>
      <c r="ZP8" s="637"/>
      <c r="ZQ8" s="637"/>
      <c r="ZR8" s="637"/>
      <c r="ZS8" s="637"/>
      <c r="ZT8" s="637"/>
      <c r="ZU8" s="637"/>
      <c r="ZV8" s="637"/>
      <c r="ZW8" s="637"/>
      <c r="ZX8" s="637"/>
      <c r="ZY8" s="637"/>
      <c r="ZZ8" s="637"/>
      <c r="AAA8" s="637"/>
      <c r="AAB8" s="637"/>
      <c r="AAC8" s="637"/>
      <c r="AAD8" s="637"/>
      <c r="AAE8" s="637"/>
      <c r="AAF8" s="637"/>
      <c r="AAG8" s="637"/>
      <c r="AAH8" s="637"/>
      <c r="AAI8" s="637"/>
      <c r="AAJ8" s="637"/>
      <c r="AAK8" s="637"/>
      <c r="AAL8" s="637"/>
      <c r="AAM8" s="637"/>
      <c r="AAN8" s="637"/>
      <c r="AAO8" s="637"/>
      <c r="AAP8" s="637"/>
      <c r="AAQ8" s="637"/>
      <c r="AAR8" s="637"/>
      <c r="AAS8" s="637"/>
      <c r="AAT8" s="637"/>
      <c r="AAU8" s="637"/>
      <c r="AAV8" s="637"/>
      <c r="AAW8" s="637"/>
      <c r="AAX8" s="637"/>
      <c r="AAY8" s="637"/>
      <c r="AAZ8" s="637"/>
      <c r="ABA8" s="637"/>
      <c r="ABB8" s="637"/>
      <c r="ABC8" s="637"/>
      <c r="ABD8" s="637"/>
      <c r="ABE8" s="637"/>
      <c r="ABF8" s="637"/>
      <c r="ABG8" s="637"/>
      <c r="ABH8" s="637"/>
      <c r="ABI8" s="637"/>
      <c r="ABJ8" s="637"/>
      <c r="ABK8" s="637"/>
      <c r="ABL8" s="637"/>
      <c r="ABM8" s="637"/>
      <c r="ABN8" s="637"/>
      <c r="ABO8" s="637"/>
      <c r="ABP8" s="637"/>
      <c r="ABQ8" s="637"/>
      <c r="ABR8" s="637"/>
      <c r="ABS8" s="637"/>
      <c r="ABT8" s="637"/>
      <c r="ABU8" s="637"/>
      <c r="ABV8" s="637"/>
      <c r="ABW8" s="637"/>
      <c r="ABX8" s="637"/>
      <c r="ABY8" s="637"/>
      <c r="ABZ8" s="637"/>
      <c r="ACA8" s="637"/>
      <c r="ACB8" s="637"/>
      <c r="ACC8" s="637"/>
      <c r="ACD8" s="637"/>
      <c r="ACE8" s="637"/>
      <c r="ACF8" s="637"/>
      <c r="ACG8" s="637"/>
      <c r="ACH8" s="637"/>
      <c r="ACI8" s="637"/>
      <c r="ACJ8" s="637"/>
      <c r="ACK8" s="637"/>
      <c r="ACL8" s="637"/>
      <c r="ACM8" s="637"/>
      <c r="ACN8" s="637"/>
      <c r="ACO8" s="637"/>
      <c r="ACP8" s="637"/>
      <c r="ACQ8" s="637"/>
      <c r="ACR8" s="637"/>
      <c r="ACS8" s="637"/>
      <c r="ACT8" s="637"/>
      <c r="ACU8" s="637"/>
      <c r="ACV8" s="637"/>
      <c r="ACW8" s="637"/>
      <c r="ACX8" s="637"/>
      <c r="ACY8" s="637"/>
      <c r="ACZ8" s="637"/>
      <c r="ADA8" s="637"/>
      <c r="ADB8" s="637"/>
      <c r="ADC8" s="637"/>
      <c r="ADD8" s="637"/>
      <c r="ADE8" s="637"/>
      <c r="ADF8" s="637"/>
      <c r="ADG8" s="637"/>
      <c r="ADH8" s="637"/>
      <c r="ADI8" s="637"/>
      <c r="ADJ8" s="637"/>
      <c r="ADK8" s="637"/>
      <c r="ADL8" s="637"/>
      <c r="ADM8" s="637"/>
      <c r="ADN8" s="637"/>
      <c r="ADO8" s="637"/>
      <c r="ADP8" s="637"/>
      <c r="ADQ8" s="637"/>
      <c r="ADR8" s="637"/>
      <c r="ADS8" s="637"/>
      <c r="ADT8" s="637"/>
      <c r="ADU8" s="637"/>
      <c r="ADV8" s="637"/>
      <c r="ADW8" s="637"/>
      <c r="ADX8" s="637"/>
      <c r="ADY8" s="637"/>
      <c r="ADZ8" s="637"/>
      <c r="AEA8" s="637"/>
      <c r="AEB8" s="637"/>
      <c r="AEC8" s="637"/>
      <c r="AED8" s="637"/>
      <c r="AEE8" s="637"/>
      <c r="AEF8" s="637"/>
      <c r="AEG8" s="637"/>
      <c r="AEH8" s="637"/>
      <c r="AEI8" s="637"/>
      <c r="AEJ8" s="637"/>
      <c r="AEK8" s="637"/>
      <c r="AEL8" s="637"/>
      <c r="AEM8" s="637"/>
      <c r="AEN8" s="637"/>
      <c r="AEO8" s="637"/>
      <c r="AEP8" s="637"/>
      <c r="AEQ8" s="637"/>
      <c r="AER8" s="637"/>
      <c r="AES8" s="637"/>
      <c r="AET8" s="637"/>
      <c r="AEU8" s="637"/>
      <c r="AEV8" s="637"/>
      <c r="AEW8" s="637"/>
      <c r="AEX8" s="637"/>
      <c r="AEY8" s="637"/>
      <c r="AEZ8" s="637"/>
      <c r="AFA8" s="637"/>
      <c r="AFB8" s="637"/>
      <c r="AFC8" s="637"/>
      <c r="AFD8" s="637"/>
      <c r="AFE8" s="637"/>
      <c r="AFF8" s="637"/>
      <c r="AFG8" s="637"/>
      <c r="AFH8" s="637"/>
      <c r="AFI8" s="637"/>
      <c r="AFJ8" s="637"/>
      <c r="AFK8" s="637"/>
      <c r="AFL8" s="637"/>
      <c r="AFM8" s="637"/>
      <c r="AFN8" s="637"/>
      <c r="AFO8" s="637"/>
      <c r="AFP8" s="637"/>
      <c r="AFQ8" s="637"/>
      <c r="AFR8" s="637"/>
      <c r="AFS8" s="637"/>
      <c r="AFT8" s="637"/>
      <c r="AFU8" s="637"/>
      <c r="AFV8" s="637"/>
      <c r="AFW8" s="637"/>
      <c r="AFX8" s="637"/>
      <c r="AFY8" s="637"/>
      <c r="AFZ8" s="637"/>
      <c r="AGA8" s="637"/>
      <c r="AGB8" s="637"/>
      <c r="AGC8" s="637"/>
      <c r="AGD8" s="637"/>
      <c r="AGE8" s="637"/>
      <c r="AGF8" s="637"/>
      <c r="AGG8" s="637"/>
      <c r="AGH8" s="637"/>
      <c r="AGI8" s="637"/>
      <c r="AGJ8" s="637"/>
      <c r="AGK8" s="637"/>
      <c r="AGL8" s="637"/>
      <c r="AGM8" s="637"/>
      <c r="AGN8" s="637"/>
      <c r="AGO8" s="637"/>
      <c r="AGP8" s="637"/>
      <c r="AGQ8" s="637"/>
      <c r="AGR8" s="637"/>
      <c r="AGS8" s="637"/>
      <c r="AGT8" s="637"/>
      <c r="AGU8" s="637"/>
      <c r="AGV8" s="637"/>
      <c r="AGW8" s="637"/>
      <c r="AGX8" s="637"/>
      <c r="AGY8" s="637"/>
      <c r="AGZ8" s="637"/>
      <c r="AHA8" s="637"/>
      <c r="AHB8" s="637"/>
      <c r="AHC8" s="637"/>
      <c r="AHD8" s="637"/>
      <c r="AHE8" s="637"/>
      <c r="AHF8" s="637"/>
      <c r="AHG8" s="637"/>
      <c r="AHH8" s="637"/>
      <c r="AHI8" s="637"/>
      <c r="AHJ8" s="637"/>
      <c r="AHK8" s="637"/>
      <c r="AHL8" s="637"/>
      <c r="AHM8" s="637"/>
      <c r="AHN8" s="637"/>
      <c r="AHO8" s="637"/>
      <c r="AHP8" s="637"/>
      <c r="AHQ8" s="637"/>
      <c r="AHR8" s="637"/>
      <c r="AHS8" s="637"/>
      <c r="AHT8" s="637"/>
      <c r="AHU8" s="637"/>
      <c r="AHV8" s="637"/>
      <c r="AHW8" s="637"/>
      <c r="AHX8" s="637"/>
      <c r="AHY8" s="637"/>
      <c r="AHZ8" s="637"/>
      <c r="AIA8" s="637"/>
      <c r="AIB8" s="637"/>
      <c r="AIC8" s="637"/>
      <c r="AID8" s="637"/>
      <c r="AIE8" s="637"/>
      <c r="AIF8" s="637"/>
      <c r="AIG8" s="637"/>
      <c r="AIH8" s="637"/>
      <c r="AII8" s="637"/>
      <c r="AIJ8" s="637"/>
      <c r="AIK8" s="637"/>
      <c r="AIL8" s="637"/>
      <c r="AIM8" s="637"/>
      <c r="AIN8" s="637"/>
      <c r="AIO8" s="637"/>
      <c r="AIP8" s="637"/>
      <c r="AIQ8" s="637"/>
      <c r="AIR8" s="637"/>
      <c r="AIS8" s="637"/>
      <c r="AIT8" s="637"/>
      <c r="AIU8" s="637"/>
      <c r="AIV8" s="637"/>
      <c r="AIW8" s="637"/>
      <c r="AIX8" s="637"/>
      <c r="AIY8" s="637"/>
      <c r="AIZ8" s="637"/>
      <c r="AJA8" s="637"/>
      <c r="AJB8" s="637"/>
      <c r="AJC8" s="637"/>
      <c r="AJD8" s="637"/>
      <c r="AJE8" s="637"/>
      <c r="AJF8" s="637"/>
      <c r="AJG8" s="637"/>
      <c r="AJH8" s="637"/>
      <c r="AJI8" s="637"/>
      <c r="AJJ8" s="637"/>
      <c r="AJK8" s="637"/>
      <c r="AJL8" s="637"/>
      <c r="AJM8" s="637"/>
      <c r="AJN8" s="637"/>
      <c r="AJO8" s="637"/>
      <c r="AJP8" s="637"/>
      <c r="AJQ8" s="637"/>
      <c r="AJR8" s="637"/>
      <c r="AJS8" s="637"/>
      <c r="AJT8" s="637"/>
      <c r="AJU8" s="637"/>
      <c r="AJV8" s="637"/>
      <c r="AJW8" s="637"/>
      <c r="AJX8" s="637"/>
      <c r="AJY8" s="637"/>
      <c r="AJZ8" s="637"/>
      <c r="AKA8" s="637"/>
      <c r="AKB8" s="637"/>
      <c r="AKC8" s="637"/>
      <c r="AKD8" s="637"/>
      <c r="AKE8" s="637"/>
      <c r="AKF8" s="637"/>
      <c r="AKG8" s="637"/>
      <c r="AKH8" s="637"/>
      <c r="AKI8" s="637"/>
      <c r="AKJ8" s="637"/>
      <c r="AKK8" s="637"/>
      <c r="AKL8" s="637"/>
      <c r="AKM8" s="637"/>
      <c r="AKN8" s="637"/>
      <c r="AKO8" s="637"/>
      <c r="AKP8" s="637"/>
      <c r="AKQ8" s="637"/>
      <c r="AKR8" s="637"/>
      <c r="AKS8" s="637"/>
      <c r="AKT8" s="637"/>
      <c r="AKU8" s="637"/>
      <c r="AKV8" s="637"/>
      <c r="AKW8" s="637"/>
      <c r="AKX8" s="637"/>
      <c r="AKY8" s="637"/>
      <c r="AKZ8" s="637"/>
      <c r="ALA8" s="637"/>
      <c r="ALB8" s="637"/>
      <c r="ALC8" s="637"/>
      <c r="ALD8" s="637"/>
      <c r="ALE8" s="637"/>
      <c r="ALF8" s="637"/>
      <c r="ALG8" s="637"/>
      <c r="ALH8" s="637"/>
      <c r="ALI8" s="637"/>
      <c r="ALJ8" s="637"/>
      <c r="ALK8" s="637"/>
      <c r="ALL8" s="637"/>
      <c r="ALM8" s="637"/>
      <c r="ALN8" s="637"/>
      <c r="ALO8" s="637"/>
      <c r="ALP8" s="637"/>
      <c r="ALQ8" s="637"/>
      <c r="ALR8" s="637"/>
      <c r="ALS8" s="637"/>
      <c r="ALT8" s="637"/>
      <c r="ALU8" s="637"/>
      <c r="ALV8" s="637"/>
      <c r="ALW8" s="637"/>
      <c r="ALX8" s="637"/>
      <c r="ALY8" s="637"/>
      <c r="ALZ8" s="637"/>
      <c r="AMA8" s="637"/>
      <c r="AMB8" s="637"/>
      <c r="AMC8" s="637"/>
      <c r="AMD8" s="637"/>
      <c r="AME8" s="637"/>
      <c r="AMF8" s="637"/>
      <c r="AMG8" s="637"/>
      <c r="AMH8" s="637"/>
      <c r="AMI8" s="637"/>
      <c r="AMJ8" s="637"/>
    </row>
    <row r="9" spans="1:1024" s="638" customFormat="1" ht="12.75">
      <c r="A9" s="984"/>
      <c r="B9" s="985"/>
      <c r="C9" s="986"/>
      <c r="D9" s="981" t="s">
        <v>1041</v>
      </c>
      <c r="E9" s="982">
        <f>2498+715+82+500+375</f>
        <v>4170</v>
      </c>
      <c r="F9" s="982">
        <f t="shared" si="0"/>
        <v>377364</v>
      </c>
      <c r="G9" s="987">
        <f>222053-4294-3500+29-136+82-13000-5000+7</f>
        <v>196241</v>
      </c>
      <c r="H9" s="987">
        <f>72672-780+39-9362-750</f>
        <v>61819</v>
      </c>
      <c r="I9" s="987">
        <f>130011-1633-1-27339-68-1593</f>
        <v>99377</v>
      </c>
      <c r="J9" s="987"/>
      <c r="K9" s="987"/>
      <c r="L9" s="987"/>
      <c r="M9" s="987">
        <v>186</v>
      </c>
      <c r="N9" s="987">
        <f>32785+3000-44-16000</f>
        <v>19741</v>
      </c>
      <c r="O9" s="987"/>
      <c r="P9" s="987"/>
      <c r="Q9" s="987"/>
      <c r="R9" s="984"/>
      <c r="S9" s="637"/>
      <c r="T9" s="637"/>
      <c r="U9" s="637"/>
      <c r="V9" s="637"/>
      <c r="W9" s="637"/>
      <c r="X9" s="637"/>
      <c r="Y9" s="637"/>
      <c r="Z9" s="637"/>
      <c r="AA9" s="637"/>
      <c r="AB9" s="637"/>
      <c r="AC9" s="637"/>
      <c r="AD9" s="637"/>
      <c r="AE9" s="637"/>
      <c r="AF9" s="637"/>
      <c r="AG9" s="637"/>
      <c r="AH9" s="637"/>
      <c r="AI9" s="637"/>
      <c r="AJ9" s="637"/>
      <c r="AK9" s="637"/>
      <c r="AL9" s="637"/>
      <c r="AM9" s="637"/>
      <c r="AN9" s="637"/>
      <c r="AO9" s="637"/>
      <c r="AP9" s="637"/>
      <c r="AQ9" s="637"/>
      <c r="AR9" s="637"/>
      <c r="AS9" s="637"/>
      <c r="AT9" s="637"/>
      <c r="AU9" s="637"/>
      <c r="AV9" s="637"/>
      <c r="AW9" s="637"/>
      <c r="AX9" s="637"/>
      <c r="AY9" s="637"/>
      <c r="AZ9" s="637"/>
      <c r="BA9" s="637"/>
      <c r="BB9" s="637"/>
      <c r="BC9" s="637"/>
      <c r="BD9" s="637"/>
      <c r="BE9" s="637"/>
      <c r="BF9" s="637"/>
      <c r="BG9" s="637"/>
      <c r="BH9" s="637"/>
      <c r="BI9" s="637"/>
      <c r="BJ9" s="637"/>
      <c r="BK9" s="637"/>
      <c r="BL9" s="637"/>
      <c r="BM9" s="637"/>
      <c r="BN9" s="637"/>
      <c r="BO9" s="637"/>
      <c r="BP9" s="637"/>
      <c r="BQ9" s="637"/>
      <c r="BR9" s="637"/>
      <c r="BS9" s="637"/>
      <c r="BT9" s="637"/>
      <c r="BU9" s="637"/>
      <c r="BV9" s="637"/>
      <c r="BW9" s="637"/>
      <c r="BX9" s="637"/>
      <c r="BY9" s="637"/>
      <c r="BZ9" s="637"/>
      <c r="CA9" s="637"/>
      <c r="CB9" s="637"/>
      <c r="CC9" s="637"/>
      <c r="CD9" s="637"/>
      <c r="CE9" s="637"/>
      <c r="CF9" s="637"/>
      <c r="CG9" s="637"/>
      <c r="CH9" s="637"/>
      <c r="CI9" s="637"/>
      <c r="CJ9" s="637"/>
      <c r="CK9" s="637"/>
      <c r="CL9" s="637"/>
      <c r="CM9" s="637"/>
      <c r="CN9" s="637"/>
      <c r="CO9" s="637"/>
      <c r="CP9" s="637"/>
      <c r="CQ9" s="637"/>
      <c r="CR9" s="637"/>
      <c r="CS9" s="637"/>
      <c r="CT9" s="637"/>
      <c r="CU9" s="637"/>
      <c r="CV9" s="637"/>
      <c r="CW9" s="637"/>
      <c r="CX9" s="637"/>
      <c r="CY9" s="637"/>
      <c r="CZ9" s="637"/>
      <c r="DA9" s="637"/>
      <c r="DB9" s="637"/>
      <c r="DC9" s="637"/>
      <c r="DD9" s="637"/>
      <c r="DE9" s="637"/>
      <c r="DF9" s="637"/>
      <c r="DG9" s="637"/>
      <c r="DH9" s="637"/>
      <c r="DI9" s="637"/>
      <c r="DJ9" s="637"/>
      <c r="DK9" s="637"/>
      <c r="DL9" s="637"/>
      <c r="DM9" s="637"/>
      <c r="DN9" s="637"/>
      <c r="DO9" s="637"/>
      <c r="DP9" s="637"/>
      <c r="DQ9" s="637"/>
      <c r="DR9" s="637"/>
      <c r="DS9" s="637"/>
      <c r="DT9" s="637"/>
      <c r="DU9" s="637"/>
      <c r="DV9" s="637"/>
      <c r="DW9" s="637"/>
      <c r="DX9" s="637"/>
      <c r="DY9" s="637"/>
      <c r="DZ9" s="637"/>
      <c r="EA9" s="637"/>
      <c r="EB9" s="637"/>
      <c r="EC9" s="637"/>
      <c r="ED9" s="637"/>
      <c r="EE9" s="637"/>
      <c r="EF9" s="637"/>
      <c r="EG9" s="637"/>
      <c r="EH9" s="637"/>
      <c r="EI9" s="637"/>
      <c r="EJ9" s="637"/>
      <c r="EK9" s="637"/>
      <c r="EL9" s="637"/>
      <c r="EM9" s="637"/>
      <c r="EN9" s="637"/>
      <c r="EO9" s="637"/>
      <c r="EP9" s="637"/>
      <c r="EQ9" s="637"/>
      <c r="ER9" s="637"/>
      <c r="ES9" s="637"/>
      <c r="ET9" s="637"/>
      <c r="EU9" s="637"/>
      <c r="EV9" s="637"/>
      <c r="EW9" s="637"/>
      <c r="EX9" s="637"/>
      <c r="EY9" s="637"/>
      <c r="EZ9" s="637"/>
      <c r="FA9" s="637"/>
      <c r="FB9" s="637"/>
      <c r="FC9" s="637"/>
      <c r="FD9" s="637"/>
      <c r="FE9" s="637"/>
      <c r="FF9" s="637"/>
      <c r="FG9" s="637"/>
      <c r="FH9" s="637"/>
      <c r="FI9" s="637"/>
      <c r="FJ9" s="637"/>
      <c r="FK9" s="637"/>
      <c r="FL9" s="637"/>
      <c r="FM9" s="637"/>
      <c r="FN9" s="637"/>
      <c r="FO9" s="637"/>
      <c r="FP9" s="637"/>
      <c r="FQ9" s="637"/>
      <c r="FR9" s="637"/>
      <c r="FS9" s="637"/>
      <c r="FT9" s="637"/>
      <c r="FU9" s="637"/>
      <c r="FV9" s="637"/>
      <c r="FW9" s="637"/>
      <c r="FX9" s="637"/>
      <c r="FY9" s="637"/>
      <c r="FZ9" s="637"/>
      <c r="GA9" s="637"/>
      <c r="GB9" s="637"/>
      <c r="GC9" s="637"/>
      <c r="GD9" s="637"/>
      <c r="GE9" s="637"/>
      <c r="GF9" s="637"/>
      <c r="GG9" s="637"/>
      <c r="GH9" s="637"/>
      <c r="GI9" s="637"/>
      <c r="GJ9" s="637"/>
      <c r="GK9" s="637"/>
      <c r="GL9" s="637"/>
      <c r="GM9" s="637"/>
      <c r="GN9" s="637"/>
      <c r="GO9" s="637"/>
      <c r="GP9" s="637"/>
      <c r="GQ9" s="637"/>
      <c r="GR9" s="637"/>
      <c r="GS9" s="637"/>
      <c r="GT9" s="637"/>
      <c r="GU9" s="637"/>
      <c r="GV9" s="637"/>
      <c r="GW9" s="637"/>
      <c r="GX9" s="637"/>
      <c r="GY9" s="637"/>
      <c r="GZ9" s="637"/>
      <c r="HA9" s="637"/>
      <c r="HB9" s="637"/>
      <c r="HC9" s="637"/>
      <c r="HD9" s="637"/>
      <c r="HE9" s="637"/>
      <c r="HF9" s="637"/>
      <c r="HG9" s="637"/>
      <c r="HH9" s="637"/>
      <c r="HI9" s="637"/>
      <c r="HJ9" s="637"/>
      <c r="HK9" s="637"/>
      <c r="HL9" s="637"/>
      <c r="HM9" s="637"/>
      <c r="HN9" s="637"/>
      <c r="HO9" s="637"/>
      <c r="HP9" s="637"/>
      <c r="HQ9" s="637"/>
      <c r="HR9" s="637"/>
      <c r="HS9" s="637"/>
      <c r="HT9" s="637"/>
      <c r="HU9" s="637"/>
      <c r="HV9" s="637"/>
      <c r="HW9" s="637"/>
      <c r="HX9" s="637"/>
      <c r="HY9" s="637"/>
      <c r="HZ9" s="637"/>
      <c r="IA9" s="637"/>
      <c r="IB9" s="637"/>
      <c r="IC9" s="637"/>
      <c r="ID9" s="637"/>
      <c r="IE9" s="637"/>
      <c r="IF9" s="637"/>
      <c r="IG9" s="637"/>
      <c r="IH9" s="637"/>
      <c r="II9" s="637"/>
      <c r="IJ9" s="637"/>
      <c r="IK9" s="637"/>
      <c r="IL9" s="637"/>
      <c r="IM9" s="637"/>
      <c r="IN9" s="637"/>
      <c r="IO9" s="637"/>
      <c r="IP9" s="637"/>
      <c r="IQ9" s="637"/>
      <c r="IR9" s="637"/>
      <c r="IS9" s="637"/>
      <c r="IT9" s="637"/>
      <c r="IU9" s="637"/>
      <c r="IV9" s="637"/>
      <c r="IW9" s="637"/>
      <c r="IX9" s="637"/>
      <c r="IY9" s="637"/>
      <c r="IZ9" s="637"/>
      <c r="JA9" s="637"/>
      <c r="JB9" s="637"/>
      <c r="JC9" s="637"/>
      <c r="JD9" s="637"/>
      <c r="JE9" s="637"/>
      <c r="JF9" s="637"/>
      <c r="JG9" s="637"/>
      <c r="JH9" s="637"/>
      <c r="JI9" s="637"/>
      <c r="JJ9" s="637"/>
      <c r="JK9" s="637"/>
      <c r="JL9" s="637"/>
      <c r="JM9" s="637"/>
      <c r="JN9" s="637"/>
      <c r="JO9" s="637"/>
      <c r="JP9" s="637"/>
      <c r="JQ9" s="637"/>
      <c r="JR9" s="637"/>
      <c r="JS9" s="637"/>
      <c r="JT9" s="637"/>
      <c r="JU9" s="637"/>
      <c r="JV9" s="637"/>
      <c r="JW9" s="637"/>
      <c r="JX9" s="637"/>
      <c r="JY9" s="637"/>
      <c r="JZ9" s="637"/>
      <c r="KA9" s="637"/>
      <c r="KB9" s="637"/>
      <c r="KC9" s="637"/>
      <c r="KD9" s="637"/>
      <c r="KE9" s="637"/>
      <c r="KF9" s="637"/>
      <c r="KG9" s="637"/>
      <c r="KH9" s="637"/>
      <c r="KI9" s="637"/>
      <c r="KJ9" s="637"/>
      <c r="KK9" s="637"/>
      <c r="KL9" s="637"/>
      <c r="KM9" s="637"/>
      <c r="KN9" s="637"/>
      <c r="KO9" s="637"/>
      <c r="KP9" s="637"/>
      <c r="KQ9" s="637"/>
      <c r="KR9" s="637"/>
      <c r="KS9" s="637"/>
      <c r="KT9" s="637"/>
      <c r="KU9" s="637"/>
      <c r="KV9" s="637"/>
      <c r="KW9" s="637"/>
      <c r="KX9" s="637"/>
      <c r="KY9" s="637"/>
      <c r="KZ9" s="637"/>
      <c r="LA9" s="637"/>
      <c r="LB9" s="637"/>
      <c r="LC9" s="637"/>
      <c r="LD9" s="637"/>
      <c r="LE9" s="637"/>
      <c r="LF9" s="637"/>
      <c r="LG9" s="637"/>
      <c r="LH9" s="637"/>
      <c r="LI9" s="637"/>
      <c r="LJ9" s="637"/>
      <c r="LK9" s="637"/>
      <c r="LL9" s="637"/>
      <c r="LM9" s="637"/>
      <c r="LN9" s="637"/>
      <c r="LO9" s="637"/>
      <c r="LP9" s="637"/>
      <c r="LQ9" s="637"/>
      <c r="LR9" s="637"/>
      <c r="LS9" s="637"/>
      <c r="LT9" s="637"/>
      <c r="LU9" s="637"/>
      <c r="LV9" s="637"/>
      <c r="LW9" s="637"/>
      <c r="LX9" s="637"/>
      <c r="LY9" s="637"/>
      <c r="LZ9" s="637"/>
      <c r="MA9" s="637"/>
      <c r="MB9" s="637"/>
      <c r="MC9" s="637"/>
      <c r="MD9" s="637"/>
      <c r="ME9" s="637"/>
      <c r="MF9" s="637"/>
      <c r="MG9" s="637"/>
      <c r="MH9" s="637"/>
      <c r="MI9" s="637"/>
      <c r="MJ9" s="637"/>
      <c r="MK9" s="637"/>
      <c r="ML9" s="637"/>
      <c r="MM9" s="637"/>
      <c r="MN9" s="637"/>
      <c r="MO9" s="637"/>
      <c r="MP9" s="637"/>
      <c r="MQ9" s="637"/>
      <c r="MR9" s="637"/>
      <c r="MS9" s="637"/>
      <c r="MT9" s="637"/>
      <c r="MU9" s="637"/>
      <c r="MV9" s="637"/>
      <c r="MW9" s="637"/>
      <c r="MX9" s="637"/>
      <c r="MY9" s="637"/>
      <c r="MZ9" s="637"/>
      <c r="NA9" s="637"/>
      <c r="NB9" s="637"/>
      <c r="NC9" s="637"/>
      <c r="ND9" s="637"/>
      <c r="NE9" s="637"/>
      <c r="NF9" s="637"/>
      <c r="NG9" s="637"/>
      <c r="NH9" s="637"/>
      <c r="NI9" s="637"/>
      <c r="NJ9" s="637"/>
      <c r="NK9" s="637"/>
      <c r="NL9" s="637"/>
      <c r="NM9" s="637"/>
      <c r="NN9" s="637"/>
      <c r="NO9" s="637"/>
      <c r="NP9" s="637"/>
      <c r="NQ9" s="637"/>
      <c r="NR9" s="637"/>
      <c r="NS9" s="637"/>
      <c r="NT9" s="637"/>
      <c r="NU9" s="637"/>
      <c r="NV9" s="637"/>
      <c r="NW9" s="637"/>
      <c r="NX9" s="637"/>
      <c r="NY9" s="637"/>
      <c r="NZ9" s="637"/>
      <c r="OA9" s="637"/>
      <c r="OB9" s="637"/>
      <c r="OC9" s="637"/>
      <c r="OD9" s="637"/>
      <c r="OE9" s="637"/>
      <c r="OF9" s="637"/>
      <c r="OG9" s="637"/>
      <c r="OH9" s="637"/>
      <c r="OI9" s="637"/>
      <c r="OJ9" s="637"/>
      <c r="OK9" s="637"/>
      <c r="OL9" s="637"/>
      <c r="OM9" s="637"/>
      <c r="ON9" s="637"/>
      <c r="OO9" s="637"/>
      <c r="OP9" s="637"/>
      <c r="OQ9" s="637"/>
      <c r="OR9" s="637"/>
      <c r="OS9" s="637"/>
      <c r="OT9" s="637"/>
      <c r="OU9" s="637"/>
      <c r="OV9" s="637"/>
      <c r="OW9" s="637"/>
      <c r="OX9" s="637"/>
      <c r="OY9" s="637"/>
      <c r="OZ9" s="637"/>
      <c r="PA9" s="637"/>
      <c r="PB9" s="637"/>
      <c r="PC9" s="637"/>
      <c r="PD9" s="637"/>
      <c r="PE9" s="637"/>
      <c r="PF9" s="637"/>
      <c r="PG9" s="637"/>
      <c r="PH9" s="637"/>
      <c r="PI9" s="637"/>
      <c r="PJ9" s="637"/>
      <c r="PK9" s="637"/>
      <c r="PL9" s="637"/>
      <c r="PM9" s="637"/>
      <c r="PN9" s="637"/>
      <c r="PO9" s="637"/>
      <c r="PP9" s="637"/>
      <c r="PQ9" s="637"/>
      <c r="PR9" s="637"/>
      <c r="PS9" s="637"/>
      <c r="PT9" s="637"/>
      <c r="PU9" s="637"/>
      <c r="PV9" s="637"/>
      <c r="PW9" s="637"/>
      <c r="PX9" s="637"/>
      <c r="PY9" s="637"/>
      <c r="PZ9" s="637"/>
      <c r="QA9" s="637"/>
      <c r="QB9" s="637"/>
      <c r="QC9" s="637"/>
      <c r="QD9" s="637"/>
      <c r="QE9" s="637"/>
      <c r="QF9" s="637"/>
      <c r="QG9" s="637"/>
      <c r="QH9" s="637"/>
      <c r="QI9" s="637"/>
      <c r="QJ9" s="637"/>
      <c r="QK9" s="637"/>
      <c r="QL9" s="637"/>
      <c r="QM9" s="637"/>
      <c r="QN9" s="637"/>
      <c r="QO9" s="637"/>
      <c r="QP9" s="637"/>
      <c r="QQ9" s="637"/>
      <c r="QR9" s="637"/>
      <c r="QS9" s="637"/>
      <c r="QT9" s="637"/>
      <c r="QU9" s="637"/>
      <c r="QV9" s="637"/>
      <c r="QW9" s="637"/>
      <c r="QX9" s="637"/>
      <c r="QY9" s="637"/>
      <c r="QZ9" s="637"/>
      <c r="RA9" s="637"/>
      <c r="RB9" s="637"/>
      <c r="RC9" s="637"/>
      <c r="RD9" s="637"/>
      <c r="RE9" s="637"/>
      <c r="RF9" s="637"/>
      <c r="RG9" s="637"/>
      <c r="RH9" s="637"/>
      <c r="RI9" s="637"/>
      <c r="RJ9" s="637"/>
      <c r="RK9" s="637"/>
      <c r="RL9" s="637"/>
      <c r="RM9" s="637"/>
      <c r="RN9" s="637"/>
      <c r="RO9" s="637"/>
      <c r="RP9" s="637"/>
      <c r="RQ9" s="637"/>
      <c r="RR9" s="637"/>
      <c r="RS9" s="637"/>
      <c r="RT9" s="637"/>
      <c r="RU9" s="637"/>
      <c r="RV9" s="637"/>
      <c r="RW9" s="637"/>
      <c r="RX9" s="637"/>
      <c r="RY9" s="637"/>
      <c r="RZ9" s="637"/>
      <c r="SA9" s="637"/>
      <c r="SB9" s="637"/>
      <c r="SC9" s="637"/>
      <c r="SD9" s="637"/>
      <c r="SE9" s="637"/>
      <c r="SF9" s="637"/>
      <c r="SG9" s="637"/>
      <c r="SH9" s="637"/>
      <c r="SI9" s="637"/>
      <c r="SJ9" s="637"/>
      <c r="SK9" s="637"/>
      <c r="SL9" s="637"/>
      <c r="SM9" s="637"/>
      <c r="SN9" s="637"/>
      <c r="SO9" s="637"/>
      <c r="SP9" s="637"/>
      <c r="SQ9" s="637"/>
      <c r="SR9" s="637"/>
      <c r="SS9" s="637"/>
      <c r="ST9" s="637"/>
      <c r="SU9" s="637"/>
      <c r="SV9" s="637"/>
      <c r="SW9" s="637"/>
      <c r="SX9" s="637"/>
      <c r="SY9" s="637"/>
      <c r="SZ9" s="637"/>
      <c r="TA9" s="637"/>
      <c r="TB9" s="637"/>
      <c r="TC9" s="637"/>
      <c r="TD9" s="637"/>
      <c r="TE9" s="637"/>
      <c r="TF9" s="637"/>
      <c r="TG9" s="637"/>
      <c r="TH9" s="637"/>
      <c r="TI9" s="637"/>
      <c r="TJ9" s="637"/>
      <c r="TK9" s="637"/>
      <c r="TL9" s="637"/>
      <c r="TM9" s="637"/>
      <c r="TN9" s="637"/>
      <c r="TO9" s="637"/>
      <c r="TP9" s="637"/>
      <c r="TQ9" s="637"/>
      <c r="TR9" s="637"/>
      <c r="TS9" s="637"/>
      <c r="TT9" s="637"/>
      <c r="TU9" s="637"/>
      <c r="TV9" s="637"/>
      <c r="TW9" s="637"/>
      <c r="TX9" s="637"/>
      <c r="TY9" s="637"/>
      <c r="TZ9" s="637"/>
      <c r="UA9" s="637"/>
      <c r="UB9" s="637"/>
      <c r="UC9" s="637"/>
      <c r="UD9" s="637"/>
      <c r="UE9" s="637"/>
      <c r="UF9" s="637"/>
      <c r="UG9" s="637"/>
      <c r="UH9" s="637"/>
      <c r="UI9" s="637"/>
      <c r="UJ9" s="637"/>
      <c r="UK9" s="637"/>
      <c r="UL9" s="637"/>
      <c r="UM9" s="637"/>
      <c r="UN9" s="637"/>
      <c r="UO9" s="637"/>
      <c r="UP9" s="637"/>
      <c r="UQ9" s="637"/>
      <c r="UR9" s="637"/>
      <c r="US9" s="637"/>
      <c r="UT9" s="637"/>
      <c r="UU9" s="637"/>
      <c r="UV9" s="637"/>
      <c r="UW9" s="637"/>
      <c r="UX9" s="637"/>
      <c r="UY9" s="637"/>
      <c r="UZ9" s="637"/>
      <c r="VA9" s="637"/>
      <c r="VB9" s="637"/>
      <c r="VC9" s="637"/>
      <c r="VD9" s="637"/>
      <c r="VE9" s="637"/>
      <c r="VF9" s="637"/>
      <c r="VG9" s="637"/>
      <c r="VH9" s="637"/>
      <c r="VI9" s="637"/>
      <c r="VJ9" s="637"/>
      <c r="VK9" s="637"/>
      <c r="VL9" s="637"/>
      <c r="VM9" s="637"/>
      <c r="VN9" s="637"/>
      <c r="VO9" s="637"/>
      <c r="VP9" s="637"/>
      <c r="VQ9" s="637"/>
      <c r="VR9" s="637"/>
      <c r="VS9" s="637"/>
      <c r="VT9" s="637"/>
      <c r="VU9" s="637"/>
      <c r="VV9" s="637"/>
      <c r="VW9" s="637"/>
      <c r="VX9" s="637"/>
      <c r="VY9" s="637"/>
      <c r="VZ9" s="637"/>
      <c r="WA9" s="637"/>
      <c r="WB9" s="637"/>
      <c r="WC9" s="637"/>
      <c r="WD9" s="637"/>
      <c r="WE9" s="637"/>
      <c r="WF9" s="637"/>
      <c r="WG9" s="637"/>
      <c r="WH9" s="637"/>
      <c r="WI9" s="637"/>
      <c r="WJ9" s="637"/>
      <c r="WK9" s="637"/>
      <c r="WL9" s="637"/>
      <c r="WM9" s="637"/>
      <c r="WN9" s="637"/>
      <c r="WO9" s="637"/>
      <c r="WP9" s="637"/>
      <c r="WQ9" s="637"/>
      <c r="WR9" s="637"/>
      <c r="WS9" s="637"/>
      <c r="WT9" s="637"/>
      <c r="WU9" s="637"/>
      <c r="WV9" s="637"/>
      <c r="WW9" s="637"/>
      <c r="WX9" s="637"/>
      <c r="WY9" s="637"/>
      <c r="WZ9" s="637"/>
      <c r="XA9" s="637"/>
      <c r="XB9" s="637"/>
      <c r="XC9" s="637"/>
      <c r="XD9" s="637"/>
      <c r="XE9" s="637"/>
      <c r="XF9" s="637"/>
      <c r="XG9" s="637"/>
      <c r="XH9" s="637"/>
      <c r="XI9" s="637"/>
      <c r="XJ9" s="637"/>
      <c r="XK9" s="637"/>
      <c r="XL9" s="637"/>
      <c r="XM9" s="637"/>
      <c r="XN9" s="637"/>
      <c r="XO9" s="637"/>
      <c r="XP9" s="637"/>
      <c r="XQ9" s="637"/>
      <c r="XR9" s="637"/>
      <c r="XS9" s="637"/>
      <c r="XT9" s="637"/>
      <c r="XU9" s="637"/>
      <c r="XV9" s="637"/>
      <c r="XW9" s="637"/>
      <c r="XX9" s="637"/>
      <c r="XY9" s="637"/>
      <c r="XZ9" s="637"/>
      <c r="YA9" s="637"/>
      <c r="YB9" s="637"/>
      <c r="YC9" s="637"/>
      <c r="YD9" s="637"/>
      <c r="YE9" s="637"/>
      <c r="YF9" s="637"/>
      <c r="YG9" s="637"/>
      <c r="YH9" s="637"/>
      <c r="YI9" s="637"/>
      <c r="YJ9" s="637"/>
      <c r="YK9" s="637"/>
      <c r="YL9" s="637"/>
      <c r="YM9" s="637"/>
      <c r="YN9" s="637"/>
      <c r="YO9" s="637"/>
      <c r="YP9" s="637"/>
      <c r="YQ9" s="637"/>
      <c r="YR9" s="637"/>
      <c r="YS9" s="637"/>
      <c r="YT9" s="637"/>
      <c r="YU9" s="637"/>
      <c r="YV9" s="637"/>
      <c r="YW9" s="637"/>
      <c r="YX9" s="637"/>
      <c r="YY9" s="637"/>
      <c r="YZ9" s="637"/>
      <c r="ZA9" s="637"/>
      <c r="ZB9" s="637"/>
      <c r="ZC9" s="637"/>
      <c r="ZD9" s="637"/>
      <c r="ZE9" s="637"/>
      <c r="ZF9" s="637"/>
      <c r="ZG9" s="637"/>
      <c r="ZH9" s="637"/>
      <c r="ZI9" s="637"/>
      <c r="ZJ9" s="637"/>
      <c r="ZK9" s="637"/>
      <c r="ZL9" s="637"/>
      <c r="ZM9" s="637"/>
      <c r="ZN9" s="637"/>
      <c r="ZO9" s="637"/>
      <c r="ZP9" s="637"/>
      <c r="ZQ9" s="637"/>
      <c r="ZR9" s="637"/>
      <c r="ZS9" s="637"/>
      <c r="ZT9" s="637"/>
      <c r="ZU9" s="637"/>
      <c r="ZV9" s="637"/>
      <c r="ZW9" s="637"/>
      <c r="ZX9" s="637"/>
      <c r="ZY9" s="637"/>
      <c r="ZZ9" s="637"/>
      <c r="AAA9" s="637"/>
      <c r="AAB9" s="637"/>
      <c r="AAC9" s="637"/>
      <c r="AAD9" s="637"/>
      <c r="AAE9" s="637"/>
      <c r="AAF9" s="637"/>
      <c r="AAG9" s="637"/>
      <c r="AAH9" s="637"/>
      <c r="AAI9" s="637"/>
      <c r="AAJ9" s="637"/>
      <c r="AAK9" s="637"/>
      <c r="AAL9" s="637"/>
      <c r="AAM9" s="637"/>
      <c r="AAN9" s="637"/>
      <c r="AAO9" s="637"/>
      <c r="AAP9" s="637"/>
      <c r="AAQ9" s="637"/>
      <c r="AAR9" s="637"/>
      <c r="AAS9" s="637"/>
      <c r="AAT9" s="637"/>
      <c r="AAU9" s="637"/>
      <c r="AAV9" s="637"/>
      <c r="AAW9" s="637"/>
      <c r="AAX9" s="637"/>
      <c r="AAY9" s="637"/>
      <c r="AAZ9" s="637"/>
      <c r="ABA9" s="637"/>
      <c r="ABB9" s="637"/>
      <c r="ABC9" s="637"/>
      <c r="ABD9" s="637"/>
      <c r="ABE9" s="637"/>
      <c r="ABF9" s="637"/>
      <c r="ABG9" s="637"/>
      <c r="ABH9" s="637"/>
      <c r="ABI9" s="637"/>
      <c r="ABJ9" s="637"/>
      <c r="ABK9" s="637"/>
      <c r="ABL9" s="637"/>
      <c r="ABM9" s="637"/>
      <c r="ABN9" s="637"/>
      <c r="ABO9" s="637"/>
      <c r="ABP9" s="637"/>
      <c r="ABQ9" s="637"/>
      <c r="ABR9" s="637"/>
      <c r="ABS9" s="637"/>
      <c r="ABT9" s="637"/>
      <c r="ABU9" s="637"/>
      <c r="ABV9" s="637"/>
      <c r="ABW9" s="637"/>
      <c r="ABX9" s="637"/>
      <c r="ABY9" s="637"/>
      <c r="ABZ9" s="637"/>
      <c r="ACA9" s="637"/>
      <c r="ACB9" s="637"/>
      <c r="ACC9" s="637"/>
      <c r="ACD9" s="637"/>
      <c r="ACE9" s="637"/>
      <c r="ACF9" s="637"/>
      <c r="ACG9" s="637"/>
      <c r="ACH9" s="637"/>
      <c r="ACI9" s="637"/>
      <c r="ACJ9" s="637"/>
      <c r="ACK9" s="637"/>
      <c r="ACL9" s="637"/>
      <c r="ACM9" s="637"/>
      <c r="ACN9" s="637"/>
      <c r="ACO9" s="637"/>
      <c r="ACP9" s="637"/>
      <c r="ACQ9" s="637"/>
      <c r="ACR9" s="637"/>
      <c r="ACS9" s="637"/>
      <c r="ACT9" s="637"/>
      <c r="ACU9" s="637"/>
      <c r="ACV9" s="637"/>
      <c r="ACW9" s="637"/>
      <c r="ACX9" s="637"/>
      <c r="ACY9" s="637"/>
      <c r="ACZ9" s="637"/>
      <c r="ADA9" s="637"/>
      <c r="ADB9" s="637"/>
      <c r="ADC9" s="637"/>
      <c r="ADD9" s="637"/>
      <c r="ADE9" s="637"/>
      <c r="ADF9" s="637"/>
      <c r="ADG9" s="637"/>
      <c r="ADH9" s="637"/>
      <c r="ADI9" s="637"/>
      <c r="ADJ9" s="637"/>
      <c r="ADK9" s="637"/>
      <c r="ADL9" s="637"/>
      <c r="ADM9" s="637"/>
      <c r="ADN9" s="637"/>
      <c r="ADO9" s="637"/>
      <c r="ADP9" s="637"/>
      <c r="ADQ9" s="637"/>
      <c r="ADR9" s="637"/>
      <c r="ADS9" s="637"/>
      <c r="ADT9" s="637"/>
      <c r="ADU9" s="637"/>
      <c r="ADV9" s="637"/>
      <c r="ADW9" s="637"/>
      <c r="ADX9" s="637"/>
      <c r="ADY9" s="637"/>
      <c r="ADZ9" s="637"/>
      <c r="AEA9" s="637"/>
      <c r="AEB9" s="637"/>
      <c r="AEC9" s="637"/>
      <c r="AED9" s="637"/>
      <c r="AEE9" s="637"/>
      <c r="AEF9" s="637"/>
      <c r="AEG9" s="637"/>
      <c r="AEH9" s="637"/>
      <c r="AEI9" s="637"/>
      <c r="AEJ9" s="637"/>
      <c r="AEK9" s="637"/>
      <c r="AEL9" s="637"/>
      <c r="AEM9" s="637"/>
      <c r="AEN9" s="637"/>
      <c r="AEO9" s="637"/>
      <c r="AEP9" s="637"/>
      <c r="AEQ9" s="637"/>
      <c r="AER9" s="637"/>
      <c r="AES9" s="637"/>
      <c r="AET9" s="637"/>
      <c r="AEU9" s="637"/>
      <c r="AEV9" s="637"/>
      <c r="AEW9" s="637"/>
      <c r="AEX9" s="637"/>
      <c r="AEY9" s="637"/>
      <c r="AEZ9" s="637"/>
      <c r="AFA9" s="637"/>
      <c r="AFB9" s="637"/>
      <c r="AFC9" s="637"/>
      <c r="AFD9" s="637"/>
      <c r="AFE9" s="637"/>
      <c r="AFF9" s="637"/>
      <c r="AFG9" s="637"/>
      <c r="AFH9" s="637"/>
      <c r="AFI9" s="637"/>
      <c r="AFJ9" s="637"/>
      <c r="AFK9" s="637"/>
      <c r="AFL9" s="637"/>
      <c r="AFM9" s="637"/>
      <c r="AFN9" s="637"/>
      <c r="AFO9" s="637"/>
      <c r="AFP9" s="637"/>
      <c r="AFQ9" s="637"/>
      <c r="AFR9" s="637"/>
      <c r="AFS9" s="637"/>
      <c r="AFT9" s="637"/>
      <c r="AFU9" s="637"/>
      <c r="AFV9" s="637"/>
      <c r="AFW9" s="637"/>
      <c r="AFX9" s="637"/>
      <c r="AFY9" s="637"/>
      <c r="AFZ9" s="637"/>
      <c r="AGA9" s="637"/>
      <c r="AGB9" s="637"/>
      <c r="AGC9" s="637"/>
      <c r="AGD9" s="637"/>
      <c r="AGE9" s="637"/>
      <c r="AGF9" s="637"/>
      <c r="AGG9" s="637"/>
      <c r="AGH9" s="637"/>
      <c r="AGI9" s="637"/>
      <c r="AGJ9" s="637"/>
      <c r="AGK9" s="637"/>
      <c r="AGL9" s="637"/>
      <c r="AGM9" s="637"/>
      <c r="AGN9" s="637"/>
      <c r="AGO9" s="637"/>
      <c r="AGP9" s="637"/>
      <c r="AGQ9" s="637"/>
      <c r="AGR9" s="637"/>
      <c r="AGS9" s="637"/>
      <c r="AGT9" s="637"/>
      <c r="AGU9" s="637"/>
      <c r="AGV9" s="637"/>
      <c r="AGW9" s="637"/>
      <c r="AGX9" s="637"/>
      <c r="AGY9" s="637"/>
      <c r="AGZ9" s="637"/>
      <c r="AHA9" s="637"/>
      <c r="AHB9" s="637"/>
      <c r="AHC9" s="637"/>
      <c r="AHD9" s="637"/>
      <c r="AHE9" s="637"/>
      <c r="AHF9" s="637"/>
      <c r="AHG9" s="637"/>
      <c r="AHH9" s="637"/>
      <c r="AHI9" s="637"/>
      <c r="AHJ9" s="637"/>
      <c r="AHK9" s="637"/>
      <c r="AHL9" s="637"/>
      <c r="AHM9" s="637"/>
      <c r="AHN9" s="637"/>
      <c r="AHO9" s="637"/>
      <c r="AHP9" s="637"/>
      <c r="AHQ9" s="637"/>
      <c r="AHR9" s="637"/>
      <c r="AHS9" s="637"/>
      <c r="AHT9" s="637"/>
      <c r="AHU9" s="637"/>
      <c r="AHV9" s="637"/>
      <c r="AHW9" s="637"/>
      <c r="AHX9" s="637"/>
      <c r="AHY9" s="637"/>
      <c r="AHZ9" s="637"/>
      <c r="AIA9" s="637"/>
      <c r="AIB9" s="637"/>
      <c r="AIC9" s="637"/>
      <c r="AID9" s="637"/>
      <c r="AIE9" s="637"/>
      <c r="AIF9" s="637"/>
      <c r="AIG9" s="637"/>
      <c r="AIH9" s="637"/>
      <c r="AII9" s="637"/>
      <c r="AIJ9" s="637"/>
      <c r="AIK9" s="637"/>
      <c r="AIL9" s="637"/>
      <c r="AIM9" s="637"/>
      <c r="AIN9" s="637"/>
      <c r="AIO9" s="637"/>
      <c r="AIP9" s="637"/>
      <c r="AIQ9" s="637"/>
      <c r="AIR9" s="637"/>
      <c r="AIS9" s="637"/>
      <c r="AIT9" s="637"/>
      <c r="AIU9" s="637"/>
      <c r="AIV9" s="637"/>
      <c r="AIW9" s="637"/>
      <c r="AIX9" s="637"/>
      <c r="AIY9" s="637"/>
      <c r="AIZ9" s="637"/>
      <c r="AJA9" s="637"/>
      <c r="AJB9" s="637"/>
      <c r="AJC9" s="637"/>
      <c r="AJD9" s="637"/>
      <c r="AJE9" s="637"/>
      <c r="AJF9" s="637"/>
      <c r="AJG9" s="637"/>
      <c r="AJH9" s="637"/>
      <c r="AJI9" s="637"/>
      <c r="AJJ9" s="637"/>
      <c r="AJK9" s="637"/>
      <c r="AJL9" s="637"/>
      <c r="AJM9" s="637"/>
      <c r="AJN9" s="637"/>
      <c r="AJO9" s="637"/>
      <c r="AJP9" s="637"/>
      <c r="AJQ9" s="637"/>
      <c r="AJR9" s="637"/>
      <c r="AJS9" s="637"/>
      <c r="AJT9" s="637"/>
      <c r="AJU9" s="637"/>
      <c r="AJV9" s="637"/>
      <c r="AJW9" s="637"/>
      <c r="AJX9" s="637"/>
      <c r="AJY9" s="637"/>
      <c r="AJZ9" s="637"/>
      <c r="AKA9" s="637"/>
      <c r="AKB9" s="637"/>
      <c r="AKC9" s="637"/>
      <c r="AKD9" s="637"/>
      <c r="AKE9" s="637"/>
      <c r="AKF9" s="637"/>
      <c r="AKG9" s="637"/>
      <c r="AKH9" s="637"/>
      <c r="AKI9" s="637"/>
      <c r="AKJ9" s="637"/>
      <c r="AKK9" s="637"/>
      <c r="AKL9" s="637"/>
      <c r="AKM9" s="637"/>
      <c r="AKN9" s="637"/>
      <c r="AKO9" s="637"/>
      <c r="AKP9" s="637"/>
      <c r="AKQ9" s="637"/>
      <c r="AKR9" s="637"/>
      <c r="AKS9" s="637"/>
      <c r="AKT9" s="637"/>
      <c r="AKU9" s="637"/>
      <c r="AKV9" s="637"/>
      <c r="AKW9" s="637"/>
      <c r="AKX9" s="637"/>
      <c r="AKY9" s="637"/>
      <c r="AKZ9" s="637"/>
      <c r="ALA9" s="637"/>
      <c r="ALB9" s="637"/>
      <c r="ALC9" s="637"/>
      <c r="ALD9" s="637"/>
      <c r="ALE9" s="637"/>
      <c r="ALF9" s="637"/>
      <c r="ALG9" s="637"/>
      <c r="ALH9" s="637"/>
      <c r="ALI9" s="637"/>
      <c r="ALJ9" s="637"/>
      <c r="ALK9" s="637"/>
      <c r="ALL9" s="637"/>
      <c r="ALM9" s="637"/>
      <c r="ALN9" s="637"/>
      <c r="ALO9" s="637"/>
      <c r="ALP9" s="637"/>
      <c r="ALQ9" s="637"/>
      <c r="ALR9" s="637"/>
      <c r="ALS9" s="637"/>
      <c r="ALT9" s="637"/>
      <c r="ALU9" s="637"/>
      <c r="ALV9" s="637"/>
      <c r="ALW9" s="637"/>
      <c r="ALX9" s="637"/>
      <c r="ALY9" s="637"/>
      <c r="ALZ9" s="637"/>
      <c r="AMA9" s="637"/>
      <c r="AMB9" s="637"/>
      <c r="AMC9" s="637"/>
      <c r="AMD9" s="637"/>
      <c r="AME9" s="637"/>
      <c r="AMF9" s="637"/>
      <c r="AMG9" s="637"/>
      <c r="AMH9" s="637"/>
      <c r="AMI9" s="637"/>
      <c r="AMJ9" s="637"/>
    </row>
    <row r="10" spans="1:1024" s="638" customFormat="1" ht="12.75" hidden="1">
      <c r="A10" s="984"/>
      <c r="B10" s="985"/>
      <c r="C10" s="986"/>
      <c r="D10" s="988"/>
      <c r="E10" s="989">
        <v>5047</v>
      </c>
      <c r="F10" s="989">
        <f t="shared" si="0"/>
        <v>371297</v>
      </c>
      <c r="G10" s="990">
        <v>194603</v>
      </c>
      <c r="H10" s="990">
        <v>61809</v>
      </c>
      <c r="I10" s="990">
        <v>95037</v>
      </c>
      <c r="J10" s="990"/>
      <c r="K10" s="990"/>
      <c r="L10" s="990"/>
      <c r="M10" s="990">
        <v>185</v>
      </c>
      <c r="N10" s="990">
        <v>19663</v>
      </c>
      <c r="O10" s="990"/>
      <c r="P10" s="990"/>
      <c r="Q10" s="990"/>
      <c r="R10" s="991"/>
      <c r="S10" s="637"/>
      <c r="T10" s="637"/>
      <c r="U10" s="637"/>
      <c r="V10" s="637"/>
      <c r="W10" s="637"/>
      <c r="X10" s="637"/>
      <c r="Y10" s="637"/>
      <c r="Z10" s="637"/>
      <c r="AA10" s="637"/>
      <c r="AB10" s="637"/>
      <c r="AC10" s="637"/>
      <c r="AD10" s="637"/>
      <c r="AE10" s="637"/>
      <c r="AF10" s="637"/>
      <c r="AG10" s="637"/>
      <c r="AH10" s="637"/>
      <c r="AI10" s="637"/>
      <c r="AJ10" s="637"/>
      <c r="AK10" s="637"/>
      <c r="AL10" s="637"/>
      <c r="AM10" s="637"/>
      <c r="AN10" s="637"/>
      <c r="AO10" s="637"/>
      <c r="AP10" s="637"/>
      <c r="AQ10" s="637"/>
      <c r="AR10" s="637"/>
      <c r="AS10" s="637"/>
      <c r="AT10" s="637"/>
      <c r="AU10" s="637"/>
      <c r="AV10" s="637"/>
      <c r="AW10" s="637"/>
      <c r="AX10" s="637"/>
      <c r="AY10" s="637"/>
      <c r="AZ10" s="637"/>
      <c r="BA10" s="637"/>
      <c r="BB10" s="637"/>
      <c r="BC10" s="637"/>
      <c r="BD10" s="637"/>
      <c r="BE10" s="637"/>
      <c r="BF10" s="637"/>
      <c r="BG10" s="637"/>
      <c r="BH10" s="637"/>
      <c r="BI10" s="637"/>
      <c r="BJ10" s="637"/>
      <c r="BK10" s="637"/>
      <c r="BL10" s="637"/>
      <c r="BM10" s="637"/>
      <c r="BN10" s="637"/>
      <c r="BO10" s="637"/>
      <c r="BP10" s="637"/>
      <c r="BQ10" s="637"/>
      <c r="BR10" s="637"/>
      <c r="BS10" s="637"/>
      <c r="BT10" s="637"/>
      <c r="BU10" s="637"/>
      <c r="BV10" s="637"/>
      <c r="BW10" s="637"/>
      <c r="BX10" s="637"/>
      <c r="BY10" s="637"/>
      <c r="BZ10" s="637"/>
      <c r="CA10" s="637"/>
      <c r="CB10" s="637"/>
      <c r="CC10" s="637"/>
      <c r="CD10" s="637"/>
      <c r="CE10" s="637"/>
      <c r="CF10" s="637"/>
      <c r="CG10" s="637"/>
      <c r="CH10" s="637"/>
      <c r="CI10" s="637"/>
      <c r="CJ10" s="637"/>
      <c r="CK10" s="637"/>
      <c r="CL10" s="637"/>
      <c r="CM10" s="637"/>
      <c r="CN10" s="637"/>
      <c r="CO10" s="637"/>
      <c r="CP10" s="637"/>
      <c r="CQ10" s="637"/>
      <c r="CR10" s="637"/>
      <c r="CS10" s="637"/>
      <c r="CT10" s="637"/>
      <c r="CU10" s="637"/>
      <c r="CV10" s="637"/>
      <c r="CW10" s="637"/>
      <c r="CX10" s="637"/>
      <c r="CY10" s="637"/>
      <c r="CZ10" s="637"/>
      <c r="DA10" s="637"/>
      <c r="DB10" s="637"/>
      <c r="DC10" s="637"/>
      <c r="DD10" s="637"/>
      <c r="DE10" s="637"/>
      <c r="DF10" s="637"/>
      <c r="DG10" s="637"/>
      <c r="DH10" s="637"/>
      <c r="DI10" s="637"/>
      <c r="DJ10" s="637"/>
      <c r="DK10" s="637"/>
      <c r="DL10" s="637"/>
      <c r="DM10" s="637"/>
      <c r="DN10" s="637"/>
      <c r="DO10" s="637"/>
      <c r="DP10" s="637"/>
      <c r="DQ10" s="637"/>
      <c r="DR10" s="637"/>
      <c r="DS10" s="637"/>
      <c r="DT10" s="637"/>
      <c r="DU10" s="637"/>
      <c r="DV10" s="637"/>
      <c r="DW10" s="637"/>
      <c r="DX10" s="637"/>
      <c r="DY10" s="637"/>
      <c r="DZ10" s="637"/>
      <c r="EA10" s="637"/>
      <c r="EB10" s="637"/>
      <c r="EC10" s="637"/>
      <c r="ED10" s="637"/>
      <c r="EE10" s="637"/>
      <c r="EF10" s="637"/>
      <c r="EG10" s="637"/>
      <c r="EH10" s="637"/>
      <c r="EI10" s="637"/>
      <c r="EJ10" s="637"/>
      <c r="EK10" s="637"/>
      <c r="EL10" s="637"/>
      <c r="EM10" s="637"/>
      <c r="EN10" s="637"/>
      <c r="EO10" s="637"/>
      <c r="EP10" s="637"/>
      <c r="EQ10" s="637"/>
      <c r="ER10" s="637"/>
      <c r="ES10" s="637"/>
      <c r="ET10" s="637"/>
      <c r="EU10" s="637"/>
      <c r="EV10" s="637"/>
      <c r="EW10" s="637"/>
      <c r="EX10" s="637"/>
      <c r="EY10" s="637"/>
      <c r="EZ10" s="637"/>
      <c r="FA10" s="637"/>
      <c r="FB10" s="637"/>
      <c r="FC10" s="637"/>
      <c r="FD10" s="637"/>
      <c r="FE10" s="637"/>
      <c r="FF10" s="637"/>
      <c r="FG10" s="637"/>
      <c r="FH10" s="637"/>
      <c r="FI10" s="637"/>
      <c r="FJ10" s="637"/>
      <c r="FK10" s="637"/>
      <c r="FL10" s="637"/>
      <c r="FM10" s="637"/>
      <c r="FN10" s="637"/>
      <c r="FO10" s="637"/>
      <c r="FP10" s="637"/>
      <c r="FQ10" s="637"/>
      <c r="FR10" s="637"/>
      <c r="FS10" s="637"/>
      <c r="FT10" s="637"/>
      <c r="FU10" s="637"/>
      <c r="FV10" s="637"/>
      <c r="FW10" s="637"/>
      <c r="FX10" s="637"/>
      <c r="FY10" s="637"/>
      <c r="FZ10" s="637"/>
      <c r="GA10" s="637"/>
      <c r="GB10" s="637"/>
      <c r="GC10" s="637"/>
      <c r="GD10" s="637"/>
      <c r="GE10" s="637"/>
      <c r="GF10" s="637"/>
      <c r="GG10" s="637"/>
      <c r="GH10" s="637"/>
      <c r="GI10" s="637"/>
      <c r="GJ10" s="637"/>
      <c r="GK10" s="637"/>
      <c r="GL10" s="637"/>
      <c r="GM10" s="637"/>
      <c r="GN10" s="637"/>
      <c r="GO10" s="637"/>
      <c r="GP10" s="637"/>
      <c r="GQ10" s="637"/>
      <c r="GR10" s="637"/>
      <c r="GS10" s="637"/>
      <c r="GT10" s="637"/>
      <c r="GU10" s="637"/>
      <c r="GV10" s="637"/>
      <c r="GW10" s="637"/>
      <c r="GX10" s="637"/>
      <c r="GY10" s="637"/>
      <c r="GZ10" s="637"/>
      <c r="HA10" s="637"/>
      <c r="HB10" s="637"/>
      <c r="HC10" s="637"/>
      <c r="HD10" s="637"/>
      <c r="HE10" s="637"/>
      <c r="HF10" s="637"/>
      <c r="HG10" s="637"/>
      <c r="HH10" s="637"/>
      <c r="HI10" s="637"/>
      <c r="HJ10" s="637"/>
      <c r="HK10" s="637"/>
      <c r="HL10" s="637"/>
      <c r="HM10" s="637"/>
      <c r="HN10" s="637"/>
      <c r="HO10" s="637"/>
      <c r="HP10" s="637"/>
      <c r="HQ10" s="637"/>
      <c r="HR10" s="637"/>
      <c r="HS10" s="637"/>
      <c r="HT10" s="637"/>
      <c r="HU10" s="637"/>
      <c r="HV10" s="637"/>
      <c r="HW10" s="637"/>
      <c r="HX10" s="637"/>
      <c r="HY10" s="637"/>
      <c r="HZ10" s="637"/>
      <c r="IA10" s="637"/>
      <c r="IB10" s="637"/>
      <c r="IC10" s="637"/>
      <c r="ID10" s="637"/>
      <c r="IE10" s="637"/>
      <c r="IF10" s="637"/>
      <c r="IG10" s="637"/>
      <c r="IH10" s="637"/>
      <c r="II10" s="637"/>
      <c r="IJ10" s="637"/>
      <c r="IK10" s="637"/>
      <c r="IL10" s="637"/>
      <c r="IM10" s="637"/>
      <c r="IN10" s="637"/>
      <c r="IO10" s="637"/>
      <c r="IP10" s="637"/>
      <c r="IQ10" s="637"/>
      <c r="IR10" s="637"/>
      <c r="IS10" s="637"/>
      <c r="IT10" s="637"/>
      <c r="IU10" s="637"/>
      <c r="IV10" s="637"/>
      <c r="IW10" s="637"/>
      <c r="IX10" s="637"/>
      <c r="IY10" s="637"/>
      <c r="IZ10" s="637"/>
      <c r="JA10" s="637"/>
      <c r="JB10" s="637"/>
      <c r="JC10" s="637"/>
      <c r="JD10" s="637"/>
      <c r="JE10" s="637"/>
      <c r="JF10" s="637"/>
      <c r="JG10" s="637"/>
      <c r="JH10" s="637"/>
      <c r="JI10" s="637"/>
      <c r="JJ10" s="637"/>
      <c r="JK10" s="637"/>
      <c r="JL10" s="637"/>
      <c r="JM10" s="637"/>
      <c r="JN10" s="637"/>
      <c r="JO10" s="637"/>
      <c r="JP10" s="637"/>
      <c r="JQ10" s="637"/>
      <c r="JR10" s="637"/>
      <c r="JS10" s="637"/>
      <c r="JT10" s="637"/>
      <c r="JU10" s="637"/>
      <c r="JV10" s="637"/>
      <c r="JW10" s="637"/>
      <c r="JX10" s="637"/>
      <c r="JY10" s="637"/>
      <c r="JZ10" s="637"/>
      <c r="KA10" s="637"/>
      <c r="KB10" s="637"/>
      <c r="KC10" s="637"/>
      <c r="KD10" s="637"/>
      <c r="KE10" s="637"/>
      <c r="KF10" s="637"/>
      <c r="KG10" s="637"/>
      <c r="KH10" s="637"/>
      <c r="KI10" s="637"/>
      <c r="KJ10" s="637"/>
      <c r="KK10" s="637"/>
      <c r="KL10" s="637"/>
      <c r="KM10" s="637"/>
      <c r="KN10" s="637"/>
      <c r="KO10" s="637"/>
      <c r="KP10" s="637"/>
      <c r="KQ10" s="637"/>
      <c r="KR10" s="637"/>
      <c r="KS10" s="637"/>
      <c r="KT10" s="637"/>
      <c r="KU10" s="637"/>
      <c r="KV10" s="637"/>
      <c r="KW10" s="637"/>
      <c r="KX10" s="637"/>
      <c r="KY10" s="637"/>
      <c r="KZ10" s="637"/>
      <c r="LA10" s="637"/>
      <c r="LB10" s="637"/>
      <c r="LC10" s="637"/>
      <c r="LD10" s="637"/>
      <c r="LE10" s="637"/>
      <c r="LF10" s="637"/>
      <c r="LG10" s="637"/>
      <c r="LH10" s="637"/>
      <c r="LI10" s="637"/>
      <c r="LJ10" s="637"/>
      <c r="LK10" s="637"/>
      <c r="LL10" s="637"/>
      <c r="LM10" s="637"/>
      <c r="LN10" s="637"/>
      <c r="LO10" s="637"/>
      <c r="LP10" s="637"/>
      <c r="LQ10" s="637"/>
      <c r="LR10" s="637"/>
      <c r="LS10" s="637"/>
      <c r="LT10" s="637"/>
      <c r="LU10" s="637"/>
      <c r="LV10" s="637"/>
      <c r="LW10" s="637"/>
      <c r="LX10" s="637"/>
      <c r="LY10" s="637"/>
      <c r="LZ10" s="637"/>
      <c r="MA10" s="637"/>
      <c r="MB10" s="637"/>
      <c r="MC10" s="637"/>
      <c r="MD10" s="637"/>
      <c r="ME10" s="637"/>
      <c r="MF10" s="637"/>
      <c r="MG10" s="637"/>
      <c r="MH10" s="637"/>
      <c r="MI10" s="637"/>
      <c r="MJ10" s="637"/>
      <c r="MK10" s="637"/>
      <c r="ML10" s="637"/>
      <c r="MM10" s="637"/>
      <c r="MN10" s="637"/>
      <c r="MO10" s="637"/>
      <c r="MP10" s="637"/>
      <c r="MQ10" s="637"/>
      <c r="MR10" s="637"/>
      <c r="MS10" s="637"/>
      <c r="MT10" s="637"/>
      <c r="MU10" s="637"/>
      <c r="MV10" s="637"/>
      <c r="MW10" s="637"/>
      <c r="MX10" s="637"/>
      <c r="MY10" s="637"/>
      <c r="MZ10" s="637"/>
      <c r="NA10" s="637"/>
      <c r="NB10" s="637"/>
      <c r="NC10" s="637"/>
      <c r="ND10" s="637"/>
      <c r="NE10" s="637"/>
      <c r="NF10" s="637"/>
      <c r="NG10" s="637"/>
      <c r="NH10" s="637"/>
      <c r="NI10" s="637"/>
      <c r="NJ10" s="637"/>
      <c r="NK10" s="637"/>
      <c r="NL10" s="637"/>
      <c r="NM10" s="637"/>
      <c r="NN10" s="637"/>
      <c r="NO10" s="637"/>
      <c r="NP10" s="637"/>
      <c r="NQ10" s="637"/>
      <c r="NR10" s="637"/>
      <c r="NS10" s="637"/>
      <c r="NT10" s="637"/>
      <c r="NU10" s="637"/>
      <c r="NV10" s="637"/>
      <c r="NW10" s="637"/>
      <c r="NX10" s="637"/>
      <c r="NY10" s="637"/>
      <c r="NZ10" s="637"/>
      <c r="OA10" s="637"/>
      <c r="OB10" s="637"/>
      <c r="OC10" s="637"/>
      <c r="OD10" s="637"/>
      <c r="OE10" s="637"/>
      <c r="OF10" s="637"/>
      <c r="OG10" s="637"/>
      <c r="OH10" s="637"/>
      <c r="OI10" s="637"/>
      <c r="OJ10" s="637"/>
      <c r="OK10" s="637"/>
      <c r="OL10" s="637"/>
      <c r="OM10" s="637"/>
      <c r="ON10" s="637"/>
      <c r="OO10" s="637"/>
      <c r="OP10" s="637"/>
      <c r="OQ10" s="637"/>
      <c r="OR10" s="637"/>
      <c r="OS10" s="637"/>
      <c r="OT10" s="637"/>
      <c r="OU10" s="637"/>
      <c r="OV10" s="637"/>
      <c r="OW10" s="637"/>
      <c r="OX10" s="637"/>
      <c r="OY10" s="637"/>
      <c r="OZ10" s="637"/>
      <c r="PA10" s="637"/>
      <c r="PB10" s="637"/>
      <c r="PC10" s="637"/>
      <c r="PD10" s="637"/>
      <c r="PE10" s="637"/>
      <c r="PF10" s="637"/>
      <c r="PG10" s="637"/>
      <c r="PH10" s="637"/>
      <c r="PI10" s="637"/>
      <c r="PJ10" s="637"/>
      <c r="PK10" s="637"/>
      <c r="PL10" s="637"/>
      <c r="PM10" s="637"/>
      <c r="PN10" s="637"/>
      <c r="PO10" s="637"/>
      <c r="PP10" s="637"/>
      <c r="PQ10" s="637"/>
      <c r="PR10" s="637"/>
      <c r="PS10" s="637"/>
      <c r="PT10" s="637"/>
      <c r="PU10" s="637"/>
      <c r="PV10" s="637"/>
      <c r="PW10" s="637"/>
      <c r="PX10" s="637"/>
      <c r="PY10" s="637"/>
      <c r="PZ10" s="637"/>
      <c r="QA10" s="637"/>
      <c r="QB10" s="637"/>
      <c r="QC10" s="637"/>
      <c r="QD10" s="637"/>
      <c r="QE10" s="637"/>
      <c r="QF10" s="637"/>
      <c r="QG10" s="637"/>
      <c r="QH10" s="637"/>
      <c r="QI10" s="637"/>
      <c r="QJ10" s="637"/>
      <c r="QK10" s="637"/>
      <c r="QL10" s="637"/>
      <c r="QM10" s="637"/>
      <c r="QN10" s="637"/>
      <c r="QO10" s="637"/>
      <c r="QP10" s="637"/>
      <c r="QQ10" s="637"/>
      <c r="QR10" s="637"/>
      <c r="QS10" s="637"/>
      <c r="QT10" s="637"/>
      <c r="QU10" s="637"/>
      <c r="QV10" s="637"/>
      <c r="QW10" s="637"/>
      <c r="QX10" s="637"/>
      <c r="QY10" s="637"/>
      <c r="QZ10" s="637"/>
      <c r="RA10" s="637"/>
      <c r="RB10" s="637"/>
      <c r="RC10" s="637"/>
      <c r="RD10" s="637"/>
      <c r="RE10" s="637"/>
      <c r="RF10" s="637"/>
      <c r="RG10" s="637"/>
      <c r="RH10" s="637"/>
      <c r="RI10" s="637"/>
      <c r="RJ10" s="637"/>
      <c r="RK10" s="637"/>
      <c r="RL10" s="637"/>
      <c r="RM10" s="637"/>
      <c r="RN10" s="637"/>
      <c r="RO10" s="637"/>
      <c r="RP10" s="637"/>
      <c r="RQ10" s="637"/>
      <c r="RR10" s="637"/>
      <c r="RS10" s="637"/>
      <c r="RT10" s="637"/>
      <c r="RU10" s="637"/>
      <c r="RV10" s="637"/>
      <c r="RW10" s="637"/>
      <c r="RX10" s="637"/>
      <c r="RY10" s="637"/>
      <c r="RZ10" s="637"/>
      <c r="SA10" s="637"/>
      <c r="SB10" s="637"/>
      <c r="SC10" s="637"/>
      <c r="SD10" s="637"/>
      <c r="SE10" s="637"/>
      <c r="SF10" s="637"/>
      <c r="SG10" s="637"/>
      <c r="SH10" s="637"/>
      <c r="SI10" s="637"/>
      <c r="SJ10" s="637"/>
      <c r="SK10" s="637"/>
      <c r="SL10" s="637"/>
      <c r="SM10" s="637"/>
      <c r="SN10" s="637"/>
      <c r="SO10" s="637"/>
      <c r="SP10" s="637"/>
      <c r="SQ10" s="637"/>
      <c r="SR10" s="637"/>
      <c r="SS10" s="637"/>
      <c r="ST10" s="637"/>
      <c r="SU10" s="637"/>
      <c r="SV10" s="637"/>
      <c r="SW10" s="637"/>
      <c r="SX10" s="637"/>
      <c r="SY10" s="637"/>
      <c r="SZ10" s="637"/>
      <c r="TA10" s="637"/>
      <c r="TB10" s="637"/>
      <c r="TC10" s="637"/>
      <c r="TD10" s="637"/>
      <c r="TE10" s="637"/>
      <c r="TF10" s="637"/>
      <c r="TG10" s="637"/>
      <c r="TH10" s="637"/>
      <c r="TI10" s="637"/>
      <c r="TJ10" s="637"/>
      <c r="TK10" s="637"/>
      <c r="TL10" s="637"/>
      <c r="TM10" s="637"/>
      <c r="TN10" s="637"/>
      <c r="TO10" s="637"/>
      <c r="TP10" s="637"/>
      <c r="TQ10" s="637"/>
      <c r="TR10" s="637"/>
      <c r="TS10" s="637"/>
      <c r="TT10" s="637"/>
      <c r="TU10" s="637"/>
      <c r="TV10" s="637"/>
      <c r="TW10" s="637"/>
      <c r="TX10" s="637"/>
      <c r="TY10" s="637"/>
      <c r="TZ10" s="637"/>
      <c r="UA10" s="637"/>
      <c r="UB10" s="637"/>
      <c r="UC10" s="637"/>
      <c r="UD10" s="637"/>
      <c r="UE10" s="637"/>
      <c r="UF10" s="637"/>
      <c r="UG10" s="637"/>
      <c r="UH10" s="637"/>
      <c r="UI10" s="637"/>
      <c r="UJ10" s="637"/>
      <c r="UK10" s="637"/>
      <c r="UL10" s="637"/>
      <c r="UM10" s="637"/>
      <c r="UN10" s="637"/>
      <c r="UO10" s="637"/>
      <c r="UP10" s="637"/>
      <c r="UQ10" s="637"/>
      <c r="UR10" s="637"/>
      <c r="US10" s="637"/>
      <c r="UT10" s="637"/>
      <c r="UU10" s="637"/>
      <c r="UV10" s="637"/>
      <c r="UW10" s="637"/>
      <c r="UX10" s="637"/>
      <c r="UY10" s="637"/>
      <c r="UZ10" s="637"/>
      <c r="VA10" s="637"/>
      <c r="VB10" s="637"/>
      <c r="VC10" s="637"/>
      <c r="VD10" s="637"/>
      <c r="VE10" s="637"/>
      <c r="VF10" s="637"/>
      <c r="VG10" s="637"/>
      <c r="VH10" s="637"/>
      <c r="VI10" s="637"/>
      <c r="VJ10" s="637"/>
      <c r="VK10" s="637"/>
      <c r="VL10" s="637"/>
      <c r="VM10" s="637"/>
      <c r="VN10" s="637"/>
      <c r="VO10" s="637"/>
      <c r="VP10" s="637"/>
      <c r="VQ10" s="637"/>
      <c r="VR10" s="637"/>
      <c r="VS10" s="637"/>
      <c r="VT10" s="637"/>
      <c r="VU10" s="637"/>
      <c r="VV10" s="637"/>
      <c r="VW10" s="637"/>
      <c r="VX10" s="637"/>
      <c r="VY10" s="637"/>
      <c r="VZ10" s="637"/>
      <c r="WA10" s="637"/>
      <c r="WB10" s="637"/>
      <c r="WC10" s="637"/>
      <c r="WD10" s="637"/>
      <c r="WE10" s="637"/>
      <c r="WF10" s="637"/>
      <c r="WG10" s="637"/>
      <c r="WH10" s="637"/>
      <c r="WI10" s="637"/>
      <c r="WJ10" s="637"/>
      <c r="WK10" s="637"/>
      <c r="WL10" s="637"/>
      <c r="WM10" s="637"/>
      <c r="WN10" s="637"/>
      <c r="WO10" s="637"/>
      <c r="WP10" s="637"/>
      <c r="WQ10" s="637"/>
      <c r="WR10" s="637"/>
      <c r="WS10" s="637"/>
      <c r="WT10" s="637"/>
      <c r="WU10" s="637"/>
      <c r="WV10" s="637"/>
      <c r="WW10" s="637"/>
      <c r="WX10" s="637"/>
      <c r="WY10" s="637"/>
      <c r="WZ10" s="637"/>
      <c r="XA10" s="637"/>
      <c r="XB10" s="637"/>
      <c r="XC10" s="637"/>
      <c r="XD10" s="637"/>
      <c r="XE10" s="637"/>
      <c r="XF10" s="637"/>
      <c r="XG10" s="637"/>
      <c r="XH10" s="637"/>
      <c r="XI10" s="637"/>
      <c r="XJ10" s="637"/>
      <c r="XK10" s="637"/>
      <c r="XL10" s="637"/>
      <c r="XM10" s="637"/>
      <c r="XN10" s="637"/>
      <c r="XO10" s="637"/>
      <c r="XP10" s="637"/>
      <c r="XQ10" s="637"/>
      <c r="XR10" s="637"/>
      <c r="XS10" s="637"/>
      <c r="XT10" s="637"/>
      <c r="XU10" s="637"/>
      <c r="XV10" s="637"/>
      <c r="XW10" s="637"/>
      <c r="XX10" s="637"/>
      <c r="XY10" s="637"/>
      <c r="XZ10" s="637"/>
      <c r="YA10" s="637"/>
      <c r="YB10" s="637"/>
      <c r="YC10" s="637"/>
      <c r="YD10" s="637"/>
      <c r="YE10" s="637"/>
      <c r="YF10" s="637"/>
      <c r="YG10" s="637"/>
      <c r="YH10" s="637"/>
      <c r="YI10" s="637"/>
      <c r="YJ10" s="637"/>
      <c r="YK10" s="637"/>
      <c r="YL10" s="637"/>
      <c r="YM10" s="637"/>
      <c r="YN10" s="637"/>
      <c r="YO10" s="637"/>
      <c r="YP10" s="637"/>
      <c r="YQ10" s="637"/>
      <c r="YR10" s="637"/>
      <c r="YS10" s="637"/>
      <c r="YT10" s="637"/>
      <c r="YU10" s="637"/>
      <c r="YV10" s="637"/>
      <c r="YW10" s="637"/>
      <c r="YX10" s="637"/>
      <c r="YY10" s="637"/>
      <c r="YZ10" s="637"/>
      <c r="ZA10" s="637"/>
      <c r="ZB10" s="637"/>
      <c r="ZC10" s="637"/>
      <c r="ZD10" s="637"/>
      <c r="ZE10" s="637"/>
      <c r="ZF10" s="637"/>
      <c r="ZG10" s="637"/>
      <c r="ZH10" s="637"/>
      <c r="ZI10" s="637"/>
      <c r="ZJ10" s="637"/>
      <c r="ZK10" s="637"/>
      <c r="ZL10" s="637"/>
      <c r="ZM10" s="637"/>
      <c r="ZN10" s="637"/>
      <c r="ZO10" s="637"/>
      <c r="ZP10" s="637"/>
      <c r="ZQ10" s="637"/>
      <c r="ZR10" s="637"/>
      <c r="ZS10" s="637"/>
      <c r="ZT10" s="637"/>
      <c r="ZU10" s="637"/>
      <c r="ZV10" s="637"/>
      <c r="ZW10" s="637"/>
      <c r="ZX10" s="637"/>
      <c r="ZY10" s="637"/>
      <c r="ZZ10" s="637"/>
      <c r="AAA10" s="637"/>
      <c r="AAB10" s="637"/>
      <c r="AAC10" s="637"/>
      <c r="AAD10" s="637"/>
      <c r="AAE10" s="637"/>
      <c r="AAF10" s="637"/>
      <c r="AAG10" s="637"/>
      <c r="AAH10" s="637"/>
      <c r="AAI10" s="637"/>
      <c r="AAJ10" s="637"/>
      <c r="AAK10" s="637"/>
      <c r="AAL10" s="637"/>
      <c r="AAM10" s="637"/>
      <c r="AAN10" s="637"/>
      <c r="AAO10" s="637"/>
      <c r="AAP10" s="637"/>
      <c r="AAQ10" s="637"/>
      <c r="AAR10" s="637"/>
      <c r="AAS10" s="637"/>
      <c r="AAT10" s="637"/>
      <c r="AAU10" s="637"/>
      <c r="AAV10" s="637"/>
      <c r="AAW10" s="637"/>
      <c r="AAX10" s="637"/>
      <c r="AAY10" s="637"/>
      <c r="AAZ10" s="637"/>
      <c r="ABA10" s="637"/>
      <c r="ABB10" s="637"/>
      <c r="ABC10" s="637"/>
      <c r="ABD10" s="637"/>
      <c r="ABE10" s="637"/>
      <c r="ABF10" s="637"/>
      <c r="ABG10" s="637"/>
      <c r="ABH10" s="637"/>
      <c r="ABI10" s="637"/>
      <c r="ABJ10" s="637"/>
      <c r="ABK10" s="637"/>
      <c r="ABL10" s="637"/>
      <c r="ABM10" s="637"/>
      <c r="ABN10" s="637"/>
      <c r="ABO10" s="637"/>
      <c r="ABP10" s="637"/>
      <c r="ABQ10" s="637"/>
      <c r="ABR10" s="637"/>
      <c r="ABS10" s="637"/>
      <c r="ABT10" s="637"/>
      <c r="ABU10" s="637"/>
      <c r="ABV10" s="637"/>
      <c r="ABW10" s="637"/>
      <c r="ABX10" s="637"/>
      <c r="ABY10" s="637"/>
      <c r="ABZ10" s="637"/>
      <c r="ACA10" s="637"/>
      <c r="ACB10" s="637"/>
      <c r="ACC10" s="637"/>
      <c r="ACD10" s="637"/>
      <c r="ACE10" s="637"/>
      <c r="ACF10" s="637"/>
      <c r="ACG10" s="637"/>
      <c r="ACH10" s="637"/>
      <c r="ACI10" s="637"/>
      <c r="ACJ10" s="637"/>
      <c r="ACK10" s="637"/>
      <c r="ACL10" s="637"/>
      <c r="ACM10" s="637"/>
      <c r="ACN10" s="637"/>
      <c r="ACO10" s="637"/>
      <c r="ACP10" s="637"/>
      <c r="ACQ10" s="637"/>
      <c r="ACR10" s="637"/>
      <c r="ACS10" s="637"/>
      <c r="ACT10" s="637"/>
      <c r="ACU10" s="637"/>
      <c r="ACV10" s="637"/>
      <c r="ACW10" s="637"/>
      <c r="ACX10" s="637"/>
      <c r="ACY10" s="637"/>
      <c r="ACZ10" s="637"/>
      <c r="ADA10" s="637"/>
      <c r="ADB10" s="637"/>
      <c r="ADC10" s="637"/>
      <c r="ADD10" s="637"/>
      <c r="ADE10" s="637"/>
      <c r="ADF10" s="637"/>
      <c r="ADG10" s="637"/>
      <c r="ADH10" s="637"/>
      <c r="ADI10" s="637"/>
      <c r="ADJ10" s="637"/>
      <c r="ADK10" s="637"/>
      <c r="ADL10" s="637"/>
      <c r="ADM10" s="637"/>
      <c r="ADN10" s="637"/>
      <c r="ADO10" s="637"/>
      <c r="ADP10" s="637"/>
      <c r="ADQ10" s="637"/>
      <c r="ADR10" s="637"/>
      <c r="ADS10" s="637"/>
      <c r="ADT10" s="637"/>
      <c r="ADU10" s="637"/>
      <c r="ADV10" s="637"/>
      <c r="ADW10" s="637"/>
      <c r="ADX10" s="637"/>
      <c r="ADY10" s="637"/>
      <c r="ADZ10" s="637"/>
      <c r="AEA10" s="637"/>
      <c r="AEB10" s="637"/>
      <c r="AEC10" s="637"/>
      <c r="AED10" s="637"/>
      <c r="AEE10" s="637"/>
      <c r="AEF10" s="637"/>
      <c r="AEG10" s="637"/>
      <c r="AEH10" s="637"/>
      <c r="AEI10" s="637"/>
      <c r="AEJ10" s="637"/>
      <c r="AEK10" s="637"/>
      <c r="AEL10" s="637"/>
      <c r="AEM10" s="637"/>
      <c r="AEN10" s="637"/>
      <c r="AEO10" s="637"/>
      <c r="AEP10" s="637"/>
      <c r="AEQ10" s="637"/>
      <c r="AER10" s="637"/>
      <c r="AES10" s="637"/>
      <c r="AET10" s="637"/>
      <c r="AEU10" s="637"/>
      <c r="AEV10" s="637"/>
      <c r="AEW10" s="637"/>
      <c r="AEX10" s="637"/>
      <c r="AEY10" s="637"/>
      <c r="AEZ10" s="637"/>
      <c r="AFA10" s="637"/>
      <c r="AFB10" s="637"/>
      <c r="AFC10" s="637"/>
      <c r="AFD10" s="637"/>
      <c r="AFE10" s="637"/>
      <c r="AFF10" s="637"/>
      <c r="AFG10" s="637"/>
      <c r="AFH10" s="637"/>
      <c r="AFI10" s="637"/>
      <c r="AFJ10" s="637"/>
      <c r="AFK10" s="637"/>
      <c r="AFL10" s="637"/>
      <c r="AFM10" s="637"/>
      <c r="AFN10" s="637"/>
      <c r="AFO10" s="637"/>
      <c r="AFP10" s="637"/>
      <c r="AFQ10" s="637"/>
      <c r="AFR10" s="637"/>
      <c r="AFS10" s="637"/>
      <c r="AFT10" s="637"/>
      <c r="AFU10" s="637"/>
      <c r="AFV10" s="637"/>
      <c r="AFW10" s="637"/>
      <c r="AFX10" s="637"/>
      <c r="AFY10" s="637"/>
      <c r="AFZ10" s="637"/>
      <c r="AGA10" s="637"/>
      <c r="AGB10" s="637"/>
      <c r="AGC10" s="637"/>
      <c r="AGD10" s="637"/>
      <c r="AGE10" s="637"/>
      <c r="AGF10" s="637"/>
      <c r="AGG10" s="637"/>
      <c r="AGH10" s="637"/>
      <c r="AGI10" s="637"/>
      <c r="AGJ10" s="637"/>
      <c r="AGK10" s="637"/>
      <c r="AGL10" s="637"/>
      <c r="AGM10" s="637"/>
      <c r="AGN10" s="637"/>
      <c r="AGO10" s="637"/>
      <c r="AGP10" s="637"/>
      <c r="AGQ10" s="637"/>
      <c r="AGR10" s="637"/>
      <c r="AGS10" s="637"/>
      <c r="AGT10" s="637"/>
      <c r="AGU10" s="637"/>
      <c r="AGV10" s="637"/>
      <c r="AGW10" s="637"/>
      <c r="AGX10" s="637"/>
      <c r="AGY10" s="637"/>
      <c r="AGZ10" s="637"/>
      <c r="AHA10" s="637"/>
      <c r="AHB10" s="637"/>
      <c r="AHC10" s="637"/>
      <c r="AHD10" s="637"/>
      <c r="AHE10" s="637"/>
      <c r="AHF10" s="637"/>
      <c r="AHG10" s="637"/>
      <c r="AHH10" s="637"/>
      <c r="AHI10" s="637"/>
      <c r="AHJ10" s="637"/>
      <c r="AHK10" s="637"/>
      <c r="AHL10" s="637"/>
      <c r="AHM10" s="637"/>
      <c r="AHN10" s="637"/>
      <c r="AHO10" s="637"/>
      <c r="AHP10" s="637"/>
      <c r="AHQ10" s="637"/>
      <c r="AHR10" s="637"/>
      <c r="AHS10" s="637"/>
      <c r="AHT10" s="637"/>
      <c r="AHU10" s="637"/>
      <c r="AHV10" s="637"/>
      <c r="AHW10" s="637"/>
      <c r="AHX10" s="637"/>
      <c r="AHY10" s="637"/>
      <c r="AHZ10" s="637"/>
      <c r="AIA10" s="637"/>
      <c r="AIB10" s="637"/>
      <c r="AIC10" s="637"/>
      <c r="AID10" s="637"/>
      <c r="AIE10" s="637"/>
      <c r="AIF10" s="637"/>
      <c r="AIG10" s="637"/>
      <c r="AIH10" s="637"/>
      <c r="AII10" s="637"/>
      <c r="AIJ10" s="637"/>
      <c r="AIK10" s="637"/>
      <c r="AIL10" s="637"/>
      <c r="AIM10" s="637"/>
      <c r="AIN10" s="637"/>
      <c r="AIO10" s="637"/>
      <c r="AIP10" s="637"/>
      <c r="AIQ10" s="637"/>
      <c r="AIR10" s="637"/>
      <c r="AIS10" s="637"/>
      <c r="AIT10" s="637"/>
      <c r="AIU10" s="637"/>
      <c r="AIV10" s="637"/>
      <c r="AIW10" s="637"/>
      <c r="AIX10" s="637"/>
      <c r="AIY10" s="637"/>
      <c r="AIZ10" s="637"/>
      <c r="AJA10" s="637"/>
      <c r="AJB10" s="637"/>
      <c r="AJC10" s="637"/>
      <c r="AJD10" s="637"/>
      <c r="AJE10" s="637"/>
      <c r="AJF10" s="637"/>
      <c r="AJG10" s="637"/>
      <c r="AJH10" s="637"/>
      <c r="AJI10" s="637"/>
      <c r="AJJ10" s="637"/>
      <c r="AJK10" s="637"/>
      <c r="AJL10" s="637"/>
      <c r="AJM10" s="637"/>
      <c r="AJN10" s="637"/>
      <c r="AJO10" s="637"/>
      <c r="AJP10" s="637"/>
      <c r="AJQ10" s="637"/>
      <c r="AJR10" s="637"/>
      <c r="AJS10" s="637"/>
      <c r="AJT10" s="637"/>
      <c r="AJU10" s="637"/>
      <c r="AJV10" s="637"/>
      <c r="AJW10" s="637"/>
      <c r="AJX10" s="637"/>
      <c r="AJY10" s="637"/>
      <c r="AJZ10" s="637"/>
      <c r="AKA10" s="637"/>
      <c r="AKB10" s="637"/>
      <c r="AKC10" s="637"/>
      <c r="AKD10" s="637"/>
      <c r="AKE10" s="637"/>
      <c r="AKF10" s="637"/>
      <c r="AKG10" s="637"/>
      <c r="AKH10" s="637"/>
      <c r="AKI10" s="637"/>
      <c r="AKJ10" s="637"/>
      <c r="AKK10" s="637"/>
      <c r="AKL10" s="637"/>
      <c r="AKM10" s="637"/>
      <c r="AKN10" s="637"/>
      <c r="AKO10" s="637"/>
      <c r="AKP10" s="637"/>
      <c r="AKQ10" s="637"/>
      <c r="AKR10" s="637"/>
      <c r="AKS10" s="637"/>
      <c r="AKT10" s="637"/>
      <c r="AKU10" s="637"/>
      <c r="AKV10" s="637"/>
      <c r="AKW10" s="637"/>
      <c r="AKX10" s="637"/>
      <c r="AKY10" s="637"/>
      <c r="AKZ10" s="637"/>
      <c r="ALA10" s="637"/>
      <c r="ALB10" s="637"/>
      <c r="ALC10" s="637"/>
      <c r="ALD10" s="637"/>
      <c r="ALE10" s="637"/>
      <c r="ALF10" s="637"/>
      <c r="ALG10" s="637"/>
      <c r="ALH10" s="637"/>
      <c r="ALI10" s="637"/>
      <c r="ALJ10" s="637"/>
      <c r="ALK10" s="637"/>
      <c r="ALL10" s="637"/>
      <c r="ALM10" s="637"/>
      <c r="ALN10" s="637"/>
      <c r="ALO10" s="637"/>
      <c r="ALP10" s="637"/>
      <c r="ALQ10" s="637"/>
      <c r="ALR10" s="637"/>
      <c r="ALS10" s="637"/>
      <c r="ALT10" s="637"/>
      <c r="ALU10" s="637"/>
      <c r="ALV10" s="637"/>
      <c r="ALW10" s="637"/>
      <c r="ALX10" s="637"/>
      <c r="ALY10" s="637"/>
      <c r="ALZ10" s="637"/>
      <c r="AMA10" s="637"/>
      <c r="AMB10" s="637"/>
      <c r="AMC10" s="637"/>
      <c r="AMD10" s="637"/>
      <c r="AME10" s="637"/>
      <c r="AMF10" s="637"/>
      <c r="AMG10" s="637"/>
      <c r="AMH10" s="637"/>
      <c r="AMI10" s="637"/>
      <c r="AMJ10" s="637"/>
    </row>
    <row r="11" spans="1:1024" s="638" customFormat="1" ht="12.75" hidden="1">
      <c r="A11" s="984"/>
      <c r="B11" s="985"/>
      <c r="C11" s="986"/>
      <c r="D11" s="981"/>
      <c r="E11" s="982"/>
      <c r="F11" s="982"/>
      <c r="G11" s="987"/>
      <c r="H11" s="987"/>
      <c r="I11" s="987"/>
      <c r="J11" s="987"/>
      <c r="K11" s="987"/>
      <c r="L11" s="987"/>
      <c r="M11" s="987"/>
      <c r="N11" s="987"/>
      <c r="O11" s="987"/>
      <c r="P11" s="987"/>
      <c r="Q11" s="987"/>
      <c r="R11" s="984"/>
      <c r="S11" s="637"/>
      <c r="T11" s="637"/>
      <c r="U11" s="637"/>
      <c r="V11" s="637"/>
      <c r="W11" s="637"/>
      <c r="X11" s="637"/>
      <c r="Y11" s="637"/>
      <c r="Z11" s="637"/>
      <c r="AA11" s="637"/>
      <c r="AB11" s="637"/>
      <c r="AC11" s="637"/>
      <c r="AD11" s="637"/>
      <c r="AE11" s="637"/>
      <c r="AF11" s="637"/>
      <c r="AG11" s="637"/>
      <c r="AH11" s="637"/>
      <c r="AI11" s="637"/>
      <c r="AJ11" s="637"/>
      <c r="AK11" s="637"/>
      <c r="AL11" s="637"/>
      <c r="AM11" s="637"/>
      <c r="AN11" s="637"/>
      <c r="AO11" s="637"/>
      <c r="AP11" s="637"/>
      <c r="AQ11" s="637"/>
      <c r="AR11" s="637"/>
      <c r="AS11" s="637"/>
      <c r="AT11" s="637"/>
      <c r="AU11" s="637"/>
      <c r="AV11" s="637"/>
      <c r="AW11" s="637"/>
      <c r="AX11" s="637"/>
      <c r="AY11" s="637"/>
      <c r="AZ11" s="637"/>
      <c r="BA11" s="637"/>
      <c r="BB11" s="637"/>
      <c r="BC11" s="637"/>
      <c r="BD11" s="637"/>
      <c r="BE11" s="637"/>
      <c r="BF11" s="637"/>
      <c r="BG11" s="637"/>
      <c r="BH11" s="637"/>
      <c r="BI11" s="637"/>
      <c r="BJ11" s="637"/>
      <c r="BK11" s="637"/>
      <c r="BL11" s="637"/>
      <c r="BM11" s="637"/>
      <c r="BN11" s="637"/>
      <c r="BO11" s="637"/>
      <c r="BP11" s="637"/>
      <c r="BQ11" s="637"/>
      <c r="BR11" s="637"/>
      <c r="BS11" s="637"/>
      <c r="BT11" s="637"/>
      <c r="BU11" s="637"/>
      <c r="BV11" s="637"/>
      <c r="BW11" s="637"/>
      <c r="BX11" s="637"/>
      <c r="BY11" s="637"/>
      <c r="BZ11" s="637"/>
      <c r="CA11" s="637"/>
      <c r="CB11" s="637"/>
      <c r="CC11" s="637"/>
      <c r="CD11" s="637"/>
      <c r="CE11" s="637"/>
      <c r="CF11" s="637"/>
      <c r="CG11" s="637"/>
      <c r="CH11" s="637"/>
      <c r="CI11" s="637"/>
      <c r="CJ11" s="637"/>
      <c r="CK11" s="637"/>
      <c r="CL11" s="637"/>
      <c r="CM11" s="637"/>
      <c r="CN11" s="637"/>
      <c r="CO11" s="637"/>
      <c r="CP11" s="637"/>
      <c r="CQ11" s="637"/>
      <c r="CR11" s="637"/>
      <c r="CS11" s="637"/>
      <c r="CT11" s="637"/>
      <c r="CU11" s="637"/>
      <c r="CV11" s="637"/>
      <c r="CW11" s="637"/>
      <c r="CX11" s="637"/>
      <c r="CY11" s="637"/>
      <c r="CZ11" s="637"/>
      <c r="DA11" s="637"/>
      <c r="DB11" s="637"/>
      <c r="DC11" s="637"/>
      <c r="DD11" s="637"/>
      <c r="DE11" s="637"/>
      <c r="DF11" s="637"/>
      <c r="DG11" s="637"/>
      <c r="DH11" s="637"/>
      <c r="DI11" s="637"/>
      <c r="DJ11" s="637"/>
      <c r="DK11" s="637"/>
      <c r="DL11" s="637"/>
      <c r="DM11" s="637"/>
      <c r="DN11" s="637"/>
      <c r="DO11" s="637"/>
      <c r="DP11" s="637"/>
      <c r="DQ11" s="637"/>
      <c r="DR11" s="637"/>
      <c r="DS11" s="637"/>
      <c r="DT11" s="637"/>
      <c r="DU11" s="637"/>
      <c r="DV11" s="637"/>
      <c r="DW11" s="637"/>
      <c r="DX11" s="637"/>
      <c r="DY11" s="637"/>
      <c r="DZ11" s="637"/>
      <c r="EA11" s="637"/>
      <c r="EB11" s="637"/>
      <c r="EC11" s="637"/>
      <c r="ED11" s="637"/>
      <c r="EE11" s="637"/>
      <c r="EF11" s="637"/>
      <c r="EG11" s="637"/>
      <c r="EH11" s="637"/>
      <c r="EI11" s="637"/>
      <c r="EJ11" s="637"/>
      <c r="EK11" s="637"/>
      <c r="EL11" s="637"/>
      <c r="EM11" s="637"/>
      <c r="EN11" s="637"/>
      <c r="EO11" s="637"/>
      <c r="EP11" s="637"/>
      <c r="EQ11" s="637"/>
      <c r="ER11" s="637"/>
      <c r="ES11" s="637"/>
      <c r="ET11" s="637"/>
      <c r="EU11" s="637"/>
      <c r="EV11" s="637"/>
      <c r="EW11" s="637"/>
      <c r="EX11" s="637"/>
      <c r="EY11" s="637"/>
      <c r="EZ11" s="637"/>
      <c r="FA11" s="637"/>
      <c r="FB11" s="637"/>
      <c r="FC11" s="637"/>
      <c r="FD11" s="637"/>
      <c r="FE11" s="637"/>
      <c r="FF11" s="637"/>
      <c r="FG11" s="637"/>
      <c r="FH11" s="637"/>
      <c r="FI11" s="637"/>
      <c r="FJ11" s="637"/>
      <c r="FK11" s="637"/>
      <c r="FL11" s="637"/>
      <c r="FM11" s="637"/>
      <c r="FN11" s="637"/>
      <c r="FO11" s="637"/>
      <c r="FP11" s="637"/>
      <c r="FQ11" s="637"/>
      <c r="FR11" s="637"/>
      <c r="FS11" s="637"/>
      <c r="FT11" s="637"/>
      <c r="FU11" s="637"/>
      <c r="FV11" s="637"/>
      <c r="FW11" s="637"/>
      <c r="FX11" s="637"/>
      <c r="FY11" s="637"/>
      <c r="FZ11" s="637"/>
      <c r="GA11" s="637"/>
      <c r="GB11" s="637"/>
      <c r="GC11" s="637"/>
      <c r="GD11" s="637"/>
      <c r="GE11" s="637"/>
      <c r="GF11" s="637"/>
      <c r="GG11" s="637"/>
      <c r="GH11" s="637"/>
      <c r="GI11" s="637"/>
      <c r="GJ11" s="637"/>
      <c r="GK11" s="637"/>
      <c r="GL11" s="637"/>
      <c r="GM11" s="637"/>
      <c r="GN11" s="637"/>
      <c r="GO11" s="637"/>
      <c r="GP11" s="637"/>
      <c r="GQ11" s="637"/>
      <c r="GR11" s="637"/>
      <c r="GS11" s="637"/>
      <c r="GT11" s="637"/>
      <c r="GU11" s="637"/>
      <c r="GV11" s="637"/>
      <c r="GW11" s="637"/>
      <c r="GX11" s="637"/>
      <c r="GY11" s="637"/>
      <c r="GZ11" s="637"/>
      <c r="HA11" s="637"/>
      <c r="HB11" s="637"/>
      <c r="HC11" s="637"/>
      <c r="HD11" s="637"/>
      <c r="HE11" s="637"/>
      <c r="HF11" s="637"/>
      <c r="HG11" s="637"/>
      <c r="HH11" s="637"/>
      <c r="HI11" s="637"/>
      <c r="HJ11" s="637"/>
      <c r="HK11" s="637"/>
      <c r="HL11" s="637"/>
      <c r="HM11" s="637"/>
      <c r="HN11" s="637"/>
      <c r="HO11" s="637"/>
      <c r="HP11" s="637"/>
      <c r="HQ11" s="637"/>
      <c r="HR11" s="637"/>
      <c r="HS11" s="637"/>
      <c r="HT11" s="637"/>
      <c r="HU11" s="637"/>
      <c r="HV11" s="637"/>
      <c r="HW11" s="637"/>
      <c r="HX11" s="637"/>
      <c r="HY11" s="637"/>
      <c r="HZ11" s="637"/>
      <c r="IA11" s="637"/>
      <c r="IB11" s="637"/>
      <c r="IC11" s="637"/>
      <c r="ID11" s="637"/>
      <c r="IE11" s="637"/>
      <c r="IF11" s="637"/>
      <c r="IG11" s="637"/>
      <c r="IH11" s="637"/>
      <c r="II11" s="637"/>
      <c r="IJ11" s="637"/>
      <c r="IK11" s="637"/>
      <c r="IL11" s="637"/>
      <c r="IM11" s="637"/>
      <c r="IN11" s="637"/>
      <c r="IO11" s="637"/>
      <c r="IP11" s="637"/>
      <c r="IQ11" s="637"/>
      <c r="IR11" s="637"/>
      <c r="IS11" s="637"/>
      <c r="IT11" s="637"/>
      <c r="IU11" s="637"/>
      <c r="IV11" s="637"/>
      <c r="IW11" s="637"/>
      <c r="IX11" s="637"/>
      <c r="IY11" s="637"/>
      <c r="IZ11" s="637"/>
      <c r="JA11" s="637"/>
      <c r="JB11" s="637"/>
      <c r="JC11" s="637"/>
      <c r="JD11" s="637"/>
      <c r="JE11" s="637"/>
      <c r="JF11" s="637"/>
      <c r="JG11" s="637"/>
      <c r="JH11" s="637"/>
      <c r="JI11" s="637"/>
      <c r="JJ11" s="637"/>
      <c r="JK11" s="637"/>
      <c r="JL11" s="637"/>
      <c r="JM11" s="637"/>
      <c r="JN11" s="637"/>
      <c r="JO11" s="637"/>
      <c r="JP11" s="637"/>
      <c r="JQ11" s="637"/>
      <c r="JR11" s="637"/>
      <c r="JS11" s="637"/>
      <c r="JT11" s="637"/>
      <c r="JU11" s="637"/>
      <c r="JV11" s="637"/>
      <c r="JW11" s="637"/>
      <c r="JX11" s="637"/>
      <c r="JY11" s="637"/>
      <c r="JZ11" s="637"/>
      <c r="KA11" s="637"/>
      <c r="KB11" s="637"/>
      <c r="KC11" s="637"/>
      <c r="KD11" s="637"/>
      <c r="KE11" s="637"/>
      <c r="KF11" s="637"/>
      <c r="KG11" s="637"/>
      <c r="KH11" s="637"/>
      <c r="KI11" s="637"/>
      <c r="KJ11" s="637"/>
      <c r="KK11" s="637"/>
      <c r="KL11" s="637"/>
      <c r="KM11" s="637"/>
      <c r="KN11" s="637"/>
      <c r="KO11" s="637"/>
      <c r="KP11" s="637"/>
      <c r="KQ11" s="637"/>
      <c r="KR11" s="637"/>
      <c r="KS11" s="637"/>
      <c r="KT11" s="637"/>
      <c r="KU11" s="637"/>
      <c r="KV11" s="637"/>
      <c r="KW11" s="637"/>
      <c r="KX11" s="637"/>
      <c r="KY11" s="637"/>
      <c r="KZ11" s="637"/>
      <c r="LA11" s="637"/>
      <c r="LB11" s="637"/>
      <c r="LC11" s="637"/>
      <c r="LD11" s="637"/>
      <c r="LE11" s="637"/>
      <c r="LF11" s="637"/>
      <c r="LG11" s="637"/>
      <c r="LH11" s="637"/>
      <c r="LI11" s="637"/>
      <c r="LJ11" s="637"/>
      <c r="LK11" s="637"/>
      <c r="LL11" s="637"/>
      <c r="LM11" s="637"/>
      <c r="LN11" s="637"/>
      <c r="LO11" s="637"/>
      <c r="LP11" s="637"/>
      <c r="LQ11" s="637"/>
      <c r="LR11" s="637"/>
      <c r="LS11" s="637"/>
      <c r="LT11" s="637"/>
      <c r="LU11" s="637"/>
      <c r="LV11" s="637"/>
      <c r="LW11" s="637"/>
      <c r="LX11" s="637"/>
      <c r="LY11" s="637"/>
      <c r="LZ11" s="637"/>
      <c r="MA11" s="637"/>
      <c r="MB11" s="637"/>
      <c r="MC11" s="637"/>
      <c r="MD11" s="637"/>
      <c r="ME11" s="637"/>
      <c r="MF11" s="637"/>
      <c r="MG11" s="637"/>
      <c r="MH11" s="637"/>
      <c r="MI11" s="637"/>
      <c r="MJ11" s="637"/>
      <c r="MK11" s="637"/>
      <c r="ML11" s="637"/>
      <c r="MM11" s="637"/>
      <c r="MN11" s="637"/>
      <c r="MO11" s="637"/>
      <c r="MP11" s="637"/>
      <c r="MQ11" s="637"/>
      <c r="MR11" s="637"/>
      <c r="MS11" s="637"/>
      <c r="MT11" s="637"/>
      <c r="MU11" s="637"/>
      <c r="MV11" s="637"/>
      <c r="MW11" s="637"/>
      <c r="MX11" s="637"/>
      <c r="MY11" s="637"/>
      <c r="MZ11" s="637"/>
      <c r="NA11" s="637"/>
      <c r="NB11" s="637"/>
      <c r="NC11" s="637"/>
      <c r="ND11" s="637"/>
      <c r="NE11" s="637"/>
      <c r="NF11" s="637"/>
      <c r="NG11" s="637"/>
      <c r="NH11" s="637"/>
      <c r="NI11" s="637"/>
      <c r="NJ11" s="637"/>
      <c r="NK11" s="637"/>
      <c r="NL11" s="637"/>
      <c r="NM11" s="637"/>
      <c r="NN11" s="637"/>
      <c r="NO11" s="637"/>
      <c r="NP11" s="637"/>
      <c r="NQ11" s="637"/>
      <c r="NR11" s="637"/>
      <c r="NS11" s="637"/>
      <c r="NT11" s="637"/>
      <c r="NU11" s="637"/>
      <c r="NV11" s="637"/>
      <c r="NW11" s="637"/>
      <c r="NX11" s="637"/>
      <c r="NY11" s="637"/>
      <c r="NZ11" s="637"/>
      <c r="OA11" s="637"/>
      <c r="OB11" s="637"/>
      <c r="OC11" s="637"/>
      <c r="OD11" s="637"/>
      <c r="OE11" s="637"/>
      <c r="OF11" s="637"/>
      <c r="OG11" s="637"/>
      <c r="OH11" s="637"/>
      <c r="OI11" s="637"/>
      <c r="OJ11" s="637"/>
      <c r="OK11" s="637"/>
      <c r="OL11" s="637"/>
      <c r="OM11" s="637"/>
      <c r="ON11" s="637"/>
      <c r="OO11" s="637"/>
      <c r="OP11" s="637"/>
      <c r="OQ11" s="637"/>
      <c r="OR11" s="637"/>
      <c r="OS11" s="637"/>
      <c r="OT11" s="637"/>
      <c r="OU11" s="637"/>
      <c r="OV11" s="637"/>
      <c r="OW11" s="637"/>
      <c r="OX11" s="637"/>
      <c r="OY11" s="637"/>
      <c r="OZ11" s="637"/>
      <c r="PA11" s="637"/>
      <c r="PB11" s="637"/>
      <c r="PC11" s="637"/>
      <c r="PD11" s="637"/>
      <c r="PE11" s="637"/>
      <c r="PF11" s="637"/>
      <c r="PG11" s="637"/>
      <c r="PH11" s="637"/>
      <c r="PI11" s="637"/>
      <c r="PJ11" s="637"/>
      <c r="PK11" s="637"/>
      <c r="PL11" s="637"/>
      <c r="PM11" s="637"/>
      <c r="PN11" s="637"/>
      <c r="PO11" s="637"/>
      <c r="PP11" s="637"/>
      <c r="PQ11" s="637"/>
      <c r="PR11" s="637"/>
      <c r="PS11" s="637"/>
      <c r="PT11" s="637"/>
      <c r="PU11" s="637"/>
      <c r="PV11" s="637"/>
      <c r="PW11" s="637"/>
      <c r="PX11" s="637"/>
      <c r="PY11" s="637"/>
      <c r="PZ11" s="637"/>
      <c r="QA11" s="637"/>
      <c r="QB11" s="637"/>
      <c r="QC11" s="637"/>
      <c r="QD11" s="637"/>
      <c r="QE11" s="637"/>
      <c r="QF11" s="637"/>
      <c r="QG11" s="637"/>
      <c r="QH11" s="637"/>
      <c r="QI11" s="637"/>
      <c r="QJ11" s="637"/>
      <c r="QK11" s="637"/>
      <c r="QL11" s="637"/>
      <c r="QM11" s="637"/>
      <c r="QN11" s="637"/>
      <c r="QO11" s="637"/>
      <c r="QP11" s="637"/>
      <c r="QQ11" s="637"/>
      <c r="QR11" s="637"/>
      <c r="QS11" s="637"/>
      <c r="QT11" s="637"/>
      <c r="QU11" s="637"/>
      <c r="QV11" s="637"/>
      <c r="QW11" s="637"/>
      <c r="QX11" s="637"/>
      <c r="QY11" s="637"/>
      <c r="QZ11" s="637"/>
      <c r="RA11" s="637"/>
      <c r="RB11" s="637"/>
      <c r="RC11" s="637"/>
      <c r="RD11" s="637"/>
      <c r="RE11" s="637"/>
      <c r="RF11" s="637"/>
      <c r="RG11" s="637"/>
      <c r="RH11" s="637"/>
      <c r="RI11" s="637"/>
      <c r="RJ11" s="637"/>
      <c r="RK11" s="637"/>
      <c r="RL11" s="637"/>
      <c r="RM11" s="637"/>
      <c r="RN11" s="637"/>
      <c r="RO11" s="637"/>
      <c r="RP11" s="637"/>
      <c r="RQ11" s="637"/>
      <c r="RR11" s="637"/>
      <c r="RS11" s="637"/>
      <c r="RT11" s="637"/>
      <c r="RU11" s="637"/>
      <c r="RV11" s="637"/>
      <c r="RW11" s="637"/>
      <c r="RX11" s="637"/>
      <c r="RY11" s="637"/>
      <c r="RZ11" s="637"/>
      <c r="SA11" s="637"/>
      <c r="SB11" s="637"/>
      <c r="SC11" s="637"/>
      <c r="SD11" s="637"/>
      <c r="SE11" s="637"/>
      <c r="SF11" s="637"/>
      <c r="SG11" s="637"/>
      <c r="SH11" s="637"/>
      <c r="SI11" s="637"/>
      <c r="SJ11" s="637"/>
      <c r="SK11" s="637"/>
      <c r="SL11" s="637"/>
      <c r="SM11" s="637"/>
      <c r="SN11" s="637"/>
      <c r="SO11" s="637"/>
      <c r="SP11" s="637"/>
      <c r="SQ11" s="637"/>
      <c r="SR11" s="637"/>
      <c r="SS11" s="637"/>
      <c r="ST11" s="637"/>
      <c r="SU11" s="637"/>
      <c r="SV11" s="637"/>
      <c r="SW11" s="637"/>
      <c r="SX11" s="637"/>
      <c r="SY11" s="637"/>
      <c r="SZ11" s="637"/>
      <c r="TA11" s="637"/>
      <c r="TB11" s="637"/>
      <c r="TC11" s="637"/>
      <c r="TD11" s="637"/>
      <c r="TE11" s="637"/>
      <c r="TF11" s="637"/>
      <c r="TG11" s="637"/>
      <c r="TH11" s="637"/>
      <c r="TI11" s="637"/>
      <c r="TJ11" s="637"/>
      <c r="TK11" s="637"/>
      <c r="TL11" s="637"/>
      <c r="TM11" s="637"/>
      <c r="TN11" s="637"/>
      <c r="TO11" s="637"/>
      <c r="TP11" s="637"/>
      <c r="TQ11" s="637"/>
      <c r="TR11" s="637"/>
      <c r="TS11" s="637"/>
      <c r="TT11" s="637"/>
      <c r="TU11" s="637"/>
      <c r="TV11" s="637"/>
      <c r="TW11" s="637"/>
      <c r="TX11" s="637"/>
      <c r="TY11" s="637"/>
      <c r="TZ11" s="637"/>
      <c r="UA11" s="637"/>
      <c r="UB11" s="637"/>
      <c r="UC11" s="637"/>
      <c r="UD11" s="637"/>
      <c r="UE11" s="637"/>
      <c r="UF11" s="637"/>
      <c r="UG11" s="637"/>
      <c r="UH11" s="637"/>
      <c r="UI11" s="637"/>
      <c r="UJ11" s="637"/>
      <c r="UK11" s="637"/>
      <c r="UL11" s="637"/>
      <c r="UM11" s="637"/>
      <c r="UN11" s="637"/>
      <c r="UO11" s="637"/>
      <c r="UP11" s="637"/>
      <c r="UQ11" s="637"/>
      <c r="UR11" s="637"/>
      <c r="US11" s="637"/>
      <c r="UT11" s="637"/>
      <c r="UU11" s="637"/>
      <c r="UV11" s="637"/>
      <c r="UW11" s="637"/>
      <c r="UX11" s="637"/>
      <c r="UY11" s="637"/>
      <c r="UZ11" s="637"/>
      <c r="VA11" s="637"/>
      <c r="VB11" s="637"/>
      <c r="VC11" s="637"/>
      <c r="VD11" s="637"/>
      <c r="VE11" s="637"/>
      <c r="VF11" s="637"/>
      <c r="VG11" s="637"/>
      <c r="VH11" s="637"/>
      <c r="VI11" s="637"/>
      <c r="VJ11" s="637"/>
      <c r="VK11" s="637"/>
      <c r="VL11" s="637"/>
      <c r="VM11" s="637"/>
      <c r="VN11" s="637"/>
      <c r="VO11" s="637"/>
      <c r="VP11" s="637"/>
      <c r="VQ11" s="637"/>
      <c r="VR11" s="637"/>
      <c r="VS11" s="637"/>
      <c r="VT11" s="637"/>
      <c r="VU11" s="637"/>
      <c r="VV11" s="637"/>
      <c r="VW11" s="637"/>
      <c r="VX11" s="637"/>
      <c r="VY11" s="637"/>
      <c r="VZ11" s="637"/>
      <c r="WA11" s="637"/>
      <c r="WB11" s="637"/>
      <c r="WC11" s="637"/>
      <c r="WD11" s="637"/>
      <c r="WE11" s="637"/>
      <c r="WF11" s="637"/>
      <c r="WG11" s="637"/>
      <c r="WH11" s="637"/>
      <c r="WI11" s="637"/>
      <c r="WJ11" s="637"/>
      <c r="WK11" s="637"/>
      <c r="WL11" s="637"/>
      <c r="WM11" s="637"/>
      <c r="WN11" s="637"/>
      <c r="WO11" s="637"/>
      <c r="WP11" s="637"/>
      <c r="WQ11" s="637"/>
      <c r="WR11" s="637"/>
      <c r="WS11" s="637"/>
      <c r="WT11" s="637"/>
      <c r="WU11" s="637"/>
      <c r="WV11" s="637"/>
      <c r="WW11" s="637"/>
      <c r="WX11" s="637"/>
      <c r="WY11" s="637"/>
      <c r="WZ11" s="637"/>
      <c r="XA11" s="637"/>
      <c r="XB11" s="637"/>
      <c r="XC11" s="637"/>
      <c r="XD11" s="637"/>
      <c r="XE11" s="637"/>
      <c r="XF11" s="637"/>
      <c r="XG11" s="637"/>
      <c r="XH11" s="637"/>
      <c r="XI11" s="637"/>
      <c r="XJ11" s="637"/>
      <c r="XK11" s="637"/>
      <c r="XL11" s="637"/>
      <c r="XM11" s="637"/>
      <c r="XN11" s="637"/>
      <c r="XO11" s="637"/>
      <c r="XP11" s="637"/>
      <c r="XQ11" s="637"/>
      <c r="XR11" s="637"/>
      <c r="XS11" s="637"/>
      <c r="XT11" s="637"/>
      <c r="XU11" s="637"/>
      <c r="XV11" s="637"/>
      <c r="XW11" s="637"/>
      <c r="XX11" s="637"/>
      <c r="XY11" s="637"/>
      <c r="XZ11" s="637"/>
      <c r="YA11" s="637"/>
      <c r="YB11" s="637"/>
      <c r="YC11" s="637"/>
      <c r="YD11" s="637"/>
      <c r="YE11" s="637"/>
      <c r="YF11" s="637"/>
      <c r="YG11" s="637"/>
      <c r="YH11" s="637"/>
      <c r="YI11" s="637"/>
      <c r="YJ11" s="637"/>
      <c r="YK11" s="637"/>
      <c r="YL11" s="637"/>
      <c r="YM11" s="637"/>
      <c r="YN11" s="637"/>
      <c r="YO11" s="637"/>
      <c r="YP11" s="637"/>
      <c r="YQ11" s="637"/>
      <c r="YR11" s="637"/>
      <c r="YS11" s="637"/>
      <c r="YT11" s="637"/>
      <c r="YU11" s="637"/>
      <c r="YV11" s="637"/>
      <c r="YW11" s="637"/>
      <c r="YX11" s="637"/>
      <c r="YY11" s="637"/>
      <c r="YZ11" s="637"/>
      <c r="ZA11" s="637"/>
      <c r="ZB11" s="637"/>
      <c r="ZC11" s="637"/>
      <c r="ZD11" s="637"/>
      <c r="ZE11" s="637"/>
      <c r="ZF11" s="637"/>
      <c r="ZG11" s="637"/>
      <c r="ZH11" s="637"/>
      <c r="ZI11" s="637"/>
      <c r="ZJ11" s="637"/>
      <c r="ZK11" s="637"/>
      <c r="ZL11" s="637"/>
      <c r="ZM11" s="637"/>
      <c r="ZN11" s="637"/>
      <c r="ZO11" s="637"/>
      <c r="ZP11" s="637"/>
      <c r="ZQ11" s="637"/>
      <c r="ZR11" s="637"/>
      <c r="ZS11" s="637"/>
      <c r="ZT11" s="637"/>
      <c r="ZU11" s="637"/>
      <c r="ZV11" s="637"/>
      <c r="ZW11" s="637"/>
      <c r="ZX11" s="637"/>
      <c r="ZY11" s="637"/>
      <c r="ZZ11" s="637"/>
      <c r="AAA11" s="637"/>
      <c r="AAB11" s="637"/>
      <c r="AAC11" s="637"/>
      <c r="AAD11" s="637"/>
      <c r="AAE11" s="637"/>
      <c r="AAF11" s="637"/>
      <c r="AAG11" s="637"/>
      <c r="AAH11" s="637"/>
      <c r="AAI11" s="637"/>
      <c r="AAJ11" s="637"/>
      <c r="AAK11" s="637"/>
      <c r="AAL11" s="637"/>
      <c r="AAM11" s="637"/>
      <c r="AAN11" s="637"/>
      <c r="AAO11" s="637"/>
      <c r="AAP11" s="637"/>
      <c r="AAQ11" s="637"/>
      <c r="AAR11" s="637"/>
      <c r="AAS11" s="637"/>
      <c r="AAT11" s="637"/>
      <c r="AAU11" s="637"/>
      <c r="AAV11" s="637"/>
      <c r="AAW11" s="637"/>
      <c r="AAX11" s="637"/>
      <c r="AAY11" s="637"/>
      <c r="AAZ11" s="637"/>
      <c r="ABA11" s="637"/>
      <c r="ABB11" s="637"/>
      <c r="ABC11" s="637"/>
      <c r="ABD11" s="637"/>
      <c r="ABE11" s="637"/>
      <c r="ABF11" s="637"/>
      <c r="ABG11" s="637"/>
      <c r="ABH11" s="637"/>
      <c r="ABI11" s="637"/>
      <c r="ABJ11" s="637"/>
      <c r="ABK11" s="637"/>
      <c r="ABL11" s="637"/>
      <c r="ABM11" s="637"/>
      <c r="ABN11" s="637"/>
      <c r="ABO11" s="637"/>
      <c r="ABP11" s="637"/>
      <c r="ABQ11" s="637"/>
      <c r="ABR11" s="637"/>
      <c r="ABS11" s="637"/>
      <c r="ABT11" s="637"/>
      <c r="ABU11" s="637"/>
      <c r="ABV11" s="637"/>
      <c r="ABW11" s="637"/>
      <c r="ABX11" s="637"/>
      <c r="ABY11" s="637"/>
      <c r="ABZ11" s="637"/>
      <c r="ACA11" s="637"/>
      <c r="ACB11" s="637"/>
      <c r="ACC11" s="637"/>
      <c r="ACD11" s="637"/>
      <c r="ACE11" s="637"/>
      <c r="ACF11" s="637"/>
      <c r="ACG11" s="637"/>
      <c r="ACH11" s="637"/>
      <c r="ACI11" s="637"/>
      <c r="ACJ11" s="637"/>
      <c r="ACK11" s="637"/>
      <c r="ACL11" s="637"/>
      <c r="ACM11" s="637"/>
      <c r="ACN11" s="637"/>
      <c r="ACO11" s="637"/>
      <c r="ACP11" s="637"/>
      <c r="ACQ11" s="637"/>
      <c r="ACR11" s="637"/>
      <c r="ACS11" s="637"/>
      <c r="ACT11" s="637"/>
      <c r="ACU11" s="637"/>
      <c r="ACV11" s="637"/>
      <c r="ACW11" s="637"/>
      <c r="ACX11" s="637"/>
      <c r="ACY11" s="637"/>
      <c r="ACZ11" s="637"/>
      <c r="ADA11" s="637"/>
      <c r="ADB11" s="637"/>
      <c r="ADC11" s="637"/>
      <c r="ADD11" s="637"/>
      <c r="ADE11" s="637"/>
      <c r="ADF11" s="637"/>
      <c r="ADG11" s="637"/>
      <c r="ADH11" s="637"/>
      <c r="ADI11" s="637"/>
      <c r="ADJ11" s="637"/>
      <c r="ADK11" s="637"/>
      <c r="ADL11" s="637"/>
      <c r="ADM11" s="637"/>
      <c r="ADN11" s="637"/>
      <c r="ADO11" s="637"/>
      <c r="ADP11" s="637"/>
      <c r="ADQ11" s="637"/>
      <c r="ADR11" s="637"/>
      <c r="ADS11" s="637"/>
      <c r="ADT11" s="637"/>
      <c r="ADU11" s="637"/>
      <c r="ADV11" s="637"/>
      <c r="ADW11" s="637"/>
      <c r="ADX11" s="637"/>
      <c r="ADY11" s="637"/>
      <c r="ADZ11" s="637"/>
      <c r="AEA11" s="637"/>
      <c r="AEB11" s="637"/>
      <c r="AEC11" s="637"/>
      <c r="AED11" s="637"/>
      <c r="AEE11" s="637"/>
      <c r="AEF11" s="637"/>
      <c r="AEG11" s="637"/>
      <c r="AEH11" s="637"/>
      <c r="AEI11" s="637"/>
      <c r="AEJ11" s="637"/>
      <c r="AEK11" s="637"/>
      <c r="AEL11" s="637"/>
      <c r="AEM11" s="637"/>
      <c r="AEN11" s="637"/>
      <c r="AEO11" s="637"/>
      <c r="AEP11" s="637"/>
      <c r="AEQ11" s="637"/>
      <c r="AER11" s="637"/>
      <c r="AES11" s="637"/>
      <c r="AET11" s="637"/>
      <c r="AEU11" s="637"/>
      <c r="AEV11" s="637"/>
      <c r="AEW11" s="637"/>
      <c r="AEX11" s="637"/>
      <c r="AEY11" s="637"/>
      <c r="AEZ11" s="637"/>
      <c r="AFA11" s="637"/>
      <c r="AFB11" s="637"/>
      <c r="AFC11" s="637"/>
      <c r="AFD11" s="637"/>
      <c r="AFE11" s="637"/>
      <c r="AFF11" s="637"/>
      <c r="AFG11" s="637"/>
      <c r="AFH11" s="637"/>
      <c r="AFI11" s="637"/>
      <c r="AFJ11" s="637"/>
      <c r="AFK11" s="637"/>
      <c r="AFL11" s="637"/>
      <c r="AFM11" s="637"/>
      <c r="AFN11" s="637"/>
      <c r="AFO11" s="637"/>
      <c r="AFP11" s="637"/>
      <c r="AFQ11" s="637"/>
      <c r="AFR11" s="637"/>
      <c r="AFS11" s="637"/>
      <c r="AFT11" s="637"/>
      <c r="AFU11" s="637"/>
      <c r="AFV11" s="637"/>
      <c r="AFW11" s="637"/>
      <c r="AFX11" s="637"/>
      <c r="AFY11" s="637"/>
      <c r="AFZ11" s="637"/>
      <c r="AGA11" s="637"/>
      <c r="AGB11" s="637"/>
      <c r="AGC11" s="637"/>
      <c r="AGD11" s="637"/>
      <c r="AGE11" s="637"/>
      <c r="AGF11" s="637"/>
      <c r="AGG11" s="637"/>
      <c r="AGH11" s="637"/>
      <c r="AGI11" s="637"/>
      <c r="AGJ11" s="637"/>
      <c r="AGK11" s="637"/>
      <c r="AGL11" s="637"/>
      <c r="AGM11" s="637"/>
      <c r="AGN11" s="637"/>
      <c r="AGO11" s="637"/>
      <c r="AGP11" s="637"/>
      <c r="AGQ11" s="637"/>
      <c r="AGR11" s="637"/>
      <c r="AGS11" s="637"/>
      <c r="AGT11" s="637"/>
      <c r="AGU11" s="637"/>
      <c r="AGV11" s="637"/>
      <c r="AGW11" s="637"/>
      <c r="AGX11" s="637"/>
      <c r="AGY11" s="637"/>
      <c r="AGZ11" s="637"/>
      <c r="AHA11" s="637"/>
      <c r="AHB11" s="637"/>
      <c r="AHC11" s="637"/>
      <c r="AHD11" s="637"/>
      <c r="AHE11" s="637"/>
      <c r="AHF11" s="637"/>
      <c r="AHG11" s="637"/>
      <c r="AHH11" s="637"/>
      <c r="AHI11" s="637"/>
      <c r="AHJ11" s="637"/>
      <c r="AHK11" s="637"/>
      <c r="AHL11" s="637"/>
      <c r="AHM11" s="637"/>
      <c r="AHN11" s="637"/>
      <c r="AHO11" s="637"/>
      <c r="AHP11" s="637"/>
      <c r="AHQ11" s="637"/>
      <c r="AHR11" s="637"/>
      <c r="AHS11" s="637"/>
      <c r="AHT11" s="637"/>
      <c r="AHU11" s="637"/>
      <c r="AHV11" s="637"/>
      <c r="AHW11" s="637"/>
      <c r="AHX11" s="637"/>
      <c r="AHY11" s="637"/>
      <c r="AHZ11" s="637"/>
      <c r="AIA11" s="637"/>
      <c r="AIB11" s="637"/>
      <c r="AIC11" s="637"/>
      <c r="AID11" s="637"/>
      <c r="AIE11" s="637"/>
      <c r="AIF11" s="637"/>
      <c r="AIG11" s="637"/>
      <c r="AIH11" s="637"/>
      <c r="AII11" s="637"/>
      <c r="AIJ11" s="637"/>
      <c r="AIK11" s="637"/>
      <c r="AIL11" s="637"/>
      <c r="AIM11" s="637"/>
      <c r="AIN11" s="637"/>
      <c r="AIO11" s="637"/>
      <c r="AIP11" s="637"/>
      <c r="AIQ11" s="637"/>
      <c r="AIR11" s="637"/>
      <c r="AIS11" s="637"/>
      <c r="AIT11" s="637"/>
      <c r="AIU11" s="637"/>
      <c r="AIV11" s="637"/>
      <c r="AIW11" s="637"/>
      <c r="AIX11" s="637"/>
      <c r="AIY11" s="637"/>
      <c r="AIZ11" s="637"/>
      <c r="AJA11" s="637"/>
      <c r="AJB11" s="637"/>
      <c r="AJC11" s="637"/>
      <c r="AJD11" s="637"/>
      <c r="AJE11" s="637"/>
      <c r="AJF11" s="637"/>
      <c r="AJG11" s="637"/>
      <c r="AJH11" s="637"/>
      <c r="AJI11" s="637"/>
      <c r="AJJ11" s="637"/>
      <c r="AJK11" s="637"/>
      <c r="AJL11" s="637"/>
      <c r="AJM11" s="637"/>
      <c r="AJN11" s="637"/>
      <c r="AJO11" s="637"/>
      <c r="AJP11" s="637"/>
      <c r="AJQ11" s="637"/>
      <c r="AJR11" s="637"/>
      <c r="AJS11" s="637"/>
      <c r="AJT11" s="637"/>
      <c r="AJU11" s="637"/>
      <c r="AJV11" s="637"/>
      <c r="AJW11" s="637"/>
      <c r="AJX11" s="637"/>
      <c r="AJY11" s="637"/>
      <c r="AJZ11" s="637"/>
      <c r="AKA11" s="637"/>
      <c r="AKB11" s="637"/>
      <c r="AKC11" s="637"/>
      <c r="AKD11" s="637"/>
      <c r="AKE11" s="637"/>
      <c r="AKF11" s="637"/>
      <c r="AKG11" s="637"/>
      <c r="AKH11" s="637"/>
      <c r="AKI11" s="637"/>
      <c r="AKJ11" s="637"/>
      <c r="AKK11" s="637"/>
      <c r="AKL11" s="637"/>
      <c r="AKM11" s="637"/>
      <c r="AKN11" s="637"/>
      <c r="AKO11" s="637"/>
      <c r="AKP11" s="637"/>
      <c r="AKQ11" s="637"/>
      <c r="AKR11" s="637"/>
      <c r="AKS11" s="637"/>
      <c r="AKT11" s="637"/>
      <c r="AKU11" s="637"/>
      <c r="AKV11" s="637"/>
      <c r="AKW11" s="637"/>
      <c r="AKX11" s="637"/>
      <c r="AKY11" s="637"/>
      <c r="AKZ11" s="637"/>
      <c r="ALA11" s="637"/>
      <c r="ALB11" s="637"/>
      <c r="ALC11" s="637"/>
      <c r="ALD11" s="637"/>
      <c r="ALE11" s="637"/>
      <c r="ALF11" s="637"/>
      <c r="ALG11" s="637"/>
      <c r="ALH11" s="637"/>
      <c r="ALI11" s="637"/>
      <c r="ALJ11" s="637"/>
      <c r="ALK11" s="637"/>
      <c r="ALL11" s="637"/>
      <c r="ALM11" s="637"/>
      <c r="ALN11" s="637"/>
      <c r="ALO11" s="637"/>
      <c r="ALP11" s="637"/>
      <c r="ALQ11" s="637"/>
      <c r="ALR11" s="637"/>
      <c r="ALS11" s="637"/>
      <c r="ALT11" s="637"/>
      <c r="ALU11" s="637"/>
      <c r="ALV11" s="637"/>
      <c r="ALW11" s="637"/>
      <c r="ALX11" s="637"/>
      <c r="ALY11" s="637"/>
      <c r="ALZ11" s="637"/>
      <c r="AMA11" s="637"/>
      <c r="AMB11" s="637"/>
      <c r="AMC11" s="637"/>
      <c r="AMD11" s="637"/>
      <c r="AME11" s="637"/>
      <c r="AMF11" s="637"/>
      <c r="AMG11" s="637"/>
      <c r="AMH11" s="637"/>
      <c r="AMI11" s="637"/>
      <c r="AMJ11" s="637"/>
    </row>
    <row r="12" spans="1:1024" s="638" customFormat="1" ht="12.75">
      <c r="A12" s="984" t="s">
        <v>120</v>
      </c>
      <c r="B12" s="985" t="s">
        <v>133</v>
      </c>
      <c r="C12" s="986" t="s">
        <v>134</v>
      </c>
      <c r="D12" s="981" t="s">
        <v>4</v>
      </c>
      <c r="E12" s="982"/>
      <c r="F12" s="982">
        <f t="shared" si="0"/>
        <v>40939</v>
      </c>
      <c r="G12" s="987">
        <v>31026</v>
      </c>
      <c r="H12" s="987">
        <v>8913</v>
      </c>
      <c r="I12" s="987">
        <v>1000</v>
      </c>
      <c r="J12" s="987"/>
      <c r="K12" s="987"/>
      <c r="L12" s="987"/>
      <c r="M12" s="987"/>
      <c r="N12" s="987"/>
      <c r="O12" s="987"/>
      <c r="P12" s="987"/>
      <c r="Q12" s="987"/>
      <c r="R12" s="984"/>
      <c r="S12" s="637"/>
      <c r="T12" s="637"/>
      <c r="U12" s="637"/>
      <c r="V12" s="637"/>
      <c r="W12" s="637"/>
      <c r="X12" s="637"/>
      <c r="Y12" s="637"/>
      <c r="Z12" s="637"/>
      <c r="AA12" s="637"/>
      <c r="AB12" s="637"/>
      <c r="AC12" s="637"/>
      <c r="AD12" s="637"/>
      <c r="AE12" s="637"/>
      <c r="AF12" s="637"/>
      <c r="AG12" s="637"/>
      <c r="AH12" s="637"/>
      <c r="AI12" s="637"/>
      <c r="AJ12" s="637"/>
      <c r="AK12" s="637"/>
      <c r="AL12" s="637"/>
      <c r="AM12" s="637"/>
      <c r="AN12" s="637"/>
      <c r="AO12" s="637"/>
      <c r="AP12" s="637"/>
      <c r="AQ12" s="637"/>
      <c r="AR12" s="637"/>
      <c r="AS12" s="637"/>
      <c r="AT12" s="637"/>
      <c r="AU12" s="637"/>
      <c r="AV12" s="637"/>
      <c r="AW12" s="637"/>
      <c r="AX12" s="637"/>
      <c r="AY12" s="637"/>
      <c r="AZ12" s="637"/>
      <c r="BA12" s="637"/>
      <c r="BB12" s="637"/>
      <c r="BC12" s="637"/>
      <c r="BD12" s="637"/>
      <c r="BE12" s="637"/>
      <c r="BF12" s="637"/>
      <c r="BG12" s="637"/>
      <c r="BH12" s="637"/>
      <c r="BI12" s="637"/>
      <c r="BJ12" s="637"/>
      <c r="BK12" s="637"/>
      <c r="BL12" s="637"/>
      <c r="BM12" s="637"/>
      <c r="BN12" s="637"/>
      <c r="BO12" s="637"/>
      <c r="BP12" s="637"/>
      <c r="BQ12" s="637"/>
      <c r="BR12" s="637"/>
      <c r="BS12" s="637"/>
      <c r="BT12" s="637"/>
      <c r="BU12" s="637"/>
      <c r="BV12" s="637"/>
      <c r="BW12" s="637"/>
      <c r="BX12" s="637"/>
      <c r="BY12" s="637"/>
      <c r="BZ12" s="637"/>
      <c r="CA12" s="637"/>
      <c r="CB12" s="637"/>
      <c r="CC12" s="637"/>
      <c r="CD12" s="637"/>
      <c r="CE12" s="637"/>
      <c r="CF12" s="637"/>
      <c r="CG12" s="637"/>
      <c r="CH12" s="637"/>
      <c r="CI12" s="637"/>
      <c r="CJ12" s="637"/>
      <c r="CK12" s="637"/>
      <c r="CL12" s="637"/>
      <c r="CM12" s="637"/>
      <c r="CN12" s="637"/>
      <c r="CO12" s="637"/>
      <c r="CP12" s="637"/>
      <c r="CQ12" s="637"/>
      <c r="CR12" s="637"/>
      <c r="CS12" s="637"/>
      <c r="CT12" s="637"/>
      <c r="CU12" s="637"/>
      <c r="CV12" s="637"/>
      <c r="CW12" s="637"/>
      <c r="CX12" s="637"/>
      <c r="CY12" s="637"/>
      <c r="CZ12" s="637"/>
      <c r="DA12" s="637"/>
      <c r="DB12" s="637"/>
      <c r="DC12" s="637"/>
      <c r="DD12" s="637"/>
      <c r="DE12" s="637"/>
      <c r="DF12" s="637"/>
      <c r="DG12" s="637"/>
      <c r="DH12" s="637"/>
      <c r="DI12" s="637"/>
      <c r="DJ12" s="637"/>
      <c r="DK12" s="637"/>
      <c r="DL12" s="637"/>
      <c r="DM12" s="637"/>
      <c r="DN12" s="637"/>
      <c r="DO12" s="637"/>
      <c r="DP12" s="637"/>
      <c r="DQ12" s="637"/>
      <c r="DR12" s="637"/>
      <c r="DS12" s="637"/>
      <c r="DT12" s="637"/>
      <c r="DU12" s="637"/>
      <c r="DV12" s="637"/>
      <c r="DW12" s="637"/>
      <c r="DX12" s="637"/>
      <c r="DY12" s="637"/>
      <c r="DZ12" s="637"/>
      <c r="EA12" s="637"/>
      <c r="EB12" s="637"/>
      <c r="EC12" s="637"/>
      <c r="ED12" s="637"/>
      <c r="EE12" s="637"/>
      <c r="EF12" s="637"/>
      <c r="EG12" s="637"/>
      <c r="EH12" s="637"/>
      <c r="EI12" s="637"/>
      <c r="EJ12" s="637"/>
      <c r="EK12" s="637"/>
      <c r="EL12" s="637"/>
      <c r="EM12" s="637"/>
      <c r="EN12" s="637"/>
      <c r="EO12" s="637"/>
      <c r="EP12" s="637"/>
      <c r="EQ12" s="637"/>
      <c r="ER12" s="637"/>
      <c r="ES12" s="637"/>
      <c r="ET12" s="637"/>
      <c r="EU12" s="637"/>
      <c r="EV12" s="637"/>
      <c r="EW12" s="637"/>
      <c r="EX12" s="637"/>
      <c r="EY12" s="637"/>
      <c r="EZ12" s="637"/>
      <c r="FA12" s="637"/>
      <c r="FB12" s="637"/>
      <c r="FC12" s="637"/>
      <c r="FD12" s="637"/>
      <c r="FE12" s="637"/>
      <c r="FF12" s="637"/>
      <c r="FG12" s="637"/>
      <c r="FH12" s="637"/>
      <c r="FI12" s="637"/>
      <c r="FJ12" s="637"/>
      <c r="FK12" s="637"/>
      <c r="FL12" s="637"/>
      <c r="FM12" s="637"/>
      <c r="FN12" s="637"/>
      <c r="FO12" s="637"/>
      <c r="FP12" s="637"/>
      <c r="FQ12" s="637"/>
      <c r="FR12" s="637"/>
      <c r="FS12" s="637"/>
      <c r="FT12" s="637"/>
      <c r="FU12" s="637"/>
      <c r="FV12" s="637"/>
      <c r="FW12" s="637"/>
      <c r="FX12" s="637"/>
      <c r="FY12" s="637"/>
      <c r="FZ12" s="637"/>
      <c r="GA12" s="637"/>
      <c r="GB12" s="637"/>
      <c r="GC12" s="637"/>
      <c r="GD12" s="637"/>
      <c r="GE12" s="637"/>
      <c r="GF12" s="637"/>
      <c r="GG12" s="637"/>
      <c r="GH12" s="637"/>
      <c r="GI12" s="637"/>
      <c r="GJ12" s="637"/>
      <c r="GK12" s="637"/>
      <c r="GL12" s="637"/>
      <c r="GM12" s="637"/>
      <c r="GN12" s="637"/>
      <c r="GO12" s="637"/>
      <c r="GP12" s="637"/>
      <c r="GQ12" s="637"/>
      <c r="GR12" s="637"/>
      <c r="GS12" s="637"/>
      <c r="GT12" s="637"/>
      <c r="GU12" s="637"/>
      <c r="GV12" s="637"/>
      <c r="GW12" s="637"/>
      <c r="GX12" s="637"/>
      <c r="GY12" s="637"/>
      <c r="GZ12" s="637"/>
      <c r="HA12" s="637"/>
      <c r="HB12" s="637"/>
      <c r="HC12" s="637"/>
      <c r="HD12" s="637"/>
      <c r="HE12" s="637"/>
      <c r="HF12" s="637"/>
      <c r="HG12" s="637"/>
      <c r="HH12" s="637"/>
      <c r="HI12" s="637"/>
      <c r="HJ12" s="637"/>
      <c r="HK12" s="637"/>
      <c r="HL12" s="637"/>
      <c r="HM12" s="637"/>
      <c r="HN12" s="637"/>
      <c r="HO12" s="637"/>
      <c r="HP12" s="637"/>
      <c r="HQ12" s="637"/>
      <c r="HR12" s="637"/>
      <c r="HS12" s="637"/>
      <c r="HT12" s="637"/>
      <c r="HU12" s="637"/>
      <c r="HV12" s="637"/>
      <c r="HW12" s="637"/>
      <c r="HX12" s="637"/>
      <c r="HY12" s="637"/>
      <c r="HZ12" s="637"/>
      <c r="IA12" s="637"/>
      <c r="IB12" s="637"/>
      <c r="IC12" s="637"/>
      <c r="ID12" s="637"/>
      <c r="IE12" s="637"/>
      <c r="IF12" s="637"/>
      <c r="IG12" s="637"/>
      <c r="IH12" s="637"/>
      <c r="II12" s="637"/>
      <c r="IJ12" s="637"/>
      <c r="IK12" s="637"/>
      <c r="IL12" s="637"/>
      <c r="IM12" s="637"/>
      <c r="IN12" s="637"/>
      <c r="IO12" s="637"/>
      <c r="IP12" s="637"/>
      <c r="IQ12" s="637"/>
      <c r="IR12" s="637"/>
      <c r="IS12" s="637"/>
      <c r="IT12" s="637"/>
      <c r="IU12" s="637"/>
      <c r="IV12" s="637"/>
      <c r="IW12" s="637"/>
      <c r="IX12" s="637"/>
      <c r="IY12" s="637"/>
      <c r="IZ12" s="637"/>
      <c r="JA12" s="637"/>
      <c r="JB12" s="637"/>
      <c r="JC12" s="637"/>
      <c r="JD12" s="637"/>
      <c r="JE12" s="637"/>
      <c r="JF12" s="637"/>
      <c r="JG12" s="637"/>
      <c r="JH12" s="637"/>
      <c r="JI12" s="637"/>
      <c r="JJ12" s="637"/>
      <c r="JK12" s="637"/>
      <c r="JL12" s="637"/>
      <c r="JM12" s="637"/>
      <c r="JN12" s="637"/>
      <c r="JO12" s="637"/>
      <c r="JP12" s="637"/>
      <c r="JQ12" s="637"/>
      <c r="JR12" s="637"/>
      <c r="JS12" s="637"/>
      <c r="JT12" s="637"/>
      <c r="JU12" s="637"/>
      <c r="JV12" s="637"/>
      <c r="JW12" s="637"/>
      <c r="JX12" s="637"/>
      <c r="JY12" s="637"/>
      <c r="JZ12" s="637"/>
      <c r="KA12" s="637"/>
      <c r="KB12" s="637"/>
      <c r="KC12" s="637"/>
      <c r="KD12" s="637"/>
      <c r="KE12" s="637"/>
      <c r="KF12" s="637"/>
      <c r="KG12" s="637"/>
      <c r="KH12" s="637"/>
      <c r="KI12" s="637"/>
      <c r="KJ12" s="637"/>
      <c r="KK12" s="637"/>
      <c r="KL12" s="637"/>
      <c r="KM12" s="637"/>
      <c r="KN12" s="637"/>
      <c r="KO12" s="637"/>
      <c r="KP12" s="637"/>
      <c r="KQ12" s="637"/>
      <c r="KR12" s="637"/>
      <c r="KS12" s="637"/>
      <c r="KT12" s="637"/>
      <c r="KU12" s="637"/>
      <c r="KV12" s="637"/>
      <c r="KW12" s="637"/>
      <c r="KX12" s="637"/>
      <c r="KY12" s="637"/>
      <c r="KZ12" s="637"/>
      <c r="LA12" s="637"/>
      <c r="LB12" s="637"/>
      <c r="LC12" s="637"/>
      <c r="LD12" s="637"/>
      <c r="LE12" s="637"/>
      <c r="LF12" s="637"/>
      <c r="LG12" s="637"/>
      <c r="LH12" s="637"/>
      <c r="LI12" s="637"/>
      <c r="LJ12" s="637"/>
      <c r="LK12" s="637"/>
      <c r="LL12" s="637"/>
      <c r="LM12" s="637"/>
      <c r="LN12" s="637"/>
      <c r="LO12" s="637"/>
      <c r="LP12" s="637"/>
      <c r="LQ12" s="637"/>
      <c r="LR12" s="637"/>
      <c r="LS12" s="637"/>
      <c r="LT12" s="637"/>
      <c r="LU12" s="637"/>
      <c r="LV12" s="637"/>
      <c r="LW12" s="637"/>
      <c r="LX12" s="637"/>
      <c r="LY12" s="637"/>
      <c r="LZ12" s="637"/>
      <c r="MA12" s="637"/>
      <c r="MB12" s="637"/>
      <c r="MC12" s="637"/>
      <c r="MD12" s="637"/>
      <c r="ME12" s="637"/>
      <c r="MF12" s="637"/>
      <c r="MG12" s="637"/>
      <c r="MH12" s="637"/>
      <c r="MI12" s="637"/>
      <c r="MJ12" s="637"/>
      <c r="MK12" s="637"/>
      <c r="ML12" s="637"/>
      <c r="MM12" s="637"/>
      <c r="MN12" s="637"/>
      <c r="MO12" s="637"/>
      <c r="MP12" s="637"/>
      <c r="MQ12" s="637"/>
      <c r="MR12" s="637"/>
      <c r="MS12" s="637"/>
      <c r="MT12" s="637"/>
      <c r="MU12" s="637"/>
      <c r="MV12" s="637"/>
      <c r="MW12" s="637"/>
      <c r="MX12" s="637"/>
      <c r="MY12" s="637"/>
      <c r="MZ12" s="637"/>
      <c r="NA12" s="637"/>
      <c r="NB12" s="637"/>
      <c r="NC12" s="637"/>
      <c r="ND12" s="637"/>
      <c r="NE12" s="637"/>
      <c r="NF12" s="637"/>
      <c r="NG12" s="637"/>
      <c r="NH12" s="637"/>
      <c r="NI12" s="637"/>
      <c r="NJ12" s="637"/>
      <c r="NK12" s="637"/>
      <c r="NL12" s="637"/>
      <c r="NM12" s="637"/>
      <c r="NN12" s="637"/>
      <c r="NO12" s="637"/>
      <c r="NP12" s="637"/>
      <c r="NQ12" s="637"/>
      <c r="NR12" s="637"/>
      <c r="NS12" s="637"/>
      <c r="NT12" s="637"/>
      <c r="NU12" s="637"/>
      <c r="NV12" s="637"/>
      <c r="NW12" s="637"/>
      <c r="NX12" s="637"/>
      <c r="NY12" s="637"/>
      <c r="NZ12" s="637"/>
      <c r="OA12" s="637"/>
      <c r="OB12" s="637"/>
      <c r="OC12" s="637"/>
      <c r="OD12" s="637"/>
      <c r="OE12" s="637"/>
      <c r="OF12" s="637"/>
      <c r="OG12" s="637"/>
      <c r="OH12" s="637"/>
      <c r="OI12" s="637"/>
      <c r="OJ12" s="637"/>
      <c r="OK12" s="637"/>
      <c r="OL12" s="637"/>
      <c r="OM12" s="637"/>
      <c r="ON12" s="637"/>
      <c r="OO12" s="637"/>
      <c r="OP12" s="637"/>
      <c r="OQ12" s="637"/>
      <c r="OR12" s="637"/>
      <c r="OS12" s="637"/>
      <c r="OT12" s="637"/>
      <c r="OU12" s="637"/>
      <c r="OV12" s="637"/>
      <c r="OW12" s="637"/>
      <c r="OX12" s="637"/>
      <c r="OY12" s="637"/>
      <c r="OZ12" s="637"/>
      <c r="PA12" s="637"/>
      <c r="PB12" s="637"/>
      <c r="PC12" s="637"/>
      <c r="PD12" s="637"/>
      <c r="PE12" s="637"/>
      <c r="PF12" s="637"/>
      <c r="PG12" s="637"/>
      <c r="PH12" s="637"/>
      <c r="PI12" s="637"/>
      <c r="PJ12" s="637"/>
      <c r="PK12" s="637"/>
      <c r="PL12" s="637"/>
      <c r="PM12" s="637"/>
      <c r="PN12" s="637"/>
      <c r="PO12" s="637"/>
      <c r="PP12" s="637"/>
      <c r="PQ12" s="637"/>
      <c r="PR12" s="637"/>
      <c r="PS12" s="637"/>
      <c r="PT12" s="637"/>
      <c r="PU12" s="637"/>
      <c r="PV12" s="637"/>
      <c r="PW12" s="637"/>
      <c r="PX12" s="637"/>
      <c r="PY12" s="637"/>
      <c r="PZ12" s="637"/>
      <c r="QA12" s="637"/>
      <c r="QB12" s="637"/>
      <c r="QC12" s="637"/>
      <c r="QD12" s="637"/>
      <c r="QE12" s="637"/>
      <c r="QF12" s="637"/>
      <c r="QG12" s="637"/>
      <c r="QH12" s="637"/>
      <c r="QI12" s="637"/>
      <c r="QJ12" s="637"/>
      <c r="QK12" s="637"/>
      <c r="QL12" s="637"/>
      <c r="QM12" s="637"/>
      <c r="QN12" s="637"/>
      <c r="QO12" s="637"/>
      <c r="QP12" s="637"/>
      <c r="QQ12" s="637"/>
      <c r="QR12" s="637"/>
      <c r="QS12" s="637"/>
      <c r="QT12" s="637"/>
      <c r="QU12" s="637"/>
      <c r="QV12" s="637"/>
      <c r="QW12" s="637"/>
      <c r="QX12" s="637"/>
      <c r="QY12" s="637"/>
      <c r="QZ12" s="637"/>
      <c r="RA12" s="637"/>
      <c r="RB12" s="637"/>
      <c r="RC12" s="637"/>
      <c r="RD12" s="637"/>
      <c r="RE12" s="637"/>
      <c r="RF12" s="637"/>
      <c r="RG12" s="637"/>
      <c r="RH12" s="637"/>
      <c r="RI12" s="637"/>
      <c r="RJ12" s="637"/>
      <c r="RK12" s="637"/>
      <c r="RL12" s="637"/>
      <c r="RM12" s="637"/>
      <c r="RN12" s="637"/>
      <c r="RO12" s="637"/>
      <c r="RP12" s="637"/>
      <c r="RQ12" s="637"/>
      <c r="RR12" s="637"/>
      <c r="RS12" s="637"/>
      <c r="RT12" s="637"/>
      <c r="RU12" s="637"/>
      <c r="RV12" s="637"/>
      <c r="RW12" s="637"/>
      <c r="RX12" s="637"/>
      <c r="RY12" s="637"/>
      <c r="RZ12" s="637"/>
      <c r="SA12" s="637"/>
      <c r="SB12" s="637"/>
      <c r="SC12" s="637"/>
      <c r="SD12" s="637"/>
      <c r="SE12" s="637"/>
      <c r="SF12" s="637"/>
      <c r="SG12" s="637"/>
      <c r="SH12" s="637"/>
      <c r="SI12" s="637"/>
      <c r="SJ12" s="637"/>
      <c r="SK12" s="637"/>
      <c r="SL12" s="637"/>
      <c r="SM12" s="637"/>
      <c r="SN12" s="637"/>
      <c r="SO12" s="637"/>
      <c r="SP12" s="637"/>
      <c r="SQ12" s="637"/>
      <c r="SR12" s="637"/>
      <c r="SS12" s="637"/>
      <c r="ST12" s="637"/>
      <c r="SU12" s="637"/>
      <c r="SV12" s="637"/>
      <c r="SW12" s="637"/>
      <c r="SX12" s="637"/>
      <c r="SY12" s="637"/>
      <c r="SZ12" s="637"/>
      <c r="TA12" s="637"/>
      <c r="TB12" s="637"/>
      <c r="TC12" s="637"/>
      <c r="TD12" s="637"/>
      <c r="TE12" s="637"/>
      <c r="TF12" s="637"/>
      <c r="TG12" s="637"/>
      <c r="TH12" s="637"/>
      <c r="TI12" s="637"/>
      <c r="TJ12" s="637"/>
      <c r="TK12" s="637"/>
      <c r="TL12" s="637"/>
      <c r="TM12" s="637"/>
      <c r="TN12" s="637"/>
      <c r="TO12" s="637"/>
      <c r="TP12" s="637"/>
      <c r="TQ12" s="637"/>
      <c r="TR12" s="637"/>
      <c r="TS12" s="637"/>
      <c r="TT12" s="637"/>
      <c r="TU12" s="637"/>
      <c r="TV12" s="637"/>
      <c r="TW12" s="637"/>
      <c r="TX12" s="637"/>
      <c r="TY12" s="637"/>
      <c r="TZ12" s="637"/>
      <c r="UA12" s="637"/>
      <c r="UB12" s="637"/>
      <c r="UC12" s="637"/>
      <c r="UD12" s="637"/>
      <c r="UE12" s="637"/>
      <c r="UF12" s="637"/>
      <c r="UG12" s="637"/>
      <c r="UH12" s="637"/>
      <c r="UI12" s="637"/>
      <c r="UJ12" s="637"/>
      <c r="UK12" s="637"/>
      <c r="UL12" s="637"/>
      <c r="UM12" s="637"/>
      <c r="UN12" s="637"/>
      <c r="UO12" s="637"/>
      <c r="UP12" s="637"/>
      <c r="UQ12" s="637"/>
      <c r="UR12" s="637"/>
      <c r="US12" s="637"/>
      <c r="UT12" s="637"/>
      <c r="UU12" s="637"/>
      <c r="UV12" s="637"/>
      <c r="UW12" s="637"/>
      <c r="UX12" s="637"/>
      <c r="UY12" s="637"/>
      <c r="UZ12" s="637"/>
      <c r="VA12" s="637"/>
      <c r="VB12" s="637"/>
      <c r="VC12" s="637"/>
      <c r="VD12" s="637"/>
      <c r="VE12" s="637"/>
      <c r="VF12" s="637"/>
      <c r="VG12" s="637"/>
      <c r="VH12" s="637"/>
      <c r="VI12" s="637"/>
      <c r="VJ12" s="637"/>
      <c r="VK12" s="637"/>
      <c r="VL12" s="637"/>
      <c r="VM12" s="637"/>
      <c r="VN12" s="637"/>
      <c r="VO12" s="637"/>
      <c r="VP12" s="637"/>
      <c r="VQ12" s="637"/>
      <c r="VR12" s="637"/>
      <c r="VS12" s="637"/>
      <c r="VT12" s="637"/>
      <c r="VU12" s="637"/>
      <c r="VV12" s="637"/>
      <c r="VW12" s="637"/>
      <c r="VX12" s="637"/>
      <c r="VY12" s="637"/>
      <c r="VZ12" s="637"/>
      <c r="WA12" s="637"/>
      <c r="WB12" s="637"/>
      <c r="WC12" s="637"/>
      <c r="WD12" s="637"/>
      <c r="WE12" s="637"/>
      <c r="WF12" s="637"/>
      <c r="WG12" s="637"/>
      <c r="WH12" s="637"/>
      <c r="WI12" s="637"/>
      <c r="WJ12" s="637"/>
      <c r="WK12" s="637"/>
      <c r="WL12" s="637"/>
      <c r="WM12" s="637"/>
      <c r="WN12" s="637"/>
      <c r="WO12" s="637"/>
      <c r="WP12" s="637"/>
      <c r="WQ12" s="637"/>
      <c r="WR12" s="637"/>
      <c r="WS12" s="637"/>
      <c r="WT12" s="637"/>
      <c r="WU12" s="637"/>
      <c r="WV12" s="637"/>
      <c r="WW12" s="637"/>
      <c r="WX12" s="637"/>
      <c r="WY12" s="637"/>
      <c r="WZ12" s="637"/>
      <c r="XA12" s="637"/>
      <c r="XB12" s="637"/>
      <c r="XC12" s="637"/>
      <c r="XD12" s="637"/>
      <c r="XE12" s="637"/>
      <c r="XF12" s="637"/>
      <c r="XG12" s="637"/>
      <c r="XH12" s="637"/>
      <c r="XI12" s="637"/>
      <c r="XJ12" s="637"/>
      <c r="XK12" s="637"/>
      <c r="XL12" s="637"/>
      <c r="XM12" s="637"/>
      <c r="XN12" s="637"/>
      <c r="XO12" s="637"/>
      <c r="XP12" s="637"/>
      <c r="XQ12" s="637"/>
      <c r="XR12" s="637"/>
      <c r="XS12" s="637"/>
      <c r="XT12" s="637"/>
      <c r="XU12" s="637"/>
      <c r="XV12" s="637"/>
      <c r="XW12" s="637"/>
      <c r="XX12" s="637"/>
      <c r="XY12" s="637"/>
      <c r="XZ12" s="637"/>
      <c r="YA12" s="637"/>
      <c r="YB12" s="637"/>
      <c r="YC12" s="637"/>
      <c r="YD12" s="637"/>
      <c r="YE12" s="637"/>
      <c r="YF12" s="637"/>
      <c r="YG12" s="637"/>
      <c r="YH12" s="637"/>
      <c r="YI12" s="637"/>
      <c r="YJ12" s="637"/>
      <c r="YK12" s="637"/>
      <c r="YL12" s="637"/>
      <c r="YM12" s="637"/>
      <c r="YN12" s="637"/>
      <c r="YO12" s="637"/>
      <c r="YP12" s="637"/>
      <c r="YQ12" s="637"/>
      <c r="YR12" s="637"/>
      <c r="YS12" s="637"/>
      <c r="YT12" s="637"/>
      <c r="YU12" s="637"/>
      <c r="YV12" s="637"/>
      <c r="YW12" s="637"/>
      <c r="YX12" s="637"/>
      <c r="YY12" s="637"/>
      <c r="YZ12" s="637"/>
      <c r="ZA12" s="637"/>
      <c r="ZB12" s="637"/>
      <c r="ZC12" s="637"/>
      <c r="ZD12" s="637"/>
      <c r="ZE12" s="637"/>
      <c r="ZF12" s="637"/>
      <c r="ZG12" s="637"/>
      <c r="ZH12" s="637"/>
      <c r="ZI12" s="637"/>
      <c r="ZJ12" s="637"/>
      <c r="ZK12" s="637"/>
      <c r="ZL12" s="637"/>
      <c r="ZM12" s="637"/>
      <c r="ZN12" s="637"/>
      <c r="ZO12" s="637"/>
      <c r="ZP12" s="637"/>
      <c r="ZQ12" s="637"/>
      <c r="ZR12" s="637"/>
      <c r="ZS12" s="637"/>
      <c r="ZT12" s="637"/>
      <c r="ZU12" s="637"/>
      <c r="ZV12" s="637"/>
      <c r="ZW12" s="637"/>
      <c r="ZX12" s="637"/>
      <c r="ZY12" s="637"/>
      <c r="ZZ12" s="637"/>
      <c r="AAA12" s="637"/>
      <c r="AAB12" s="637"/>
      <c r="AAC12" s="637"/>
      <c r="AAD12" s="637"/>
      <c r="AAE12" s="637"/>
      <c r="AAF12" s="637"/>
      <c r="AAG12" s="637"/>
      <c r="AAH12" s="637"/>
      <c r="AAI12" s="637"/>
      <c r="AAJ12" s="637"/>
      <c r="AAK12" s="637"/>
      <c r="AAL12" s="637"/>
      <c r="AAM12" s="637"/>
      <c r="AAN12" s="637"/>
      <c r="AAO12" s="637"/>
      <c r="AAP12" s="637"/>
      <c r="AAQ12" s="637"/>
      <c r="AAR12" s="637"/>
      <c r="AAS12" s="637"/>
      <c r="AAT12" s="637"/>
      <c r="AAU12" s="637"/>
      <c r="AAV12" s="637"/>
      <c r="AAW12" s="637"/>
      <c r="AAX12" s="637"/>
      <c r="AAY12" s="637"/>
      <c r="AAZ12" s="637"/>
      <c r="ABA12" s="637"/>
      <c r="ABB12" s="637"/>
      <c r="ABC12" s="637"/>
      <c r="ABD12" s="637"/>
      <c r="ABE12" s="637"/>
      <c r="ABF12" s="637"/>
      <c r="ABG12" s="637"/>
      <c r="ABH12" s="637"/>
      <c r="ABI12" s="637"/>
      <c r="ABJ12" s="637"/>
      <c r="ABK12" s="637"/>
      <c r="ABL12" s="637"/>
      <c r="ABM12" s="637"/>
      <c r="ABN12" s="637"/>
      <c r="ABO12" s="637"/>
      <c r="ABP12" s="637"/>
      <c r="ABQ12" s="637"/>
      <c r="ABR12" s="637"/>
      <c r="ABS12" s="637"/>
      <c r="ABT12" s="637"/>
      <c r="ABU12" s="637"/>
      <c r="ABV12" s="637"/>
      <c r="ABW12" s="637"/>
      <c r="ABX12" s="637"/>
      <c r="ABY12" s="637"/>
      <c r="ABZ12" s="637"/>
      <c r="ACA12" s="637"/>
      <c r="ACB12" s="637"/>
      <c r="ACC12" s="637"/>
      <c r="ACD12" s="637"/>
      <c r="ACE12" s="637"/>
      <c r="ACF12" s="637"/>
      <c r="ACG12" s="637"/>
      <c r="ACH12" s="637"/>
      <c r="ACI12" s="637"/>
      <c r="ACJ12" s="637"/>
      <c r="ACK12" s="637"/>
      <c r="ACL12" s="637"/>
      <c r="ACM12" s="637"/>
      <c r="ACN12" s="637"/>
      <c r="ACO12" s="637"/>
      <c r="ACP12" s="637"/>
      <c r="ACQ12" s="637"/>
      <c r="ACR12" s="637"/>
      <c r="ACS12" s="637"/>
      <c r="ACT12" s="637"/>
      <c r="ACU12" s="637"/>
      <c r="ACV12" s="637"/>
      <c r="ACW12" s="637"/>
      <c r="ACX12" s="637"/>
      <c r="ACY12" s="637"/>
      <c r="ACZ12" s="637"/>
      <c r="ADA12" s="637"/>
      <c r="ADB12" s="637"/>
      <c r="ADC12" s="637"/>
      <c r="ADD12" s="637"/>
      <c r="ADE12" s="637"/>
      <c r="ADF12" s="637"/>
      <c r="ADG12" s="637"/>
      <c r="ADH12" s="637"/>
      <c r="ADI12" s="637"/>
      <c r="ADJ12" s="637"/>
      <c r="ADK12" s="637"/>
      <c r="ADL12" s="637"/>
      <c r="ADM12" s="637"/>
      <c r="ADN12" s="637"/>
      <c r="ADO12" s="637"/>
      <c r="ADP12" s="637"/>
      <c r="ADQ12" s="637"/>
      <c r="ADR12" s="637"/>
      <c r="ADS12" s="637"/>
      <c r="ADT12" s="637"/>
      <c r="ADU12" s="637"/>
      <c r="ADV12" s="637"/>
      <c r="ADW12" s="637"/>
      <c r="ADX12" s="637"/>
      <c r="ADY12" s="637"/>
      <c r="ADZ12" s="637"/>
      <c r="AEA12" s="637"/>
      <c r="AEB12" s="637"/>
      <c r="AEC12" s="637"/>
      <c r="AED12" s="637"/>
      <c r="AEE12" s="637"/>
      <c r="AEF12" s="637"/>
      <c r="AEG12" s="637"/>
      <c r="AEH12" s="637"/>
      <c r="AEI12" s="637"/>
      <c r="AEJ12" s="637"/>
      <c r="AEK12" s="637"/>
      <c r="AEL12" s="637"/>
      <c r="AEM12" s="637"/>
      <c r="AEN12" s="637"/>
      <c r="AEO12" s="637"/>
      <c r="AEP12" s="637"/>
      <c r="AEQ12" s="637"/>
      <c r="AER12" s="637"/>
      <c r="AES12" s="637"/>
      <c r="AET12" s="637"/>
      <c r="AEU12" s="637"/>
      <c r="AEV12" s="637"/>
      <c r="AEW12" s="637"/>
      <c r="AEX12" s="637"/>
      <c r="AEY12" s="637"/>
      <c r="AEZ12" s="637"/>
      <c r="AFA12" s="637"/>
      <c r="AFB12" s="637"/>
      <c r="AFC12" s="637"/>
      <c r="AFD12" s="637"/>
      <c r="AFE12" s="637"/>
      <c r="AFF12" s="637"/>
      <c r="AFG12" s="637"/>
      <c r="AFH12" s="637"/>
      <c r="AFI12" s="637"/>
      <c r="AFJ12" s="637"/>
      <c r="AFK12" s="637"/>
      <c r="AFL12" s="637"/>
      <c r="AFM12" s="637"/>
      <c r="AFN12" s="637"/>
      <c r="AFO12" s="637"/>
      <c r="AFP12" s="637"/>
      <c r="AFQ12" s="637"/>
      <c r="AFR12" s="637"/>
      <c r="AFS12" s="637"/>
      <c r="AFT12" s="637"/>
      <c r="AFU12" s="637"/>
      <c r="AFV12" s="637"/>
      <c r="AFW12" s="637"/>
      <c r="AFX12" s="637"/>
      <c r="AFY12" s="637"/>
      <c r="AFZ12" s="637"/>
      <c r="AGA12" s="637"/>
      <c r="AGB12" s="637"/>
      <c r="AGC12" s="637"/>
      <c r="AGD12" s="637"/>
      <c r="AGE12" s="637"/>
      <c r="AGF12" s="637"/>
      <c r="AGG12" s="637"/>
      <c r="AGH12" s="637"/>
      <c r="AGI12" s="637"/>
      <c r="AGJ12" s="637"/>
      <c r="AGK12" s="637"/>
      <c r="AGL12" s="637"/>
      <c r="AGM12" s="637"/>
      <c r="AGN12" s="637"/>
      <c r="AGO12" s="637"/>
      <c r="AGP12" s="637"/>
      <c r="AGQ12" s="637"/>
      <c r="AGR12" s="637"/>
      <c r="AGS12" s="637"/>
      <c r="AGT12" s="637"/>
      <c r="AGU12" s="637"/>
      <c r="AGV12" s="637"/>
      <c r="AGW12" s="637"/>
      <c r="AGX12" s="637"/>
      <c r="AGY12" s="637"/>
      <c r="AGZ12" s="637"/>
      <c r="AHA12" s="637"/>
      <c r="AHB12" s="637"/>
      <c r="AHC12" s="637"/>
      <c r="AHD12" s="637"/>
      <c r="AHE12" s="637"/>
      <c r="AHF12" s="637"/>
      <c r="AHG12" s="637"/>
      <c r="AHH12" s="637"/>
      <c r="AHI12" s="637"/>
      <c r="AHJ12" s="637"/>
      <c r="AHK12" s="637"/>
      <c r="AHL12" s="637"/>
      <c r="AHM12" s="637"/>
      <c r="AHN12" s="637"/>
      <c r="AHO12" s="637"/>
      <c r="AHP12" s="637"/>
      <c r="AHQ12" s="637"/>
      <c r="AHR12" s="637"/>
      <c r="AHS12" s="637"/>
      <c r="AHT12" s="637"/>
      <c r="AHU12" s="637"/>
      <c r="AHV12" s="637"/>
      <c r="AHW12" s="637"/>
      <c r="AHX12" s="637"/>
      <c r="AHY12" s="637"/>
      <c r="AHZ12" s="637"/>
      <c r="AIA12" s="637"/>
      <c r="AIB12" s="637"/>
      <c r="AIC12" s="637"/>
      <c r="AID12" s="637"/>
      <c r="AIE12" s="637"/>
      <c r="AIF12" s="637"/>
      <c r="AIG12" s="637"/>
      <c r="AIH12" s="637"/>
      <c r="AII12" s="637"/>
      <c r="AIJ12" s="637"/>
      <c r="AIK12" s="637"/>
      <c r="AIL12" s="637"/>
      <c r="AIM12" s="637"/>
      <c r="AIN12" s="637"/>
      <c r="AIO12" s="637"/>
      <c r="AIP12" s="637"/>
      <c r="AIQ12" s="637"/>
      <c r="AIR12" s="637"/>
      <c r="AIS12" s="637"/>
      <c r="AIT12" s="637"/>
      <c r="AIU12" s="637"/>
      <c r="AIV12" s="637"/>
      <c r="AIW12" s="637"/>
      <c r="AIX12" s="637"/>
      <c r="AIY12" s="637"/>
      <c r="AIZ12" s="637"/>
      <c r="AJA12" s="637"/>
      <c r="AJB12" s="637"/>
      <c r="AJC12" s="637"/>
      <c r="AJD12" s="637"/>
      <c r="AJE12" s="637"/>
      <c r="AJF12" s="637"/>
      <c r="AJG12" s="637"/>
      <c r="AJH12" s="637"/>
      <c r="AJI12" s="637"/>
      <c r="AJJ12" s="637"/>
      <c r="AJK12" s="637"/>
      <c r="AJL12" s="637"/>
      <c r="AJM12" s="637"/>
      <c r="AJN12" s="637"/>
      <c r="AJO12" s="637"/>
      <c r="AJP12" s="637"/>
      <c r="AJQ12" s="637"/>
      <c r="AJR12" s="637"/>
      <c r="AJS12" s="637"/>
      <c r="AJT12" s="637"/>
      <c r="AJU12" s="637"/>
      <c r="AJV12" s="637"/>
      <c r="AJW12" s="637"/>
      <c r="AJX12" s="637"/>
      <c r="AJY12" s="637"/>
      <c r="AJZ12" s="637"/>
      <c r="AKA12" s="637"/>
      <c r="AKB12" s="637"/>
      <c r="AKC12" s="637"/>
      <c r="AKD12" s="637"/>
      <c r="AKE12" s="637"/>
      <c r="AKF12" s="637"/>
      <c r="AKG12" s="637"/>
      <c r="AKH12" s="637"/>
      <c r="AKI12" s="637"/>
      <c r="AKJ12" s="637"/>
      <c r="AKK12" s="637"/>
      <c r="AKL12" s="637"/>
      <c r="AKM12" s="637"/>
      <c r="AKN12" s="637"/>
      <c r="AKO12" s="637"/>
      <c r="AKP12" s="637"/>
      <c r="AKQ12" s="637"/>
      <c r="AKR12" s="637"/>
      <c r="AKS12" s="637"/>
      <c r="AKT12" s="637"/>
      <c r="AKU12" s="637"/>
      <c r="AKV12" s="637"/>
      <c r="AKW12" s="637"/>
      <c r="AKX12" s="637"/>
      <c r="AKY12" s="637"/>
      <c r="AKZ12" s="637"/>
      <c r="ALA12" s="637"/>
      <c r="ALB12" s="637"/>
      <c r="ALC12" s="637"/>
      <c r="ALD12" s="637"/>
      <c r="ALE12" s="637"/>
      <c r="ALF12" s="637"/>
      <c r="ALG12" s="637"/>
      <c r="ALH12" s="637"/>
      <c r="ALI12" s="637"/>
      <c r="ALJ12" s="637"/>
      <c r="ALK12" s="637"/>
      <c r="ALL12" s="637"/>
      <c r="ALM12" s="637"/>
      <c r="ALN12" s="637"/>
      <c r="ALO12" s="637"/>
      <c r="ALP12" s="637"/>
      <c r="ALQ12" s="637"/>
      <c r="ALR12" s="637"/>
      <c r="ALS12" s="637"/>
      <c r="ALT12" s="637"/>
      <c r="ALU12" s="637"/>
      <c r="ALV12" s="637"/>
      <c r="ALW12" s="637"/>
      <c r="ALX12" s="637"/>
      <c r="ALY12" s="637"/>
      <c r="ALZ12" s="637"/>
      <c r="AMA12" s="637"/>
      <c r="AMB12" s="637"/>
      <c r="AMC12" s="637"/>
      <c r="AMD12" s="637"/>
      <c r="AME12" s="637"/>
      <c r="AMF12" s="637"/>
      <c r="AMG12" s="637"/>
      <c r="AMH12" s="637"/>
      <c r="AMI12" s="637"/>
      <c r="AMJ12" s="637"/>
    </row>
    <row r="13" spans="1:1024" s="638" customFormat="1" ht="12.75">
      <c r="A13" s="984"/>
      <c r="B13" s="985"/>
      <c r="C13" s="986"/>
      <c r="D13" s="981" t="s">
        <v>861</v>
      </c>
      <c r="E13" s="982"/>
      <c r="F13" s="982">
        <f t="shared" si="0"/>
        <v>42476</v>
      </c>
      <c r="G13" s="987">
        <f>31177+784</f>
        <v>31961</v>
      </c>
      <c r="H13" s="987">
        <f>8954+286</f>
        <v>9240</v>
      </c>
      <c r="I13" s="987">
        <v>1275</v>
      </c>
      <c r="J13" s="987"/>
      <c r="K13" s="987"/>
      <c r="L13" s="987"/>
      <c r="M13" s="987"/>
      <c r="N13" s="987"/>
      <c r="O13" s="987"/>
      <c r="P13" s="987"/>
      <c r="Q13" s="987"/>
      <c r="R13" s="984"/>
      <c r="S13" s="637"/>
      <c r="T13" s="637"/>
      <c r="U13" s="637"/>
      <c r="V13" s="637"/>
      <c r="W13" s="637"/>
      <c r="X13" s="637"/>
      <c r="Y13" s="637"/>
      <c r="Z13" s="637"/>
      <c r="AA13" s="637"/>
      <c r="AB13" s="637"/>
      <c r="AC13" s="637"/>
      <c r="AD13" s="637"/>
      <c r="AE13" s="637"/>
      <c r="AF13" s="637"/>
      <c r="AG13" s="637"/>
      <c r="AH13" s="637"/>
      <c r="AI13" s="637"/>
      <c r="AJ13" s="637"/>
      <c r="AK13" s="637"/>
      <c r="AL13" s="637"/>
      <c r="AM13" s="637"/>
      <c r="AN13" s="637"/>
      <c r="AO13" s="637"/>
      <c r="AP13" s="637"/>
      <c r="AQ13" s="637"/>
      <c r="AR13" s="637"/>
      <c r="AS13" s="637"/>
      <c r="AT13" s="637"/>
      <c r="AU13" s="637"/>
      <c r="AV13" s="637"/>
      <c r="AW13" s="637"/>
      <c r="AX13" s="637"/>
      <c r="AY13" s="637"/>
      <c r="AZ13" s="637"/>
      <c r="BA13" s="637"/>
      <c r="BB13" s="637"/>
      <c r="BC13" s="637"/>
      <c r="BD13" s="637"/>
      <c r="BE13" s="637"/>
      <c r="BF13" s="637"/>
      <c r="BG13" s="637"/>
      <c r="BH13" s="637"/>
      <c r="BI13" s="637"/>
      <c r="BJ13" s="637"/>
      <c r="BK13" s="637"/>
      <c r="BL13" s="637"/>
      <c r="BM13" s="637"/>
      <c r="BN13" s="637"/>
      <c r="BO13" s="637"/>
      <c r="BP13" s="637"/>
      <c r="BQ13" s="637"/>
      <c r="BR13" s="637"/>
      <c r="BS13" s="637"/>
      <c r="BT13" s="637"/>
      <c r="BU13" s="637"/>
      <c r="BV13" s="637"/>
      <c r="BW13" s="637"/>
      <c r="BX13" s="637"/>
      <c r="BY13" s="637"/>
      <c r="BZ13" s="637"/>
      <c r="CA13" s="637"/>
      <c r="CB13" s="637"/>
      <c r="CC13" s="637"/>
      <c r="CD13" s="637"/>
      <c r="CE13" s="637"/>
      <c r="CF13" s="637"/>
      <c r="CG13" s="637"/>
      <c r="CH13" s="637"/>
      <c r="CI13" s="637"/>
      <c r="CJ13" s="637"/>
      <c r="CK13" s="637"/>
      <c r="CL13" s="637"/>
      <c r="CM13" s="637"/>
      <c r="CN13" s="637"/>
      <c r="CO13" s="637"/>
      <c r="CP13" s="637"/>
      <c r="CQ13" s="637"/>
      <c r="CR13" s="637"/>
      <c r="CS13" s="637"/>
      <c r="CT13" s="637"/>
      <c r="CU13" s="637"/>
      <c r="CV13" s="637"/>
      <c r="CW13" s="637"/>
      <c r="CX13" s="637"/>
      <c r="CY13" s="637"/>
      <c r="CZ13" s="637"/>
      <c r="DA13" s="637"/>
      <c r="DB13" s="637"/>
      <c r="DC13" s="637"/>
      <c r="DD13" s="637"/>
      <c r="DE13" s="637"/>
      <c r="DF13" s="637"/>
      <c r="DG13" s="637"/>
      <c r="DH13" s="637"/>
      <c r="DI13" s="637"/>
      <c r="DJ13" s="637"/>
      <c r="DK13" s="637"/>
      <c r="DL13" s="637"/>
      <c r="DM13" s="637"/>
      <c r="DN13" s="637"/>
      <c r="DO13" s="637"/>
      <c r="DP13" s="637"/>
      <c r="DQ13" s="637"/>
      <c r="DR13" s="637"/>
      <c r="DS13" s="637"/>
      <c r="DT13" s="637"/>
      <c r="DU13" s="637"/>
      <c r="DV13" s="637"/>
      <c r="DW13" s="637"/>
      <c r="DX13" s="637"/>
      <c r="DY13" s="637"/>
      <c r="DZ13" s="637"/>
      <c r="EA13" s="637"/>
      <c r="EB13" s="637"/>
      <c r="EC13" s="637"/>
      <c r="ED13" s="637"/>
      <c r="EE13" s="637"/>
      <c r="EF13" s="637"/>
      <c r="EG13" s="637"/>
      <c r="EH13" s="637"/>
      <c r="EI13" s="637"/>
      <c r="EJ13" s="637"/>
      <c r="EK13" s="637"/>
      <c r="EL13" s="637"/>
      <c r="EM13" s="637"/>
      <c r="EN13" s="637"/>
      <c r="EO13" s="637"/>
      <c r="EP13" s="637"/>
      <c r="EQ13" s="637"/>
      <c r="ER13" s="637"/>
      <c r="ES13" s="637"/>
      <c r="ET13" s="637"/>
      <c r="EU13" s="637"/>
      <c r="EV13" s="637"/>
      <c r="EW13" s="637"/>
      <c r="EX13" s="637"/>
      <c r="EY13" s="637"/>
      <c r="EZ13" s="637"/>
      <c r="FA13" s="637"/>
      <c r="FB13" s="637"/>
      <c r="FC13" s="637"/>
      <c r="FD13" s="637"/>
      <c r="FE13" s="637"/>
      <c r="FF13" s="637"/>
      <c r="FG13" s="637"/>
      <c r="FH13" s="637"/>
      <c r="FI13" s="637"/>
      <c r="FJ13" s="637"/>
      <c r="FK13" s="637"/>
      <c r="FL13" s="637"/>
      <c r="FM13" s="637"/>
      <c r="FN13" s="637"/>
      <c r="FO13" s="637"/>
      <c r="FP13" s="637"/>
      <c r="FQ13" s="637"/>
      <c r="FR13" s="637"/>
      <c r="FS13" s="637"/>
      <c r="FT13" s="637"/>
      <c r="FU13" s="637"/>
      <c r="FV13" s="637"/>
      <c r="FW13" s="637"/>
      <c r="FX13" s="637"/>
      <c r="FY13" s="637"/>
      <c r="FZ13" s="637"/>
      <c r="GA13" s="637"/>
      <c r="GB13" s="637"/>
      <c r="GC13" s="637"/>
      <c r="GD13" s="637"/>
      <c r="GE13" s="637"/>
      <c r="GF13" s="637"/>
      <c r="GG13" s="637"/>
      <c r="GH13" s="637"/>
      <c r="GI13" s="637"/>
      <c r="GJ13" s="637"/>
      <c r="GK13" s="637"/>
      <c r="GL13" s="637"/>
      <c r="GM13" s="637"/>
      <c r="GN13" s="637"/>
      <c r="GO13" s="637"/>
      <c r="GP13" s="637"/>
      <c r="GQ13" s="637"/>
      <c r="GR13" s="637"/>
      <c r="GS13" s="637"/>
      <c r="GT13" s="637"/>
      <c r="GU13" s="637"/>
      <c r="GV13" s="637"/>
      <c r="GW13" s="637"/>
      <c r="GX13" s="637"/>
      <c r="GY13" s="637"/>
      <c r="GZ13" s="637"/>
      <c r="HA13" s="637"/>
      <c r="HB13" s="637"/>
      <c r="HC13" s="637"/>
      <c r="HD13" s="637"/>
      <c r="HE13" s="637"/>
      <c r="HF13" s="637"/>
      <c r="HG13" s="637"/>
      <c r="HH13" s="637"/>
      <c r="HI13" s="637"/>
      <c r="HJ13" s="637"/>
      <c r="HK13" s="637"/>
      <c r="HL13" s="637"/>
      <c r="HM13" s="637"/>
      <c r="HN13" s="637"/>
      <c r="HO13" s="637"/>
      <c r="HP13" s="637"/>
      <c r="HQ13" s="637"/>
      <c r="HR13" s="637"/>
      <c r="HS13" s="637"/>
      <c r="HT13" s="637"/>
      <c r="HU13" s="637"/>
      <c r="HV13" s="637"/>
      <c r="HW13" s="637"/>
      <c r="HX13" s="637"/>
      <c r="HY13" s="637"/>
      <c r="HZ13" s="637"/>
      <c r="IA13" s="637"/>
      <c r="IB13" s="637"/>
      <c r="IC13" s="637"/>
      <c r="ID13" s="637"/>
      <c r="IE13" s="637"/>
      <c r="IF13" s="637"/>
      <c r="IG13" s="637"/>
      <c r="IH13" s="637"/>
      <c r="II13" s="637"/>
      <c r="IJ13" s="637"/>
      <c r="IK13" s="637"/>
      <c r="IL13" s="637"/>
      <c r="IM13" s="637"/>
      <c r="IN13" s="637"/>
      <c r="IO13" s="637"/>
      <c r="IP13" s="637"/>
      <c r="IQ13" s="637"/>
      <c r="IR13" s="637"/>
      <c r="IS13" s="637"/>
      <c r="IT13" s="637"/>
      <c r="IU13" s="637"/>
      <c r="IV13" s="637"/>
      <c r="IW13" s="637"/>
      <c r="IX13" s="637"/>
      <c r="IY13" s="637"/>
      <c r="IZ13" s="637"/>
      <c r="JA13" s="637"/>
      <c r="JB13" s="637"/>
      <c r="JC13" s="637"/>
      <c r="JD13" s="637"/>
      <c r="JE13" s="637"/>
      <c r="JF13" s="637"/>
      <c r="JG13" s="637"/>
      <c r="JH13" s="637"/>
      <c r="JI13" s="637"/>
      <c r="JJ13" s="637"/>
      <c r="JK13" s="637"/>
      <c r="JL13" s="637"/>
      <c r="JM13" s="637"/>
      <c r="JN13" s="637"/>
      <c r="JO13" s="637"/>
      <c r="JP13" s="637"/>
      <c r="JQ13" s="637"/>
      <c r="JR13" s="637"/>
      <c r="JS13" s="637"/>
      <c r="JT13" s="637"/>
      <c r="JU13" s="637"/>
      <c r="JV13" s="637"/>
      <c r="JW13" s="637"/>
      <c r="JX13" s="637"/>
      <c r="JY13" s="637"/>
      <c r="JZ13" s="637"/>
      <c r="KA13" s="637"/>
      <c r="KB13" s="637"/>
      <c r="KC13" s="637"/>
      <c r="KD13" s="637"/>
      <c r="KE13" s="637"/>
      <c r="KF13" s="637"/>
      <c r="KG13" s="637"/>
      <c r="KH13" s="637"/>
      <c r="KI13" s="637"/>
      <c r="KJ13" s="637"/>
      <c r="KK13" s="637"/>
      <c r="KL13" s="637"/>
      <c r="KM13" s="637"/>
      <c r="KN13" s="637"/>
      <c r="KO13" s="637"/>
      <c r="KP13" s="637"/>
      <c r="KQ13" s="637"/>
      <c r="KR13" s="637"/>
      <c r="KS13" s="637"/>
      <c r="KT13" s="637"/>
      <c r="KU13" s="637"/>
      <c r="KV13" s="637"/>
      <c r="KW13" s="637"/>
      <c r="KX13" s="637"/>
      <c r="KY13" s="637"/>
      <c r="KZ13" s="637"/>
      <c r="LA13" s="637"/>
      <c r="LB13" s="637"/>
      <c r="LC13" s="637"/>
      <c r="LD13" s="637"/>
      <c r="LE13" s="637"/>
      <c r="LF13" s="637"/>
      <c r="LG13" s="637"/>
      <c r="LH13" s="637"/>
      <c r="LI13" s="637"/>
      <c r="LJ13" s="637"/>
      <c r="LK13" s="637"/>
      <c r="LL13" s="637"/>
      <c r="LM13" s="637"/>
      <c r="LN13" s="637"/>
      <c r="LO13" s="637"/>
      <c r="LP13" s="637"/>
      <c r="LQ13" s="637"/>
      <c r="LR13" s="637"/>
      <c r="LS13" s="637"/>
      <c r="LT13" s="637"/>
      <c r="LU13" s="637"/>
      <c r="LV13" s="637"/>
      <c r="LW13" s="637"/>
      <c r="LX13" s="637"/>
      <c r="LY13" s="637"/>
      <c r="LZ13" s="637"/>
      <c r="MA13" s="637"/>
      <c r="MB13" s="637"/>
      <c r="MC13" s="637"/>
      <c r="MD13" s="637"/>
      <c r="ME13" s="637"/>
      <c r="MF13" s="637"/>
      <c r="MG13" s="637"/>
      <c r="MH13" s="637"/>
      <c r="MI13" s="637"/>
      <c r="MJ13" s="637"/>
      <c r="MK13" s="637"/>
      <c r="ML13" s="637"/>
      <c r="MM13" s="637"/>
      <c r="MN13" s="637"/>
      <c r="MO13" s="637"/>
      <c r="MP13" s="637"/>
      <c r="MQ13" s="637"/>
      <c r="MR13" s="637"/>
      <c r="MS13" s="637"/>
      <c r="MT13" s="637"/>
      <c r="MU13" s="637"/>
      <c r="MV13" s="637"/>
      <c r="MW13" s="637"/>
      <c r="MX13" s="637"/>
      <c r="MY13" s="637"/>
      <c r="MZ13" s="637"/>
      <c r="NA13" s="637"/>
      <c r="NB13" s="637"/>
      <c r="NC13" s="637"/>
      <c r="ND13" s="637"/>
      <c r="NE13" s="637"/>
      <c r="NF13" s="637"/>
      <c r="NG13" s="637"/>
      <c r="NH13" s="637"/>
      <c r="NI13" s="637"/>
      <c r="NJ13" s="637"/>
      <c r="NK13" s="637"/>
      <c r="NL13" s="637"/>
      <c r="NM13" s="637"/>
      <c r="NN13" s="637"/>
      <c r="NO13" s="637"/>
      <c r="NP13" s="637"/>
      <c r="NQ13" s="637"/>
      <c r="NR13" s="637"/>
      <c r="NS13" s="637"/>
      <c r="NT13" s="637"/>
      <c r="NU13" s="637"/>
      <c r="NV13" s="637"/>
      <c r="NW13" s="637"/>
      <c r="NX13" s="637"/>
      <c r="NY13" s="637"/>
      <c r="NZ13" s="637"/>
      <c r="OA13" s="637"/>
      <c r="OB13" s="637"/>
      <c r="OC13" s="637"/>
      <c r="OD13" s="637"/>
      <c r="OE13" s="637"/>
      <c r="OF13" s="637"/>
      <c r="OG13" s="637"/>
      <c r="OH13" s="637"/>
      <c r="OI13" s="637"/>
      <c r="OJ13" s="637"/>
      <c r="OK13" s="637"/>
      <c r="OL13" s="637"/>
      <c r="OM13" s="637"/>
      <c r="ON13" s="637"/>
      <c r="OO13" s="637"/>
      <c r="OP13" s="637"/>
      <c r="OQ13" s="637"/>
      <c r="OR13" s="637"/>
      <c r="OS13" s="637"/>
      <c r="OT13" s="637"/>
      <c r="OU13" s="637"/>
      <c r="OV13" s="637"/>
      <c r="OW13" s="637"/>
      <c r="OX13" s="637"/>
      <c r="OY13" s="637"/>
      <c r="OZ13" s="637"/>
      <c r="PA13" s="637"/>
      <c r="PB13" s="637"/>
      <c r="PC13" s="637"/>
      <c r="PD13" s="637"/>
      <c r="PE13" s="637"/>
      <c r="PF13" s="637"/>
      <c r="PG13" s="637"/>
      <c r="PH13" s="637"/>
      <c r="PI13" s="637"/>
      <c r="PJ13" s="637"/>
      <c r="PK13" s="637"/>
      <c r="PL13" s="637"/>
      <c r="PM13" s="637"/>
      <c r="PN13" s="637"/>
      <c r="PO13" s="637"/>
      <c r="PP13" s="637"/>
      <c r="PQ13" s="637"/>
      <c r="PR13" s="637"/>
      <c r="PS13" s="637"/>
      <c r="PT13" s="637"/>
      <c r="PU13" s="637"/>
      <c r="PV13" s="637"/>
      <c r="PW13" s="637"/>
      <c r="PX13" s="637"/>
      <c r="PY13" s="637"/>
      <c r="PZ13" s="637"/>
      <c r="QA13" s="637"/>
      <c r="QB13" s="637"/>
      <c r="QC13" s="637"/>
      <c r="QD13" s="637"/>
      <c r="QE13" s="637"/>
      <c r="QF13" s="637"/>
      <c r="QG13" s="637"/>
      <c r="QH13" s="637"/>
      <c r="QI13" s="637"/>
      <c r="QJ13" s="637"/>
      <c r="QK13" s="637"/>
      <c r="QL13" s="637"/>
      <c r="QM13" s="637"/>
      <c r="QN13" s="637"/>
      <c r="QO13" s="637"/>
      <c r="QP13" s="637"/>
      <c r="QQ13" s="637"/>
      <c r="QR13" s="637"/>
      <c r="QS13" s="637"/>
      <c r="QT13" s="637"/>
      <c r="QU13" s="637"/>
      <c r="QV13" s="637"/>
      <c r="QW13" s="637"/>
      <c r="QX13" s="637"/>
      <c r="QY13" s="637"/>
      <c r="QZ13" s="637"/>
      <c r="RA13" s="637"/>
      <c r="RB13" s="637"/>
      <c r="RC13" s="637"/>
      <c r="RD13" s="637"/>
      <c r="RE13" s="637"/>
      <c r="RF13" s="637"/>
      <c r="RG13" s="637"/>
      <c r="RH13" s="637"/>
      <c r="RI13" s="637"/>
      <c r="RJ13" s="637"/>
      <c r="RK13" s="637"/>
      <c r="RL13" s="637"/>
      <c r="RM13" s="637"/>
      <c r="RN13" s="637"/>
      <c r="RO13" s="637"/>
      <c r="RP13" s="637"/>
      <c r="RQ13" s="637"/>
      <c r="RR13" s="637"/>
      <c r="RS13" s="637"/>
      <c r="RT13" s="637"/>
      <c r="RU13" s="637"/>
      <c r="RV13" s="637"/>
      <c r="RW13" s="637"/>
      <c r="RX13" s="637"/>
      <c r="RY13" s="637"/>
      <c r="RZ13" s="637"/>
      <c r="SA13" s="637"/>
      <c r="SB13" s="637"/>
      <c r="SC13" s="637"/>
      <c r="SD13" s="637"/>
      <c r="SE13" s="637"/>
      <c r="SF13" s="637"/>
      <c r="SG13" s="637"/>
      <c r="SH13" s="637"/>
      <c r="SI13" s="637"/>
      <c r="SJ13" s="637"/>
      <c r="SK13" s="637"/>
      <c r="SL13" s="637"/>
      <c r="SM13" s="637"/>
      <c r="SN13" s="637"/>
      <c r="SO13" s="637"/>
      <c r="SP13" s="637"/>
      <c r="SQ13" s="637"/>
      <c r="SR13" s="637"/>
      <c r="SS13" s="637"/>
      <c r="ST13" s="637"/>
      <c r="SU13" s="637"/>
      <c r="SV13" s="637"/>
      <c r="SW13" s="637"/>
      <c r="SX13" s="637"/>
      <c r="SY13" s="637"/>
      <c r="SZ13" s="637"/>
      <c r="TA13" s="637"/>
      <c r="TB13" s="637"/>
      <c r="TC13" s="637"/>
      <c r="TD13" s="637"/>
      <c r="TE13" s="637"/>
      <c r="TF13" s="637"/>
      <c r="TG13" s="637"/>
      <c r="TH13" s="637"/>
      <c r="TI13" s="637"/>
      <c r="TJ13" s="637"/>
      <c r="TK13" s="637"/>
      <c r="TL13" s="637"/>
      <c r="TM13" s="637"/>
      <c r="TN13" s="637"/>
      <c r="TO13" s="637"/>
      <c r="TP13" s="637"/>
      <c r="TQ13" s="637"/>
      <c r="TR13" s="637"/>
      <c r="TS13" s="637"/>
      <c r="TT13" s="637"/>
      <c r="TU13" s="637"/>
      <c r="TV13" s="637"/>
      <c r="TW13" s="637"/>
      <c r="TX13" s="637"/>
      <c r="TY13" s="637"/>
      <c r="TZ13" s="637"/>
      <c r="UA13" s="637"/>
      <c r="UB13" s="637"/>
      <c r="UC13" s="637"/>
      <c r="UD13" s="637"/>
      <c r="UE13" s="637"/>
      <c r="UF13" s="637"/>
      <c r="UG13" s="637"/>
      <c r="UH13" s="637"/>
      <c r="UI13" s="637"/>
      <c r="UJ13" s="637"/>
      <c r="UK13" s="637"/>
      <c r="UL13" s="637"/>
      <c r="UM13" s="637"/>
      <c r="UN13" s="637"/>
      <c r="UO13" s="637"/>
      <c r="UP13" s="637"/>
      <c r="UQ13" s="637"/>
      <c r="UR13" s="637"/>
      <c r="US13" s="637"/>
      <c r="UT13" s="637"/>
      <c r="UU13" s="637"/>
      <c r="UV13" s="637"/>
      <c r="UW13" s="637"/>
      <c r="UX13" s="637"/>
      <c r="UY13" s="637"/>
      <c r="UZ13" s="637"/>
      <c r="VA13" s="637"/>
      <c r="VB13" s="637"/>
      <c r="VC13" s="637"/>
      <c r="VD13" s="637"/>
      <c r="VE13" s="637"/>
      <c r="VF13" s="637"/>
      <c r="VG13" s="637"/>
      <c r="VH13" s="637"/>
      <c r="VI13" s="637"/>
      <c r="VJ13" s="637"/>
      <c r="VK13" s="637"/>
      <c r="VL13" s="637"/>
      <c r="VM13" s="637"/>
      <c r="VN13" s="637"/>
      <c r="VO13" s="637"/>
      <c r="VP13" s="637"/>
      <c r="VQ13" s="637"/>
      <c r="VR13" s="637"/>
      <c r="VS13" s="637"/>
      <c r="VT13" s="637"/>
      <c r="VU13" s="637"/>
      <c r="VV13" s="637"/>
      <c r="VW13" s="637"/>
      <c r="VX13" s="637"/>
      <c r="VY13" s="637"/>
      <c r="VZ13" s="637"/>
      <c r="WA13" s="637"/>
      <c r="WB13" s="637"/>
      <c r="WC13" s="637"/>
      <c r="WD13" s="637"/>
      <c r="WE13" s="637"/>
      <c r="WF13" s="637"/>
      <c r="WG13" s="637"/>
      <c r="WH13" s="637"/>
      <c r="WI13" s="637"/>
      <c r="WJ13" s="637"/>
      <c r="WK13" s="637"/>
      <c r="WL13" s="637"/>
      <c r="WM13" s="637"/>
      <c r="WN13" s="637"/>
      <c r="WO13" s="637"/>
      <c r="WP13" s="637"/>
      <c r="WQ13" s="637"/>
      <c r="WR13" s="637"/>
      <c r="WS13" s="637"/>
      <c r="WT13" s="637"/>
      <c r="WU13" s="637"/>
      <c r="WV13" s="637"/>
      <c r="WW13" s="637"/>
      <c r="WX13" s="637"/>
      <c r="WY13" s="637"/>
      <c r="WZ13" s="637"/>
      <c r="XA13" s="637"/>
      <c r="XB13" s="637"/>
      <c r="XC13" s="637"/>
      <c r="XD13" s="637"/>
      <c r="XE13" s="637"/>
      <c r="XF13" s="637"/>
      <c r="XG13" s="637"/>
      <c r="XH13" s="637"/>
      <c r="XI13" s="637"/>
      <c r="XJ13" s="637"/>
      <c r="XK13" s="637"/>
      <c r="XL13" s="637"/>
      <c r="XM13" s="637"/>
      <c r="XN13" s="637"/>
      <c r="XO13" s="637"/>
      <c r="XP13" s="637"/>
      <c r="XQ13" s="637"/>
      <c r="XR13" s="637"/>
      <c r="XS13" s="637"/>
      <c r="XT13" s="637"/>
      <c r="XU13" s="637"/>
      <c r="XV13" s="637"/>
      <c r="XW13" s="637"/>
      <c r="XX13" s="637"/>
      <c r="XY13" s="637"/>
      <c r="XZ13" s="637"/>
      <c r="YA13" s="637"/>
      <c r="YB13" s="637"/>
      <c r="YC13" s="637"/>
      <c r="YD13" s="637"/>
      <c r="YE13" s="637"/>
      <c r="YF13" s="637"/>
      <c r="YG13" s="637"/>
      <c r="YH13" s="637"/>
      <c r="YI13" s="637"/>
      <c r="YJ13" s="637"/>
      <c r="YK13" s="637"/>
      <c r="YL13" s="637"/>
      <c r="YM13" s="637"/>
      <c r="YN13" s="637"/>
      <c r="YO13" s="637"/>
      <c r="YP13" s="637"/>
      <c r="YQ13" s="637"/>
      <c r="YR13" s="637"/>
      <c r="YS13" s="637"/>
      <c r="YT13" s="637"/>
      <c r="YU13" s="637"/>
      <c r="YV13" s="637"/>
      <c r="YW13" s="637"/>
      <c r="YX13" s="637"/>
      <c r="YY13" s="637"/>
      <c r="YZ13" s="637"/>
      <c r="ZA13" s="637"/>
      <c r="ZB13" s="637"/>
      <c r="ZC13" s="637"/>
      <c r="ZD13" s="637"/>
      <c r="ZE13" s="637"/>
      <c r="ZF13" s="637"/>
      <c r="ZG13" s="637"/>
      <c r="ZH13" s="637"/>
      <c r="ZI13" s="637"/>
      <c r="ZJ13" s="637"/>
      <c r="ZK13" s="637"/>
      <c r="ZL13" s="637"/>
      <c r="ZM13" s="637"/>
      <c r="ZN13" s="637"/>
      <c r="ZO13" s="637"/>
      <c r="ZP13" s="637"/>
      <c r="ZQ13" s="637"/>
      <c r="ZR13" s="637"/>
      <c r="ZS13" s="637"/>
      <c r="ZT13" s="637"/>
      <c r="ZU13" s="637"/>
      <c r="ZV13" s="637"/>
      <c r="ZW13" s="637"/>
      <c r="ZX13" s="637"/>
      <c r="ZY13" s="637"/>
      <c r="ZZ13" s="637"/>
      <c r="AAA13" s="637"/>
      <c r="AAB13" s="637"/>
      <c r="AAC13" s="637"/>
      <c r="AAD13" s="637"/>
      <c r="AAE13" s="637"/>
      <c r="AAF13" s="637"/>
      <c r="AAG13" s="637"/>
      <c r="AAH13" s="637"/>
      <c r="AAI13" s="637"/>
      <c r="AAJ13" s="637"/>
      <c r="AAK13" s="637"/>
      <c r="AAL13" s="637"/>
      <c r="AAM13" s="637"/>
      <c r="AAN13" s="637"/>
      <c r="AAO13" s="637"/>
      <c r="AAP13" s="637"/>
      <c r="AAQ13" s="637"/>
      <c r="AAR13" s="637"/>
      <c r="AAS13" s="637"/>
      <c r="AAT13" s="637"/>
      <c r="AAU13" s="637"/>
      <c r="AAV13" s="637"/>
      <c r="AAW13" s="637"/>
      <c r="AAX13" s="637"/>
      <c r="AAY13" s="637"/>
      <c r="AAZ13" s="637"/>
      <c r="ABA13" s="637"/>
      <c r="ABB13" s="637"/>
      <c r="ABC13" s="637"/>
      <c r="ABD13" s="637"/>
      <c r="ABE13" s="637"/>
      <c r="ABF13" s="637"/>
      <c r="ABG13" s="637"/>
      <c r="ABH13" s="637"/>
      <c r="ABI13" s="637"/>
      <c r="ABJ13" s="637"/>
      <c r="ABK13" s="637"/>
      <c r="ABL13" s="637"/>
      <c r="ABM13" s="637"/>
      <c r="ABN13" s="637"/>
      <c r="ABO13" s="637"/>
      <c r="ABP13" s="637"/>
      <c r="ABQ13" s="637"/>
      <c r="ABR13" s="637"/>
      <c r="ABS13" s="637"/>
      <c r="ABT13" s="637"/>
      <c r="ABU13" s="637"/>
      <c r="ABV13" s="637"/>
      <c r="ABW13" s="637"/>
      <c r="ABX13" s="637"/>
      <c r="ABY13" s="637"/>
      <c r="ABZ13" s="637"/>
      <c r="ACA13" s="637"/>
      <c r="ACB13" s="637"/>
      <c r="ACC13" s="637"/>
      <c r="ACD13" s="637"/>
      <c r="ACE13" s="637"/>
      <c r="ACF13" s="637"/>
      <c r="ACG13" s="637"/>
      <c r="ACH13" s="637"/>
      <c r="ACI13" s="637"/>
      <c r="ACJ13" s="637"/>
      <c r="ACK13" s="637"/>
      <c r="ACL13" s="637"/>
      <c r="ACM13" s="637"/>
      <c r="ACN13" s="637"/>
      <c r="ACO13" s="637"/>
      <c r="ACP13" s="637"/>
      <c r="ACQ13" s="637"/>
      <c r="ACR13" s="637"/>
      <c r="ACS13" s="637"/>
      <c r="ACT13" s="637"/>
      <c r="ACU13" s="637"/>
      <c r="ACV13" s="637"/>
      <c r="ACW13" s="637"/>
      <c r="ACX13" s="637"/>
      <c r="ACY13" s="637"/>
      <c r="ACZ13" s="637"/>
      <c r="ADA13" s="637"/>
      <c r="ADB13" s="637"/>
      <c r="ADC13" s="637"/>
      <c r="ADD13" s="637"/>
      <c r="ADE13" s="637"/>
      <c r="ADF13" s="637"/>
      <c r="ADG13" s="637"/>
      <c r="ADH13" s="637"/>
      <c r="ADI13" s="637"/>
      <c r="ADJ13" s="637"/>
      <c r="ADK13" s="637"/>
      <c r="ADL13" s="637"/>
      <c r="ADM13" s="637"/>
      <c r="ADN13" s="637"/>
      <c r="ADO13" s="637"/>
      <c r="ADP13" s="637"/>
      <c r="ADQ13" s="637"/>
      <c r="ADR13" s="637"/>
      <c r="ADS13" s="637"/>
      <c r="ADT13" s="637"/>
      <c r="ADU13" s="637"/>
      <c r="ADV13" s="637"/>
      <c r="ADW13" s="637"/>
      <c r="ADX13" s="637"/>
      <c r="ADY13" s="637"/>
      <c r="ADZ13" s="637"/>
      <c r="AEA13" s="637"/>
      <c r="AEB13" s="637"/>
      <c r="AEC13" s="637"/>
      <c r="AED13" s="637"/>
      <c r="AEE13" s="637"/>
      <c r="AEF13" s="637"/>
      <c r="AEG13" s="637"/>
      <c r="AEH13" s="637"/>
      <c r="AEI13" s="637"/>
      <c r="AEJ13" s="637"/>
      <c r="AEK13" s="637"/>
      <c r="AEL13" s="637"/>
      <c r="AEM13" s="637"/>
      <c r="AEN13" s="637"/>
      <c r="AEO13" s="637"/>
      <c r="AEP13" s="637"/>
      <c r="AEQ13" s="637"/>
      <c r="AER13" s="637"/>
      <c r="AES13" s="637"/>
      <c r="AET13" s="637"/>
      <c r="AEU13" s="637"/>
      <c r="AEV13" s="637"/>
      <c r="AEW13" s="637"/>
      <c r="AEX13" s="637"/>
      <c r="AEY13" s="637"/>
      <c r="AEZ13" s="637"/>
      <c r="AFA13" s="637"/>
      <c r="AFB13" s="637"/>
      <c r="AFC13" s="637"/>
      <c r="AFD13" s="637"/>
      <c r="AFE13" s="637"/>
      <c r="AFF13" s="637"/>
      <c r="AFG13" s="637"/>
      <c r="AFH13" s="637"/>
      <c r="AFI13" s="637"/>
      <c r="AFJ13" s="637"/>
      <c r="AFK13" s="637"/>
      <c r="AFL13" s="637"/>
      <c r="AFM13" s="637"/>
      <c r="AFN13" s="637"/>
      <c r="AFO13" s="637"/>
      <c r="AFP13" s="637"/>
      <c r="AFQ13" s="637"/>
      <c r="AFR13" s="637"/>
      <c r="AFS13" s="637"/>
      <c r="AFT13" s="637"/>
      <c r="AFU13" s="637"/>
      <c r="AFV13" s="637"/>
      <c r="AFW13" s="637"/>
      <c r="AFX13" s="637"/>
      <c r="AFY13" s="637"/>
      <c r="AFZ13" s="637"/>
      <c r="AGA13" s="637"/>
      <c r="AGB13" s="637"/>
      <c r="AGC13" s="637"/>
      <c r="AGD13" s="637"/>
      <c r="AGE13" s="637"/>
      <c r="AGF13" s="637"/>
      <c r="AGG13" s="637"/>
      <c r="AGH13" s="637"/>
      <c r="AGI13" s="637"/>
      <c r="AGJ13" s="637"/>
      <c r="AGK13" s="637"/>
      <c r="AGL13" s="637"/>
      <c r="AGM13" s="637"/>
      <c r="AGN13" s="637"/>
      <c r="AGO13" s="637"/>
      <c r="AGP13" s="637"/>
      <c r="AGQ13" s="637"/>
      <c r="AGR13" s="637"/>
      <c r="AGS13" s="637"/>
      <c r="AGT13" s="637"/>
      <c r="AGU13" s="637"/>
      <c r="AGV13" s="637"/>
      <c r="AGW13" s="637"/>
      <c r="AGX13" s="637"/>
      <c r="AGY13" s="637"/>
      <c r="AGZ13" s="637"/>
      <c r="AHA13" s="637"/>
      <c r="AHB13" s="637"/>
      <c r="AHC13" s="637"/>
      <c r="AHD13" s="637"/>
      <c r="AHE13" s="637"/>
      <c r="AHF13" s="637"/>
      <c r="AHG13" s="637"/>
      <c r="AHH13" s="637"/>
      <c r="AHI13" s="637"/>
      <c r="AHJ13" s="637"/>
      <c r="AHK13" s="637"/>
      <c r="AHL13" s="637"/>
      <c r="AHM13" s="637"/>
      <c r="AHN13" s="637"/>
      <c r="AHO13" s="637"/>
      <c r="AHP13" s="637"/>
      <c r="AHQ13" s="637"/>
      <c r="AHR13" s="637"/>
      <c r="AHS13" s="637"/>
      <c r="AHT13" s="637"/>
      <c r="AHU13" s="637"/>
      <c r="AHV13" s="637"/>
      <c r="AHW13" s="637"/>
      <c r="AHX13" s="637"/>
      <c r="AHY13" s="637"/>
      <c r="AHZ13" s="637"/>
      <c r="AIA13" s="637"/>
      <c r="AIB13" s="637"/>
      <c r="AIC13" s="637"/>
      <c r="AID13" s="637"/>
      <c r="AIE13" s="637"/>
      <c r="AIF13" s="637"/>
      <c r="AIG13" s="637"/>
      <c r="AIH13" s="637"/>
      <c r="AII13" s="637"/>
      <c r="AIJ13" s="637"/>
      <c r="AIK13" s="637"/>
      <c r="AIL13" s="637"/>
      <c r="AIM13" s="637"/>
      <c r="AIN13" s="637"/>
      <c r="AIO13" s="637"/>
      <c r="AIP13" s="637"/>
      <c r="AIQ13" s="637"/>
      <c r="AIR13" s="637"/>
      <c r="AIS13" s="637"/>
      <c r="AIT13" s="637"/>
      <c r="AIU13" s="637"/>
      <c r="AIV13" s="637"/>
      <c r="AIW13" s="637"/>
      <c r="AIX13" s="637"/>
      <c r="AIY13" s="637"/>
      <c r="AIZ13" s="637"/>
      <c r="AJA13" s="637"/>
      <c r="AJB13" s="637"/>
      <c r="AJC13" s="637"/>
      <c r="AJD13" s="637"/>
      <c r="AJE13" s="637"/>
      <c r="AJF13" s="637"/>
      <c r="AJG13" s="637"/>
      <c r="AJH13" s="637"/>
      <c r="AJI13" s="637"/>
      <c r="AJJ13" s="637"/>
      <c r="AJK13" s="637"/>
      <c r="AJL13" s="637"/>
      <c r="AJM13" s="637"/>
      <c r="AJN13" s="637"/>
      <c r="AJO13" s="637"/>
      <c r="AJP13" s="637"/>
      <c r="AJQ13" s="637"/>
      <c r="AJR13" s="637"/>
      <c r="AJS13" s="637"/>
      <c r="AJT13" s="637"/>
      <c r="AJU13" s="637"/>
      <c r="AJV13" s="637"/>
      <c r="AJW13" s="637"/>
      <c r="AJX13" s="637"/>
      <c r="AJY13" s="637"/>
      <c r="AJZ13" s="637"/>
      <c r="AKA13" s="637"/>
      <c r="AKB13" s="637"/>
      <c r="AKC13" s="637"/>
      <c r="AKD13" s="637"/>
      <c r="AKE13" s="637"/>
      <c r="AKF13" s="637"/>
      <c r="AKG13" s="637"/>
      <c r="AKH13" s="637"/>
      <c r="AKI13" s="637"/>
      <c r="AKJ13" s="637"/>
      <c r="AKK13" s="637"/>
      <c r="AKL13" s="637"/>
      <c r="AKM13" s="637"/>
      <c r="AKN13" s="637"/>
      <c r="AKO13" s="637"/>
      <c r="AKP13" s="637"/>
      <c r="AKQ13" s="637"/>
      <c r="AKR13" s="637"/>
      <c r="AKS13" s="637"/>
      <c r="AKT13" s="637"/>
      <c r="AKU13" s="637"/>
      <c r="AKV13" s="637"/>
      <c r="AKW13" s="637"/>
      <c r="AKX13" s="637"/>
      <c r="AKY13" s="637"/>
      <c r="AKZ13" s="637"/>
      <c r="ALA13" s="637"/>
      <c r="ALB13" s="637"/>
      <c r="ALC13" s="637"/>
      <c r="ALD13" s="637"/>
      <c r="ALE13" s="637"/>
      <c r="ALF13" s="637"/>
      <c r="ALG13" s="637"/>
      <c r="ALH13" s="637"/>
      <c r="ALI13" s="637"/>
      <c r="ALJ13" s="637"/>
      <c r="ALK13" s="637"/>
      <c r="ALL13" s="637"/>
      <c r="ALM13" s="637"/>
      <c r="ALN13" s="637"/>
      <c r="ALO13" s="637"/>
      <c r="ALP13" s="637"/>
      <c r="ALQ13" s="637"/>
      <c r="ALR13" s="637"/>
      <c r="ALS13" s="637"/>
      <c r="ALT13" s="637"/>
      <c r="ALU13" s="637"/>
      <c r="ALV13" s="637"/>
      <c r="ALW13" s="637"/>
      <c r="ALX13" s="637"/>
      <c r="ALY13" s="637"/>
      <c r="ALZ13" s="637"/>
      <c r="AMA13" s="637"/>
      <c r="AMB13" s="637"/>
      <c r="AMC13" s="637"/>
      <c r="AMD13" s="637"/>
      <c r="AME13" s="637"/>
      <c r="AMF13" s="637"/>
      <c r="AMG13" s="637"/>
      <c r="AMH13" s="637"/>
      <c r="AMI13" s="637"/>
      <c r="AMJ13" s="637"/>
    </row>
    <row r="14" spans="1:1024" s="638" customFormat="1" ht="12.75">
      <c r="A14" s="984"/>
      <c r="B14" s="985"/>
      <c r="C14" s="986"/>
      <c r="D14" s="981" t="s">
        <v>1041</v>
      </c>
      <c r="E14" s="982"/>
      <c r="F14" s="982">
        <f>SUM(G14:R14)</f>
        <v>41524</v>
      </c>
      <c r="G14" s="987">
        <f>31177+784+38-114</f>
        <v>31885</v>
      </c>
      <c r="H14" s="987">
        <f>8954+286+10+114</f>
        <v>9364</v>
      </c>
      <c r="I14" s="987">
        <f>1275-1000</f>
        <v>275</v>
      </c>
      <c r="J14" s="987"/>
      <c r="K14" s="987"/>
      <c r="L14" s="987"/>
      <c r="M14" s="987"/>
      <c r="N14" s="987"/>
      <c r="O14" s="987"/>
      <c r="P14" s="987"/>
      <c r="Q14" s="987"/>
      <c r="R14" s="984"/>
      <c r="S14" s="637"/>
      <c r="T14" s="637"/>
      <c r="U14" s="637"/>
      <c r="V14" s="637"/>
      <c r="W14" s="637"/>
      <c r="X14" s="637"/>
      <c r="Y14" s="637"/>
      <c r="Z14" s="637"/>
      <c r="AA14" s="637"/>
      <c r="AB14" s="637"/>
      <c r="AC14" s="637"/>
      <c r="AD14" s="637"/>
      <c r="AE14" s="637"/>
      <c r="AF14" s="637"/>
      <c r="AG14" s="637"/>
      <c r="AH14" s="637"/>
      <c r="AI14" s="637"/>
      <c r="AJ14" s="637"/>
      <c r="AK14" s="637"/>
      <c r="AL14" s="637"/>
      <c r="AM14" s="637"/>
      <c r="AN14" s="637"/>
      <c r="AO14" s="637"/>
      <c r="AP14" s="637"/>
      <c r="AQ14" s="637"/>
      <c r="AR14" s="637"/>
      <c r="AS14" s="637"/>
      <c r="AT14" s="637"/>
      <c r="AU14" s="637"/>
      <c r="AV14" s="637"/>
      <c r="AW14" s="637"/>
      <c r="AX14" s="637"/>
      <c r="AY14" s="637"/>
      <c r="AZ14" s="637"/>
      <c r="BA14" s="637"/>
      <c r="BB14" s="637"/>
      <c r="BC14" s="637"/>
      <c r="BD14" s="637"/>
      <c r="BE14" s="637"/>
      <c r="BF14" s="637"/>
      <c r="BG14" s="637"/>
      <c r="BH14" s="637"/>
      <c r="BI14" s="637"/>
      <c r="BJ14" s="637"/>
      <c r="BK14" s="637"/>
      <c r="BL14" s="637"/>
      <c r="BM14" s="637"/>
      <c r="BN14" s="637"/>
      <c r="BO14" s="637"/>
      <c r="BP14" s="637"/>
      <c r="BQ14" s="637"/>
      <c r="BR14" s="637"/>
      <c r="BS14" s="637"/>
      <c r="BT14" s="637"/>
      <c r="BU14" s="637"/>
      <c r="BV14" s="637"/>
      <c r="BW14" s="637"/>
      <c r="BX14" s="637"/>
      <c r="BY14" s="637"/>
      <c r="BZ14" s="637"/>
      <c r="CA14" s="637"/>
      <c r="CB14" s="637"/>
      <c r="CC14" s="637"/>
      <c r="CD14" s="637"/>
      <c r="CE14" s="637"/>
      <c r="CF14" s="637"/>
      <c r="CG14" s="637"/>
      <c r="CH14" s="637"/>
      <c r="CI14" s="637"/>
      <c r="CJ14" s="637"/>
      <c r="CK14" s="637"/>
      <c r="CL14" s="637"/>
      <c r="CM14" s="637"/>
      <c r="CN14" s="637"/>
      <c r="CO14" s="637"/>
      <c r="CP14" s="637"/>
      <c r="CQ14" s="637"/>
      <c r="CR14" s="637"/>
      <c r="CS14" s="637"/>
      <c r="CT14" s="637"/>
      <c r="CU14" s="637"/>
      <c r="CV14" s="637"/>
      <c r="CW14" s="637"/>
      <c r="CX14" s="637"/>
      <c r="CY14" s="637"/>
      <c r="CZ14" s="637"/>
      <c r="DA14" s="637"/>
      <c r="DB14" s="637"/>
      <c r="DC14" s="637"/>
      <c r="DD14" s="637"/>
      <c r="DE14" s="637"/>
      <c r="DF14" s="637"/>
      <c r="DG14" s="637"/>
      <c r="DH14" s="637"/>
      <c r="DI14" s="637"/>
      <c r="DJ14" s="637"/>
      <c r="DK14" s="637"/>
      <c r="DL14" s="637"/>
      <c r="DM14" s="637"/>
      <c r="DN14" s="637"/>
      <c r="DO14" s="637"/>
      <c r="DP14" s="637"/>
      <c r="DQ14" s="637"/>
      <c r="DR14" s="637"/>
      <c r="DS14" s="637"/>
      <c r="DT14" s="637"/>
      <c r="DU14" s="637"/>
      <c r="DV14" s="637"/>
      <c r="DW14" s="637"/>
      <c r="DX14" s="637"/>
      <c r="DY14" s="637"/>
      <c r="DZ14" s="637"/>
      <c r="EA14" s="637"/>
      <c r="EB14" s="637"/>
      <c r="EC14" s="637"/>
      <c r="ED14" s="637"/>
      <c r="EE14" s="637"/>
      <c r="EF14" s="637"/>
      <c r="EG14" s="637"/>
      <c r="EH14" s="637"/>
      <c r="EI14" s="637"/>
      <c r="EJ14" s="637"/>
      <c r="EK14" s="637"/>
      <c r="EL14" s="637"/>
      <c r="EM14" s="637"/>
      <c r="EN14" s="637"/>
      <c r="EO14" s="637"/>
      <c r="EP14" s="637"/>
      <c r="EQ14" s="637"/>
      <c r="ER14" s="637"/>
      <c r="ES14" s="637"/>
      <c r="ET14" s="637"/>
      <c r="EU14" s="637"/>
      <c r="EV14" s="637"/>
      <c r="EW14" s="637"/>
      <c r="EX14" s="637"/>
      <c r="EY14" s="637"/>
      <c r="EZ14" s="637"/>
      <c r="FA14" s="637"/>
      <c r="FB14" s="637"/>
      <c r="FC14" s="637"/>
      <c r="FD14" s="637"/>
      <c r="FE14" s="637"/>
      <c r="FF14" s="637"/>
      <c r="FG14" s="637"/>
      <c r="FH14" s="637"/>
      <c r="FI14" s="637"/>
      <c r="FJ14" s="637"/>
      <c r="FK14" s="637"/>
      <c r="FL14" s="637"/>
      <c r="FM14" s="637"/>
      <c r="FN14" s="637"/>
      <c r="FO14" s="637"/>
      <c r="FP14" s="637"/>
      <c r="FQ14" s="637"/>
      <c r="FR14" s="637"/>
      <c r="FS14" s="637"/>
      <c r="FT14" s="637"/>
      <c r="FU14" s="637"/>
      <c r="FV14" s="637"/>
      <c r="FW14" s="637"/>
      <c r="FX14" s="637"/>
      <c r="FY14" s="637"/>
      <c r="FZ14" s="637"/>
      <c r="GA14" s="637"/>
      <c r="GB14" s="637"/>
      <c r="GC14" s="637"/>
      <c r="GD14" s="637"/>
      <c r="GE14" s="637"/>
      <c r="GF14" s="637"/>
      <c r="GG14" s="637"/>
      <c r="GH14" s="637"/>
      <c r="GI14" s="637"/>
      <c r="GJ14" s="637"/>
      <c r="GK14" s="637"/>
      <c r="GL14" s="637"/>
      <c r="GM14" s="637"/>
      <c r="GN14" s="637"/>
      <c r="GO14" s="637"/>
      <c r="GP14" s="637"/>
      <c r="GQ14" s="637"/>
      <c r="GR14" s="637"/>
      <c r="GS14" s="637"/>
      <c r="GT14" s="637"/>
      <c r="GU14" s="637"/>
      <c r="GV14" s="637"/>
      <c r="GW14" s="637"/>
      <c r="GX14" s="637"/>
      <c r="GY14" s="637"/>
      <c r="GZ14" s="637"/>
      <c r="HA14" s="637"/>
      <c r="HB14" s="637"/>
      <c r="HC14" s="637"/>
      <c r="HD14" s="637"/>
      <c r="HE14" s="637"/>
      <c r="HF14" s="637"/>
      <c r="HG14" s="637"/>
      <c r="HH14" s="637"/>
      <c r="HI14" s="637"/>
      <c r="HJ14" s="637"/>
      <c r="HK14" s="637"/>
      <c r="HL14" s="637"/>
      <c r="HM14" s="637"/>
      <c r="HN14" s="637"/>
      <c r="HO14" s="637"/>
      <c r="HP14" s="637"/>
      <c r="HQ14" s="637"/>
      <c r="HR14" s="637"/>
      <c r="HS14" s="637"/>
      <c r="HT14" s="637"/>
      <c r="HU14" s="637"/>
      <c r="HV14" s="637"/>
      <c r="HW14" s="637"/>
      <c r="HX14" s="637"/>
      <c r="HY14" s="637"/>
      <c r="HZ14" s="637"/>
      <c r="IA14" s="637"/>
      <c r="IB14" s="637"/>
      <c r="IC14" s="637"/>
      <c r="ID14" s="637"/>
      <c r="IE14" s="637"/>
      <c r="IF14" s="637"/>
      <c r="IG14" s="637"/>
      <c r="IH14" s="637"/>
      <c r="II14" s="637"/>
      <c r="IJ14" s="637"/>
      <c r="IK14" s="637"/>
      <c r="IL14" s="637"/>
      <c r="IM14" s="637"/>
      <c r="IN14" s="637"/>
      <c r="IO14" s="637"/>
      <c r="IP14" s="637"/>
      <c r="IQ14" s="637"/>
      <c r="IR14" s="637"/>
      <c r="IS14" s="637"/>
      <c r="IT14" s="637"/>
      <c r="IU14" s="637"/>
      <c r="IV14" s="637"/>
      <c r="IW14" s="637"/>
      <c r="IX14" s="637"/>
      <c r="IY14" s="637"/>
      <c r="IZ14" s="637"/>
      <c r="JA14" s="637"/>
      <c r="JB14" s="637"/>
      <c r="JC14" s="637"/>
      <c r="JD14" s="637"/>
      <c r="JE14" s="637"/>
      <c r="JF14" s="637"/>
      <c r="JG14" s="637"/>
      <c r="JH14" s="637"/>
      <c r="JI14" s="637"/>
      <c r="JJ14" s="637"/>
      <c r="JK14" s="637"/>
      <c r="JL14" s="637"/>
      <c r="JM14" s="637"/>
      <c r="JN14" s="637"/>
      <c r="JO14" s="637"/>
      <c r="JP14" s="637"/>
      <c r="JQ14" s="637"/>
      <c r="JR14" s="637"/>
      <c r="JS14" s="637"/>
      <c r="JT14" s="637"/>
      <c r="JU14" s="637"/>
      <c r="JV14" s="637"/>
      <c r="JW14" s="637"/>
      <c r="JX14" s="637"/>
      <c r="JY14" s="637"/>
      <c r="JZ14" s="637"/>
      <c r="KA14" s="637"/>
      <c r="KB14" s="637"/>
      <c r="KC14" s="637"/>
      <c r="KD14" s="637"/>
      <c r="KE14" s="637"/>
      <c r="KF14" s="637"/>
      <c r="KG14" s="637"/>
      <c r="KH14" s="637"/>
      <c r="KI14" s="637"/>
      <c r="KJ14" s="637"/>
      <c r="KK14" s="637"/>
      <c r="KL14" s="637"/>
      <c r="KM14" s="637"/>
      <c r="KN14" s="637"/>
      <c r="KO14" s="637"/>
      <c r="KP14" s="637"/>
      <c r="KQ14" s="637"/>
      <c r="KR14" s="637"/>
      <c r="KS14" s="637"/>
      <c r="KT14" s="637"/>
      <c r="KU14" s="637"/>
      <c r="KV14" s="637"/>
      <c r="KW14" s="637"/>
      <c r="KX14" s="637"/>
      <c r="KY14" s="637"/>
      <c r="KZ14" s="637"/>
      <c r="LA14" s="637"/>
      <c r="LB14" s="637"/>
      <c r="LC14" s="637"/>
      <c r="LD14" s="637"/>
      <c r="LE14" s="637"/>
      <c r="LF14" s="637"/>
      <c r="LG14" s="637"/>
      <c r="LH14" s="637"/>
      <c r="LI14" s="637"/>
      <c r="LJ14" s="637"/>
      <c r="LK14" s="637"/>
      <c r="LL14" s="637"/>
      <c r="LM14" s="637"/>
      <c r="LN14" s="637"/>
      <c r="LO14" s="637"/>
      <c r="LP14" s="637"/>
      <c r="LQ14" s="637"/>
      <c r="LR14" s="637"/>
      <c r="LS14" s="637"/>
      <c r="LT14" s="637"/>
      <c r="LU14" s="637"/>
      <c r="LV14" s="637"/>
      <c r="LW14" s="637"/>
      <c r="LX14" s="637"/>
      <c r="LY14" s="637"/>
      <c r="LZ14" s="637"/>
      <c r="MA14" s="637"/>
      <c r="MB14" s="637"/>
      <c r="MC14" s="637"/>
      <c r="MD14" s="637"/>
      <c r="ME14" s="637"/>
      <c r="MF14" s="637"/>
      <c r="MG14" s="637"/>
      <c r="MH14" s="637"/>
      <c r="MI14" s="637"/>
      <c r="MJ14" s="637"/>
      <c r="MK14" s="637"/>
      <c r="ML14" s="637"/>
      <c r="MM14" s="637"/>
      <c r="MN14" s="637"/>
      <c r="MO14" s="637"/>
      <c r="MP14" s="637"/>
      <c r="MQ14" s="637"/>
      <c r="MR14" s="637"/>
      <c r="MS14" s="637"/>
      <c r="MT14" s="637"/>
      <c r="MU14" s="637"/>
      <c r="MV14" s="637"/>
      <c r="MW14" s="637"/>
      <c r="MX14" s="637"/>
      <c r="MY14" s="637"/>
      <c r="MZ14" s="637"/>
      <c r="NA14" s="637"/>
      <c r="NB14" s="637"/>
      <c r="NC14" s="637"/>
      <c r="ND14" s="637"/>
      <c r="NE14" s="637"/>
      <c r="NF14" s="637"/>
      <c r="NG14" s="637"/>
      <c r="NH14" s="637"/>
      <c r="NI14" s="637"/>
      <c r="NJ14" s="637"/>
      <c r="NK14" s="637"/>
      <c r="NL14" s="637"/>
      <c r="NM14" s="637"/>
      <c r="NN14" s="637"/>
      <c r="NO14" s="637"/>
      <c r="NP14" s="637"/>
      <c r="NQ14" s="637"/>
      <c r="NR14" s="637"/>
      <c r="NS14" s="637"/>
      <c r="NT14" s="637"/>
      <c r="NU14" s="637"/>
      <c r="NV14" s="637"/>
      <c r="NW14" s="637"/>
      <c r="NX14" s="637"/>
      <c r="NY14" s="637"/>
      <c r="NZ14" s="637"/>
      <c r="OA14" s="637"/>
      <c r="OB14" s="637"/>
      <c r="OC14" s="637"/>
      <c r="OD14" s="637"/>
      <c r="OE14" s="637"/>
      <c r="OF14" s="637"/>
      <c r="OG14" s="637"/>
      <c r="OH14" s="637"/>
      <c r="OI14" s="637"/>
      <c r="OJ14" s="637"/>
      <c r="OK14" s="637"/>
      <c r="OL14" s="637"/>
      <c r="OM14" s="637"/>
      <c r="ON14" s="637"/>
      <c r="OO14" s="637"/>
      <c r="OP14" s="637"/>
      <c r="OQ14" s="637"/>
      <c r="OR14" s="637"/>
      <c r="OS14" s="637"/>
      <c r="OT14" s="637"/>
      <c r="OU14" s="637"/>
      <c r="OV14" s="637"/>
      <c r="OW14" s="637"/>
      <c r="OX14" s="637"/>
      <c r="OY14" s="637"/>
      <c r="OZ14" s="637"/>
      <c r="PA14" s="637"/>
      <c r="PB14" s="637"/>
      <c r="PC14" s="637"/>
      <c r="PD14" s="637"/>
      <c r="PE14" s="637"/>
      <c r="PF14" s="637"/>
      <c r="PG14" s="637"/>
      <c r="PH14" s="637"/>
      <c r="PI14" s="637"/>
      <c r="PJ14" s="637"/>
      <c r="PK14" s="637"/>
      <c r="PL14" s="637"/>
      <c r="PM14" s="637"/>
      <c r="PN14" s="637"/>
      <c r="PO14" s="637"/>
      <c r="PP14" s="637"/>
      <c r="PQ14" s="637"/>
      <c r="PR14" s="637"/>
      <c r="PS14" s="637"/>
      <c r="PT14" s="637"/>
      <c r="PU14" s="637"/>
      <c r="PV14" s="637"/>
      <c r="PW14" s="637"/>
      <c r="PX14" s="637"/>
      <c r="PY14" s="637"/>
      <c r="PZ14" s="637"/>
      <c r="QA14" s="637"/>
      <c r="QB14" s="637"/>
      <c r="QC14" s="637"/>
      <c r="QD14" s="637"/>
      <c r="QE14" s="637"/>
      <c r="QF14" s="637"/>
      <c r="QG14" s="637"/>
      <c r="QH14" s="637"/>
      <c r="QI14" s="637"/>
      <c r="QJ14" s="637"/>
      <c r="QK14" s="637"/>
      <c r="QL14" s="637"/>
      <c r="QM14" s="637"/>
      <c r="QN14" s="637"/>
      <c r="QO14" s="637"/>
      <c r="QP14" s="637"/>
      <c r="QQ14" s="637"/>
      <c r="QR14" s="637"/>
      <c r="QS14" s="637"/>
      <c r="QT14" s="637"/>
      <c r="QU14" s="637"/>
      <c r="QV14" s="637"/>
      <c r="QW14" s="637"/>
      <c r="QX14" s="637"/>
      <c r="QY14" s="637"/>
      <c r="QZ14" s="637"/>
      <c r="RA14" s="637"/>
      <c r="RB14" s="637"/>
      <c r="RC14" s="637"/>
      <c r="RD14" s="637"/>
      <c r="RE14" s="637"/>
      <c r="RF14" s="637"/>
      <c r="RG14" s="637"/>
      <c r="RH14" s="637"/>
      <c r="RI14" s="637"/>
      <c r="RJ14" s="637"/>
      <c r="RK14" s="637"/>
      <c r="RL14" s="637"/>
      <c r="RM14" s="637"/>
      <c r="RN14" s="637"/>
      <c r="RO14" s="637"/>
      <c r="RP14" s="637"/>
      <c r="RQ14" s="637"/>
      <c r="RR14" s="637"/>
      <c r="RS14" s="637"/>
      <c r="RT14" s="637"/>
      <c r="RU14" s="637"/>
      <c r="RV14" s="637"/>
      <c r="RW14" s="637"/>
      <c r="RX14" s="637"/>
      <c r="RY14" s="637"/>
      <c r="RZ14" s="637"/>
      <c r="SA14" s="637"/>
      <c r="SB14" s="637"/>
      <c r="SC14" s="637"/>
      <c r="SD14" s="637"/>
      <c r="SE14" s="637"/>
      <c r="SF14" s="637"/>
      <c r="SG14" s="637"/>
      <c r="SH14" s="637"/>
      <c r="SI14" s="637"/>
      <c r="SJ14" s="637"/>
      <c r="SK14" s="637"/>
      <c r="SL14" s="637"/>
      <c r="SM14" s="637"/>
      <c r="SN14" s="637"/>
      <c r="SO14" s="637"/>
      <c r="SP14" s="637"/>
      <c r="SQ14" s="637"/>
      <c r="SR14" s="637"/>
      <c r="SS14" s="637"/>
      <c r="ST14" s="637"/>
      <c r="SU14" s="637"/>
      <c r="SV14" s="637"/>
      <c r="SW14" s="637"/>
      <c r="SX14" s="637"/>
      <c r="SY14" s="637"/>
      <c r="SZ14" s="637"/>
      <c r="TA14" s="637"/>
      <c r="TB14" s="637"/>
      <c r="TC14" s="637"/>
      <c r="TD14" s="637"/>
      <c r="TE14" s="637"/>
      <c r="TF14" s="637"/>
      <c r="TG14" s="637"/>
      <c r="TH14" s="637"/>
      <c r="TI14" s="637"/>
      <c r="TJ14" s="637"/>
      <c r="TK14" s="637"/>
      <c r="TL14" s="637"/>
      <c r="TM14" s="637"/>
      <c r="TN14" s="637"/>
      <c r="TO14" s="637"/>
      <c r="TP14" s="637"/>
      <c r="TQ14" s="637"/>
      <c r="TR14" s="637"/>
      <c r="TS14" s="637"/>
      <c r="TT14" s="637"/>
      <c r="TU14" s="637"/>
      <c r="TV14" s="637"/>
      <c r="TW14" s="637"/>
      <c r="TX14" s="637"/>
      <c r="TY14" s="637"/>
      <c r="TZ14" s="637"/>
      <c r="UA14" s="637"/>
      <c r="UB14" s="637"/>
      <c r="UC14" s="637"/>
      <c r="UD14" s="637"/>
      <c r="UE14" s="637"/>
      <c r="UF14" s="637"/>
      <c r="UG14" s="637"/>
      <c r="UH14" s="637"/>
      <c r="UI14" s="637"/>
      <c r="UJ14" s="637"/>
      <c r="UK14" s="637"/>
      <c r="UL14" s="637"/>
      <c r="UM14" s="637"/>
      <c r="UN14" s="637"/>
      <c r="UO14" s="637"/>
      <c r="UP14" s="637"/>
      <c r="UQ14" s="637"/>
      <c r="UR14" s="637"/>
      <c r="US14" s="637"/>
      <c r="UT14" s="637"/>
      <c r="UU14" s="637"/>
      <c r="UV14" s="637"/>
      <c r="UW14" s="637"/>
      <c r="UX14" s="637"/>
      <c r="UY14" s="637"/>
      <c r="UZ14" s="637"/>
      <c r="VA14" s="637"/>
      <c r="VB14" s="637"/>
      <c r="VC14" s="637"/>
      <c r="VD14" s="637"/>
      <c r="VE14" s="637"/>
      <c r="VF14" s="637"/>
      <c r="VG14" s="637"/>
      <c r="VH14" s="637"/>
      <c r="VI14" s="637"/>
      <c r="VJ14" s="637"/>
      <c r="VK14" s="637"/>
      <c r="VL14" s="637"/>
      <c r="VM14" s="637"/>
      <c r="VN14" s="637"/>
      <c r="VO14" s="637"/>
      <c r="VP14" s="637"/>
      <c r="VQ14" s="637"/>
      <c r="VR14" s="637"/>
      <c r="VS14" s="637"/>
      <c r="VT14" s="637"/>
      <c r="VU14" s="637"/>
      <c r="VV14" s="637"/>
      <c r="VW14" s="637"/>
      <c r="VX14" s="637"/>
      <c r="VY14" s="637"/>
      <c r="VZ14" s="637"/>
      <c r="WA14" s="637"/>
      <c r="WB14" s="637"/>
      <c r="WC14" s="637"/>
      <c r="WD14" s="637"/>
      <c r="WE14" s="637"/>
      <c r="WF14" s="637"/>
      <c r="WG14" s="637"/>
      <c r="WH14" s="637"/>
      <c r="WI14" s="637"/>
      <c r="WJ14" s="637"/>
      <c r="WK14" s="637"/>
      <c r="WL14" s="637"/>
      <c r="WM14" s="637"/>
      <c r="WN14" s="637"/>
      <c r="WO14" s="637"/>
      <c r="WP14" s="637"/>
      <c r="WQ14" s="637"/>
      <c r="WR14" s="637"/>
      <c r="WS14" s="637"/>
      <c r="WT14" s="637"/>
      <c r="WU14" s="637"/>
      <c r="WV14" s="637"/>
      <c r="WW14" s="637"/>
      <c r="WX14" s="637"/>
      <c r="WY14" s="637"/>
      <c r="WZ14" s="637"/>
      <c r="XA14" s="637"/>
      <c r="XB14" s="637"/>
      <c r="XC14" s="637"/>
      <c r="XD14" s="637"/>
      <c r="XE14" s="637"/>
      <c r="XF14" s="637"/>
      <c r="XG14" s="637"/>
      <c r="XH14" s="637"/>
      <c r="XI14" s="637"/>
      <c r="XJ14" s="637"/>
      <c r="XK14" s="637"/>
      <c r="XL14" s="637"/>
      <c r="XM14" s="637"/>
      <c r="XN14" s="637"/>
      <c r="XO14" s="637"/>
      <c r="XP14" s="637"/>
      <c r="XQ14" s="637"/>
      <c r="XR14" s="637"/>
      <c r="XS14" s="637"/>
      <c r="XT14" s="637"/>
      <c r="XU14" s="637"/>
      <c r="XV14" s="637"/>
      <c r="XW14" s="637"/>
      <c r="XX14" s="637"/>
      <c r="XY14" s="637"/>
      <c r="XZ14" s="637"/>
      <c r="YA14" s="637"/>
      <c r="YB14" s="637"/>
      <c r="YC14" s="637"/>
      <c r="YD14" s="637"/>
      <c r="YE14" s="637"/>
      <c r="YF14" s="637"/>
      <c r="YG14" s="637"/>
      <c r="YH14" s="637"/>
      <c r="YI14" s="637"/>
      <c r="YJ14" s="637"/>
      <c r="YK14" s="637"/>
      <c r="YL14" s="637"/>
      <c r="YM14" s="637"/>
      <c r="YN14" s="637"/>
      <c r="YO14" s="637"/>
      <c r="YP14" s="637"/>
      <c r="YQ14" s="637"/>
      <c r="YR14" s="637"/>
      <c r="YS14" s="637"/>
      <c r="YT14" s="637"/>
      <c r="YU14" s="637"/>
      <c r="YV14" s="637"/>
      <c r="YW14" s="637"/>
      <c r="YX14" s="637"/>
      <c r="YY14" s="637"/>
      <c r="YZ14" s="637"/>
      <c r="ZA14" s="637"/>
      <c r="ZB14" s="637"/>
      <c r="ZC14" s="637"/>
      <c r="ZD14" s="637"/>
      <c r="ZE14" s="637"/>
      <c r="ZF14" s="637"/>
      <c r="ZG14" s="637"/>
      <c r="ZH14" s="637"/>
      <c r="ZI14" s="637"/>
      <c r="ZJ14" s="637"/>
      <c r="ZK14" s="637"/>
      <c r="ZL14" s="637"/>
      <c r="ZM14" s="637"/>
      <c r="ZN14" s="637"/>
      <c r="ZO14" s="637"/>
      <c r="ZP14" s="637"/>
      <c r="ZQ14" s="637"/>
      <c r="ZR14" s="637"/>
      <c r="ZS14" s="637"/>
      <c r="ZT14" s="637"/>
      <c r="ZU14" s="637"/>
      <c r="ZV14" s="637"/>
      <c r="ZW14" s="637"/>
      <c r="ZX14" s="637"/>
      <c r="ZY14" s="637"/>
      <c r="ZZ14" s="637"/>
      <c r="AAA14" s="637"/>
      <c r="AAB14" s="637"/>
      <c r="AAC14" s="637"/>
      <c r="AAD14" s="637"/>
      <c r="AAE14" s="637"/>
      <c r="AAF14" s="637"/>
      <c r="AAG14" s="637"/>
      <c r="AAH14" s="637"/>
      <c r="AAI14" s="637"/>
      <c r="AAJ14" s="637"/>
      <c r="AAK14" s="637"/>
      <c r="AAL14" s="637"/>
      <c r="AAM14" s="637"/>
      <c r="AAN14" s="637"/>
      <c r="AAO14" s="637"/>
      <c r="AAP14" s="637"/>
      <c r="AAQ14" s="637"/>
      <c r="AAR14" s="637"/>
      <c r="AAS14" s="637"/>
      <c r="AAT14" s="637"/>
      <c r="AAU14" s="637"/>
      <c r="AAV14" s="637"/>
      <c r="AAW14" s="637"/>
      <c r="AAX14" s="637"/>
      <c r="AAY14" s="637"/>
      <c r="AAZ14" s="637"/>
      <c r="ABA14" s="637"/>
      <c r="ABB14" s="637"/>
      <c r="ABC14" s="637"/>
      <c r="ABD14" s="637"/>
      <c r="ABE14" s="637"/>
      <c r="ABF14" s="637"/>
      <c r="ABG14" s="637"/>
      <c r="ABH14" s="637"/>
      <c r="ABI14" s="637"/>
      <c r="ABJ14" s="637"/>
      <c r="ABK14" s="637"/>
      <c r="ABL14" s="637"/>
      <c r="ABM14" s="637"/>
      <c r="ABN14" s="637"/>
      <c r="ABO14" s="637"/>
      <c r="ABP14" s="637"/>
      <c r="ABQ14" s="637"/>
      <c r="ABR14" s="637"/>
      <c r="ABS14" s="637"/>
      <c r="ABT14" s="637"/>
      <c r="ABU14" s="637"/>
      <c r="ABV14" s="637"/>
      <c r="ABW14" s="637"/>
      <c r="ABX14" s="637"/>
      <c r="ABY14" s="637"/>
      <c r="ABZ14" s="637"/>
      <c r="ACA14" s="637"/>
      <c r="ACB14" s="637"/>
      <c r="ACC14" s="637"/>
      <c r="ACD14" s="637"/>
      <c r="ACE14" s="637"/>
      <c r="ACF14" s="637"/>
      <c r="ACG14" s="637"/>
      <c r="ACH14" s="637"/>
      <c r="ACI14" s="637"/>
      <c r="ACJ14" s="637"/>
      <c r="ACK14" s="637"/>
      <c r="ACL14" s="637"/>
      <c r="ACM14" s="637"/>
      <c r="ACN14" s="637"/>
      <c r="ACO14" s="637"/>
      <c r="ACP14" s="637"/>
      <c r="ACQ14" s="637"/>
      <c r="ACR14" s="637"/>
      <c r="ACS14" s="637"/>
      <c r="ACT14" s="637"/>
      <c r="ACU14" s="637"/>
      <c r="ACV14" s="637"/>
      <c r="ACW14" s="637"/>
      <c r="ACX14" s="637"/>
      <c r="ACY14" s="637"/>
      <c r="ACZ14" s="637"/>
      <c r="ADA14" s="637"/>
      <c r="ADB14" s="637"/>
      <c r="ADC14" s="637"/>
      <c r="ADD14" s="637"/>
      <c r="ADE14" s="637"/>
      <c r="ADF14" s="637"/>
      <c r="ADG14" s="637"/>
      <c r="ADH14" s="637"/>
      <c r="ADI14" s="637"/>
      <c r="ADJ14" s="637"/>
      <c r="ADK14" s="637"/>
      <c r="ADL14" s="637"/>
      <c r="ADM14" s="637"/>
      <c r="ADN14" s="637"/>
      <c r="ADO14" s="637"/>
      <c r="ADP14" s="637"/>
      <c r="ADQ14" s="637"/>
      <c r="ADR14" s="637"/>
      <c r="ADS14" s="637"/>
      <c r="ADT14" s="637"/>
      <c r="ADU14" s="637"/>
      <c r="ADV14" s="637"/>
      <c r="ADW14" s="637"/>
      <c r="ADX14" s="637"/>
      <c r="ADY14" s="637"/>
      <c r="ADZ14" s="637"/>
      <c r="AEA14" s="637"/>
      <c r="AEB14" s="637"/>
      <c r="AEC14" s="637"/>
      <c r="AED14" s="637"/>
      <c r="AEE14" s="637"/>
      <c r="AEF14" s="637"/>
      <c r="AEG14" s="637"/>
      <c r="AEH14" s="637"/>
      <c r="AEI14" s="637"/>
      <c r="AEJ14" s="637"/>
      <c r="AEK14" s="637"/>
      <c r="AEL14" s="637"/>
      <c r="AEM14" s="637"/>
      <c r="AEN14" s="637"/>
      <c r="AEO14" s="637"/>
      <c r="AEP14" s="637"/>
      <c r="AEQ14" s="637"/>
      <c r="AER14" s="637"/>
      <c r="AES14" s="637"/>
      <c r="AET14" s="637"/>
      <c r="AEU14" s="637"/>
      <c r="AEV14" s="637"/>
      <c r="AEW14" s="637"/>
      <c r="AEX14" s="637"/>
      <c r="AEY14" s="637"/>
      <c r="AEZ14" s="637"/>
      <c r="AFA14" s="637"/>
      <c r="AFB14" s="637"/>
      <c r="AFC14" s="637"/>
      <c r="AFD14" s="637"/>
      <c r="AFE14" s="637"/>
      <c r="AFF14" s="637"/>
      <c r="AFG14" s="637"/>
      <c r="AFH14" s="637"/>
      <c r="AFI14" s="637"/>
      <c r="AFJ14" s="637"/>
      <c r="AFK14" s="637"/>
      <c r="AFL14" s="637"/>
      <c r="AFM14" s="637"/>
      <c r="AFN14" s="637"/>
      <c r="AFO14" s="637"/>
      <c r="AFP14" s="637"/>
      <c r="AFQ14" s="637"/>
      <c r="AFR14" s="637"/>
      <c r="AFS14" s="637"/>
      <c r="AFT14" s="637"/>
      <c r="AFU14" s="637"/>
      <c r="AFV14" s="637"/>
      <c r="AFW14" s="637"/>
      <c r="AFX14" s="637"/>
      <c r="AFY14" s="637"/>
      <c r="AFZ14" s="637"/>
      <c r="AGA14" s="637"/>
      <c r="AGB14" s="637"/>
      <c r="AGC14" s="637"/>
      <c r="AGD14" s="637"/>
      <c r="AGE14" s="637"/>
      <c r="AGF14" s="637"/>
      <c r="AGG14" s="637"/>
      <c r="AGH14" s="637"/>
      <c r="AGI14" s="637"/>
      <c r="AGJ14" s="637"/>
      <c r="AGK14" s="637"/>
      <c r="AGL14" s="637"/>
      <c r="AGM14" s="637"/>
      <c r="AGN14" s="637"/>
      <c r="AGO14" s="637"/>
      <c r="AGP14" s="637"/>
      <c r="AGQ14" s="637"/>
      <c r="AGR14" s="637"/>
      <c r="AGS14" s="637"/>
      <c r="AGT14" s="637"/>
      <c r="AGU14" s="637"/>
      <c r="AGV14" s="637"/>
      <c r="AGW14" s="637"/>
      <c r="AGX14" s="637"/>
      <c r="AGY14" s="637"/>
      <c r="AGZ14" s="637"/>
      <c r="AHA14" s="637"/>
      <c r="AHB14" s="637"/>
      <c r="AHC14" s="637"/>
      <c r="AHD14" s="637"/>
      <c r="AHE14" s="637"/>
      <c r="AHF14" s="637"/>
      <c r="AHG14" s="637"/>
      <c r="AHH14" s="637"/>
      <c r="AHI14" s="637"/>
      <c r="AHJ14" s="637"/>
      <c r="AHK14" s="637"/>
      <c r="AHL14" s="637"/>
      <c r="AHM14" s="637"/>
      <c r="AHN14" s="637"/>
      <c r="AHO14" s="637"/>
      <c r="AHP14" s="637"/>
      <c r="AHQ14" s="637"/>
      <c r="AHR14" s="637"/>
      <c r="AHS14" s="637"/>
      <c r="AHT14" s="637"/>
      <c r="AHU14" s="637"/>
      <c r="AHV14" s="637"/>
      <c r="AHW14" s="637"/>
      <c r="AHX14" s="637"/>
      <c r="AHY14" s="637"/>
      <c r="AHZ14" s="637"/>
      <c r="AIA14" s="637"/>
      <c r="AIB14" s="637"/>
      <c r="AIC14" s="637"/>
      <c r="AID14" s="637"/>
      <c r="AIE14" s="637"/>
      <c r="AIF14" s="637"/>
      <c r="AIG14" s="637"/>
      <c r="AIH14" s="637"/>
      <c r="AII14" s="637"/>
      <c r="AIJ14" s="637"/>
      <c r="AIK14" s="637"/>
      <c r="AIL14" s="637"/>
      <c r="AIM14" s="637"/>
      <c r="AIN14" s="637"/>
      <c r="AIO14" s="637"/>
      <c r="AIP14" s="637"/>
      <c r="AIQ14" s="637"/>
      <c r="AIR14" s="637"/>
      <c r="AIS14" s="637"/>
      <c r="AIT14" s="637"/>
      <c r="AIU14" s="637"/>
      <c r="AIV14" s="637"/>
      <c r="AIW14" s="637"/>
      <c r="AIX14" s="637"/>
      <c r="AIY14" s="637"/>
      <c r="AIZ14" s="637"/>
      <c r="AJA14" s="637"/>
      <c r="AJB14" s="637"/>
      <c r="AJC14" s="637"/>
      <c r="AJD14" s="637"/>
      <c r="AJE14" s="637"/>
      <c r="AJF14" s="637"/>
      <c r="AJG14" s="637"/>
      <c r="AJH14" s="637"/>
      <c r="AJI14" s="637"/>
      <c r="AJJ14" s="637"/>
      <c r="AJK14" s="637"/>
      <c r="AJL14" s="637"/>
      <c r="AJM14" s="637"/>
      <c r="AJN14" s="637"/>
      <c r="AJO14" s="637"/>
      <c r="AJP14" s="637"/>
      <c r="AJQ14" s="637"/>
      <c r="AJR14" s="637"/>
      <c r="AJS14" s="637"/>
      <c r="AJT14" s="637"/>
      <c r="AJU14" s="637"/>
      <c r="AJV14" s="637"/>
      <c r="AJW14" s="637"/>
      <c r="AJX14" s="637"/>
      <c r="AJY14" s="637"/>
      <c r="AJZ14" s="637"/>
      <c r="AKA14" s="637"/>
      <c r="AKB14" s="637"/>
      <c r="AKC14" s="637"/>
      <c r="AKD14" s="637"/>
      <c r="AKE14" s="637"/>
      <c r="AKF14" s="637"/>
      <c r="AKG14" s="637"/>
      <c r="AKH14" s="637"/>
      <c r="AKI14" s="637"/>
      <c r="AKJ14" s="637"/>
      <c r="AKK14" s="637"/>
      <c r="AKL14" s="637"/>
      <c r="AKM14" s="637"/>
      <c r="AKN14" s="637"/>
      <c r="AKO14" s="637"/>
      <c r="AKP14" s="637"/>
      <c r="AKQ14" s="637"/>
      <c r="AKR14" s="637"/>
      <c r="AKS14" s="637"/>
      <c r="AKT14" s="637"/>
      <c r="AKU14" s="637"/>
      <c r="AKV14" s="637"/>
      <c r="AKW14" s="637"/>
      <c r="AKX14" s="637"/>
      <c r="AKY14" s="637"/>
      <c r="AKZ14" s="637"/>
      <c r="ALA14" s="637"/>
      <c r="ALB14" s="637"/>
      <c r="ALC14" s="637"/>
      <c r="ALD14" s="637"/>
      <c r="ALE14" s="637"/>
      <c r="ALF14" s="637"/>
      <c r="ALG14" s="637"/>
      <c r="ALH14" s="637"/>
      <c r="ALI14" s="637"/>
      <c r="ALJ14" s="637"/>
      <c r="ALK14" s="637"/>
      <c r="ALL14" s="637"/>
      <c r="ALM14" s="637"/>
      <c r="ALN14" s="637"/>
      <c r="ALO14" s="637"/>
      <c r="ALP14" s="637"/>
      <c r="ALQ14" s="637"/>
      <c r="ALR14" s="637"/>
      <c r="ALS14" s="637"/>
      <c r="ALT14" s="637"/>
      <c r="ALU14" s="637"/>
      <c r="ALV14" s="637"/>
      <c r="ALW14" s="637"/>
      <c r="ALX14" s="637"/>
      <c r="ALY14" s="637"/>
      <c r="ALZ14" s="637"/>
      <c r="AMA14" s="637"/>
      <c r="AMB14" s="637"/>
      <c r="AMC14" s="637"/>
      <c r="AMD14" s="637"/>
      <c r="AME14" s="637"/>
      <c r="AMF14" s="637"/>
      <c r="AMG14" s="637"/>
      <c r="AMH14" s="637"/>
      <c r="AMI14" s="637"/>
      <c r="AMJ14" s="637"/>
    </row>
    <row r="15" spans="1:1024" s="638" customFormat="1" ht="12.75" hidden="1">
      <c r="A15" s="984"/>
      <c r="B15" s="985"/>
      <c r="C15" s="986"/>
      <c r="D15" s="988"/>
      <c r="E15" s="989"/>
      <c r="F15" s="989">
        <f>SUM(G15:R15)</f>
        <v>40569</v>
      </c>
      <c r="G15" s="990">
        <v>31215</v>
      </c>
      <c r="H15" s="990">
        <v>9354</v>
      </c>
      <c r="I15" s="990">
        <v>0</v>
      </c>
      <c r="J15" s="990"/>
      <c r="K15" s="990"/>
      <c r="L15" s="990"/>
      <c r="M15" s="990"/>
      <c r="N15" s="990"/>
      <c r="O15" s="990"/>
      <c r="P15" s="990"/>
      <c r="Q15" s="990"/>
      <c r="R15" s="991"/>
      <c r="S15" s="637"/>
      <c r="T15" s="637"/>
      <c r="U15" s="637"/>
      <c r="V15" s="637"/>
      <c r="W15" s="637"/>
      <c r="X15" s="637"/>
      <c r="Y15" s="637"/>
      <c r="Z15" s="637"/>
      <c r="AA15" s="637"/>
      <c r="AB15" s="637"/>
      <c r="AC15" s="637"/>
      <c r="AD15" s="637"/>
      <c r="AE15" s="637"/>
      <c r="AF15" s="637"/>
      <c r="AG15" s="637"/>
      <c r="AH15" s="637"/>
      <c r="AI15" s="637"/>
      <c r="AJ15" s="637"/>
      <c r="AK15" s="637"/>
      <c r="AL15" s="637"/>
      <c r="AM15" s="637"/>
      <c r="AN15" s="637"/>
      <c r="AO15" s="637"/>
      <c r="AP15" s="637"/>
      <c r="AQ15" s="637"/>
      <c r="AR15" s="637"/>
      <c r="AS15" s="637"/>
      <c r="AT15" s="637"/>
      <c r="AU15" s="637"/>
      <c r="AV15" s="637"/>
      <c r="AW15" s="637"/>
      <c r="AX15" s="637"/>
      <c r="AY15" s="637"/>
      <c r="AZ15" s="637"/>
      <c r="BA15" s="637"/>
      <c r="BB15" s="637"/>
      <c r="BC15" s="637"/>
      <c r="BD15" s="637"/>
      <c r="BE15" s="637"/>
      <c r="BF15" s="637"/>
      <c r="BG15" s="637"/>
      <c r="BH15" s="637"/>
      <c r="BI15" s="637"/>
      <c r="BJ15" s="637"/>
      <c r="BK15" s="637"/>
      <c r="BL15" s="637"/>
      <c r="BM15" s="637"/>
      <c r="BN15" s="637"/>
      <c r="BO15" s="637"/>
      <c r="BP15" s="637"/>
      <c r="BQ15" s="637"/>
      <c r="BR15" s="637"/>
      <c r="BS15" s="637"/>
      <c r="BT15" s="637"/>
      <c r="BU15" s="637"/>
      <c r="BV15" s="637"/>
      <c r="BW15" s="637"/>
      <c r="BX15" s="637"/>
      <c r="BY15" s="637"/>
      <c r="BZ15" s="637"/>
      <c r="CA15" s="637"/>
      <c r="CB15" s="637"/>
      <c r="CC15" s="637"/>
      <c r="CD15" s="637"/>
      <c r="CE15" s="637"/>
      <c r="CF15" s="637"/>
      <c r="CG15" s="637"/>
      <c r="CH15" s="637"/>
      <c r="CI15" s="637"/>
      <c r="CJ15" s="637"/>
      <c r="CK15" s="637"/>
      <c r="CL15" s="637"/>
      <c r="CM15" s="637"/>
      <c r="CN15" s="637"/>
      <c r="CO15" s="637"/>
      <c r="CP15" s="637"/>
      <c r="CQ15" s="637"/>
      <c r="CR15" s="637"/>
      <c r="CS15" s="637"/>
      <c r="CT15" s="637"/>
      <c r="CU15" s="637"/>
      <c r="CV15" s="637"/>
      <c r="CW15" s="637"/>
      <c r="CX15" s="637"/>
      <c r="CY15" s="637"/>
      <c r="CZ15" s="637"/>
      <c r="DA15" s="637"/>
      <c r="DB15" s="637"/>
      <c r="DC15" s="637"/>
      <c r="DD15" s="637"/>
      <c r="DE15" s="637"/>
      <c r="DF15" s="637"/>
      <c r="DG15" s="637"/>
      <c r="DH15" s="637"/>
      <c r="DI15" s="637"/>
      <c r="DJ15" s="637"/>
      <c r="DK15" s="637"/>
      <c r="DL15" s="637"/>
      <c r="DM15" s="637"/>
      <c r="DN15" s="637"/>
      <c r="DO15" s="637"/>
      <c r="DP15" s="637"/>
      <c r="DQ15" s="637"/>
      <c r="DR15" s="637"/>
      <c r="DS15" s="637"/>
      <c r="DT15" s="637"/>
      <c r="DU15" s="637"/>
      <c r="DV15" s="637"/>
      <c r="DW15" s="637"/>
      <c r="DX15" s="637"/>
      <c r="DY15" s="637"/>
      <c r="DZ15" s="637"/>
      <c r="EA15" s="637"/>
      <c r="EB15" s="637"/>
      <c r="EC15" s="637"/>
      <c r="ED15" s="637"/>
      <c r="EE15" s="637"/>
      <c r="EF15" s="637"/>
      <c r="EG15" s="637"/>
      <c r="EH15" s="637"/>
      <c r="EI15" s="637"/>
      <c r="EJ15" s="637"/>
      <c r="EK15" s="637"/>
      <c r="EL15" s="637"/>
      <c r="EM15" s="637"/>
      <c r="EN15" s="637"/>
      <c r="EO15" s="637"/>
      <c r="EP15" s="637"/>
      <c r="EQ15" s="637"/>
      <c r="ER15" s="637"/>
      <c r="ES15" s="637"/>
      <c r="ET15" s="637"/>
      <c r="EU15" s="637"/>
      <c r="EV15" s="637"/>
      <c r="EW15" s="637"/>
      <c r="EX15" s="637"/>
      <c r="EY15" s="637"/>
      <c r="EZ15" s="637"/>
      <c r="FA15" s="637"/>
      <c r="FB15" s="637"/>
      <c r="FC15" s="637"/>
      <c r="FD15" s="637"/>
      <c r="FE15" s="637"/>
      <c r="FF15" s="637"/>
      <c r="FG15" s="637"/>
      <c r="FH15" s="637"/>
      <c r="FI15" s="637"/>
      <c r="FJ15" s="637"/>
      <c r="FK15" s="637"/>
      <c r="FL15" s="637"/>
      <c r="FM15" s="637"/>
      <c r="FN15" s="637"/>
      <c r="FO15" s="637"/>
      <c r="FP15" s="637"/>
      <c r="FQ15" s="637"/>
      <c r="FR15" s="637"/>
      <c r="FS15" s="637"/>
      <c r="FT15" s="637"/>
      <c r="FU15" s="637"/>
      <c r="FV15" s="637"/>
      <c r="FW15" s="637"/>
      <c r="FX15" s="637"/>
      <c r="FY15" s="637"/>
      <c r="FZ15" s="637"/>
      <c r="GA15" s="637"/>
      <c r="GB15" s="637"/>
      <c r="GC15" s="637"/>
      <c r="GD15" s="637"/>
      <c r="GE15" s="637"/>
      <c r="GF15" s="637"/>
      <c r="GG15" s="637"/>
      <c r="GH15" s="637"/>
      <c r="GI15" s="637"/>
      <c r="GJ15" s="637"/>
      <c r="GK15" s="637"/>
      <c r="GL15" s="637"/>
      <c r="GM15" s="637"/>
      <c r="GN15" s="637"/>
      <c r="GO15" s="637"/>
      <c r="GP15" s="637"/>
      <c r="GQ15" s="637"/>
      <c r="GR15" s="637"/>
      <c r="GS15" s="637"/>
      <c r="GT15" s="637"/>
      <c r="GU15" s="637"/>
      <c r="GV15" s="637"/>
      <c r="GW15" s="637"/>
      <c r="GX15" s="637"/>
      <c r="GY15" s="637"/>
      <c r="GZ15" s="637"/>
      <c r="HA15" s="637"/>
      <c r="HB15" s="637"/>
      <c r="HC15" s="637"/>
      <c r="HD15" s="637"/>
      <c r="HE15" s="637"/>
      <c r="HF15" s="637"/>
      <c r="HG15" s="637"/>
      <c r="HH15" s="637"/>
      <c r="HI15" s="637"/>
      <c r="HJ15" s="637"/>
      <c r="HK15" s="637"/>
      <c r="HL15" s="637"/>
      <c r="HM15" s="637"/>
      <c r="HN15" s="637"/>
      <c r="HO15" s="637"/>
      <c r="HP15" s="637"/>
      <c r="HQ15" s="637"/>
      <c r="HR15" s="637"/>
      <c r="HS15" s="637"/>
      <c r="HT15" s="637"/>
      <c r="HU15" s="637"/>
      <c r="HV15" s="637"/>
      <c r="HW15" s="637"/>
      <c r="HX15" s="637"/>
      <c r="HY15" s="637"/>
      <c r="HZ15" s="637"/>
      <c r="IA15" s="637"/>
      <c r="IB15" s="637"/>
      <c r="IC15" s="637"/>
      <c r="ID15" s="637"/>
      <c r="IE15" s="637"/>
      <c r="IF15" s="637"/>
      <c r="IG15" s="637"/>
      <c r="IH15" s="637"/>
      <c r="II15" s="637"/>
      <c r="IJ15" s="637"/>
      <c r="IK15" s="637"/>
      <c r="IL15" s="637"/>
      <c r="IM15" s="637"/>
      <c r="IN15" s="637"/>
      <c r="IO15" s="637"/>
      <c r="IP15" s="637"/>
      <c r="IQ15" s="637"/>
      <c r="IR15" s="637"/>
      <c r="IS15" s="637"/>
      <c r="IT15" s="637"/>
      <c r="IU15" s="637"/>
      <c r="IV15" s="637"/>
      <c r="IW15" s="637"/>
      <c r="IX15" s="637"/>
      <c r="IY15" s="637"/>
      <c r="IZ15" s="637"/>
      <c r="JA15" s="637"/>
      <c r="JB15" s="637"/>
      <c r="JC15" s="637"/>
      <c r="JD15" s="637"/>
      <c r="JE15" s="637"/>
      <c r="JF15" s="637"/>
      <c r="JG15" s="637"/>
      <c r="JH15" s="637"/>
      <c r="JI15" s="637"/>
      <c r="JJ15" s="637"/>
      <c r="JK15" s="637"/>
      <c r="JL15" s="637"/>
      <c r="JM15" s="637"/>
      <c r="JN15" s="637"/>
      <c r="JO15" s="637"/>
      <c r="JP15" s="637"/>
      <c r="JQ15" s="637"/>
      <c r="JR15" s="637"/>
      <c r="JS15" s="637"/>
      <c r="JT15" s="637"/>
      <c r="JU15" s="637"/>
      <c r="JV15" s="637"/>
      <c r="JW15" s="637"/>
      <c r="JX15" s="637"/>
      <c r="JY15" s="637"/>
      <c r="JZ15" s="637"/>
      <c r="KA15" s="637"/>
      <c r="KB15" s="637"/>
      <c r="KC15" s="637"/>
      <c r="KD15" s="637"/>
      <c r="KE15" s="637"/>
      <c r="KF15" s="637"/>
      <c r="KG15" s="637"/>
      <c r="KH15" s="637"/>
      <c r="KI15" s="637"/>
      <c r="KJ15" s="637"/>
      <c r="KK15" s="637"/>
      <c r="KL15" s="637"/>
      <c r="KM15" s="637"/>
      <c r="KN15" s="637"/>
      <c r="KO15" s="637"/>
      <c r="KP15" s="637"/>
      <c r="KQ15" s="637"/>
      <c r="KR15" s="637"/>
      <c r="KS15" s="637"/>
      <c r="KT15" s="637"/>
      <c r="KU15" s="637"/>
      <c r="KV15" s="637"/>
      <c r="KW15" s="637"/>
      <c r="KX15" s="637"/>
      <c r="KY15" s="637"/>
      <c r="KZ15" s="637"/>
      <c r="LA15" s="637"/>
      <c r="LB15" s="637"/>
      <c r="LC15" s="637"/>
      <c r="LD15" s="637"/>
      <c r="LE15" s="637"/>
      <c r="LF15" s="637"/>
      <c r="LG15" s="637"/>
      <c r="LH15" s="637"/>
      <c r="LI15" s="637"/>
      <c r="LJ15" s="637"/>
      <c r="LK15" s="637"/>
      <c r="LL15" s="637"/>
      <c r="LM15" s="637"/>
      <c r="LN15" s="637"/>
      <c r="LO15" s="637"/>
      <c r="LP15" s="637"/>
      <c r="LQ15" s="637"/>
      <c r="LR15" s="637"/>
      <c r="LS15" s="637"/>
      <c r="LT15" s="637"/>
      <c r="LU15" s="637"/>
      <c r="LV15" s="637"/>
      <c r="LW15" s="637"/>
      <c r="LX15" s="637"/>
      <c r="LY15" s="637"/>
      <c r="LZ15" s="637"/>
      <c r="MA15" s="637"/>
      <c r="MB15" s="637"/>
      <c r="MC15" s="637"/>
      <c r="MD15" s="637"/>
      <c r="ME15" s="637"/>
      <c r="MF15" s="637"/>
      <c r="MG15" s="637"/>
      <c r="MH15" s="637"/>
      <c r="MI15" s="637"/>
      <c r="MJ15" s="637"/>
      <c r="MK15" s="637"/>
      <c r="ML15" s="637"/>
      <c r="MM15" s="637"/>
      <c r="MN15" s="637"/>
      <c r="MO15" s="637"/>
      <c r="MP15" s="637"/>
      <c r="MQ15" s="637"/>
      <c r="MR15" s="637"/>
      <c r="MS15" s="637"/>
      <c r="MT15" s="637"/>
      <c r="MU15" s="637"/>
      <c r="MV15" s="637"/>
      <c r="MW15" s="637"/>
      <c r="MX15" s="637"/>
      <c r="MY15" s="637"/>
      <c r="MZ15" s="637"/>
      <c r="NA15" s="637"/>
      <c r="NB15" s="637"/>
      <c r="NC15" s="637"/>
      <c r="ND15" s="637"/>
      <c r="NE15" s="637"/>
      <c r="NF15" s="637"/>
      <c r="NG15" s="637"/>
      <c r="NH15" s="637"/>
      <c r="NI15" s="637"/>
      <c r="NJ15" s="637"/>
      <c r="NK15" s="637"/>
      <c r="NL15" s="637"/>
      <c r="NM15" s="637"/>
      <c r="NN15" s="637"/>
      <c r="NO15" s="637"/>
      <c r="NP15" s="637"/>
      <c r="NQ15" s="637"/>
      <c r="NR15" s="637"/>
      <c r="NS15" s="637"/>
      <c r="NT15" s="637"/>
      <c r="NU15" s="637"/>
      <c r="NV15" s="637"/>
      <c r="NW15" s="637"/>
      <c r="NX15" s="637"/>
      <c r="NY15" s="637"/>
      <c r="NZ15" s="637"/>
      <c r="OA15" s="637"/>
      <c r="OB15" s="637"/>
      <c r="OC15" s="637"/>
      <c r="OD15" s="637"/>
      <c r="OE15" s="637"/>
      <c r="OF15" s="637"/>
      <c r="OG15" s="637"/>
      <c r="OH15" s="637"/>
      <c r="OI15" s="637"/>
      <c r="OJ15" s="637"/>
      <c r="OK15" s="637"/>
      <c r="OL15" s="637"/>
      <c r="OM15" s="637"/>
      <c r="ON15" s="637"/>
      <c r="OO15" s="637"/>
      <c r="OP15" s="637"/>
      <c r="OQ15" s="637"/>
      <c r="OR15" s="637"/>
      <c r="OS15" s="637"/>
      <c r="OT15" s="637"/>
      <c r="OU15" s="637"/>
      <c r="OV15" s="637"/>
      <c r="OW15" s="637"/>
      <c r="OX15" s="637"/>
      <c r="OY15" s="637"/>
      <c r="OZ15" s="637"/>
      <c r="PA15" s="637"/>
      <c r="PB15" s="637"/>
      <c r="PC15" s="637"/>
      <c r="PD15" s="637"/>
      <c r="PE15" s="637"/>
      <c r="PF15" s="637"/>
      <c r="PG15" s="637"/>
      <c r="PH15" s="637"/>
      <c r="PI15" s="637"/>
      <c r="PJ15" s="637"/>
      <c r="PK15" s="637"/>
      <c r="PL15" s="637"/>
      <c r="PM15" s="637"/>
      <c r="PN15" s="637"/>
      <c r="PO15" s="637"/>
      <c r="PP15" s="637"/>
      <c r="PQ15" s="637"/>
      <c r="PR15" s="637"/>
      <c r="PS15" s="637"/>
      <c r="PT15" s="637"/>
      <c r="PU15" s="637"/>
      <c r="PV15" s="637"/>
      <c r="PW15" s="637"/>
      <c r="PX15" s="637"/>
      <c r="PY15" s="637"/>
      <c r="PZ15" s="637"/>
      <c r="QA15" s="637"/>
      <c r="QB15" s="637"/>
      <c r="QC15" s="637"/>
      <c r="QD15" s="637"/>
      <c r="QE15" s="637"/>
      <c r="QF15" s="637"/>
      <c r="QG15" s="637"/>
      <c r="QH15" s="637"/>
      <c r="QI15" s="637"/>
      <c r="QJ15" s="637"/>
      <c r="QK15" s="637"/>
      <c r="QL15" s="637"/>
      <c r="QM15" s="637"/>
      <c r="QN15" s="637"/>
      <c r="QO15" s="637"/>
      <c r="QP15" s="637"/>
      <c r="QQ15" s="637"/>
      <c r="QR15" s="637"/>
      <c r="QS15" s="637"/>
      <c r="QT15" s="637"/>
      <c r="QU15" s="637"/>
      <c r="QV15" s="637"/>
      <c r="QW15" s="637"/>
      <c r="QX15" s="637"/>
      <c r="QY15" s="637"/>
      <c r="QZ15" s="637"/>
      <c r="RA15" s="637"/>
      <c r="RB15" s="637"/>
      <c r="RC15" s="637"/>
      <c r="RD15" s="637"/>
      <c r="RE15" s="637"/>
      <c r="RF15" s="637"/>
      <c r="RG15" s="637"/>
      <c r="RH15" s="637"/>
      <c r="RI15" s="637"/>
      <c r="RJ15" s="637"/>
      <c r="RK15" s="637"/>
      <c r="RL15" s="637"/>
      <c r="RM15" s="637"/>
      <c r="RN15" s="637"/>
      <c r="RO15" s="637"/>
      <c r="RP15" s="637"/>
      <c r="RQ15" s="637"/>
      <c r="RR15" s="637"/>
      <c r="RS15" s="637"/>
      <c r="RT15" s="637"/>
      <c r="RU15" s="637"/>
      <c r="RV15" s="637"/>
      <c r="RW15" s="637"/>
      <c r="RX15" s="637"/>
      <c r="RY15" s="637"/>
      <c r="RZ15" s="637"/>
      <c r="SA15" s="637"/>
      <c r="SB15" s="637"/>
      <c r="SC15" s="637"/>
      <c r="SD15" s="637"/>
      <c r="SE15" s="637"/>
      <c r="SF15" s="637"/>
      <c r="SG15" s="637"/>
      <c r="SH15" s="637"/>
      <c r="SI15" s="637"/>
      <c r="SJ15" s="637"/>
      <c r="SK15" s="637"/>
      <c r="SL15" s="637"/>
      <c r="SM15" s="637"/>
      <c r="SN15" s="637"/>
      <c r="SO15" s="637"/>
      <c r="SP15" s="637"/>
      <c r="SQ15" s="637"/>
      <c r="SR15" s="637"/>
      <c r="SS15" s="637"/>
      <c r="ST15" s="637"/>
      <c r="SU15" s="637"/>
      <c r="SV15" s="637"/>
      <c r="SW15" s="637"/>
      <c r="SX15" s="637"/>
      <c r="SY15" s="637"/>
      <c r="SZ15" s="637"/>
      <c r="TA15" s="637"/>
      <c r="TB15" s="637"/>
      <c r="TC15" s="637"/>
      <c r="TD15" s="637"/>
      <c r="TE15" s="637"/>
      <c r="TF15" s="637"/>
      <c r="TG15" s="637"/>
      <c r="TH15" s="637"/>
      <c r="TI15" s="637"/>
      <c r="TJ15" s="637"/>
      <c r="TK15" s="637"/>
      <c r="TL15" s="637"/>
      <c r="TM15" s="637"/>
      <c r="TN15" s="637"/>
      <c r="TO15" s="637"/>
      <c r="TP15" s="637"/>
      <c r="TQ15" s="637"/>
      <c r="TR15" s="637"/>
      <c r="TS15" s="637"/>
      <c r="TT15" s="637"/>
      <c r="TU15" s="637"/>
      <c r="TV15" s="637"/>
      <c r="TW15" s="637"/>
      <c r="TX15" s="637"/>
      <c r="TY15" s="637"/>
      <c r="TZ15" s="637"/>
      <c r="UA15" s="637"/>
      <c r="UB15" s="637"/>
      <c r="UC15" s="637"/>
      <c r="UD15" s="637"/>
      <c r="UE15" s="637"/>
      <c r="UF15" s="637"/>
      <c r="UG15" s="637"/>
      <c r="UH15" s="637"/>
      <c r="UI15" s="637"/>
      <c r="UJ15" s="637"/>
      <c r="UK15" s="637"/>
      <c r="UL15" s="637"/>
      <c r="UM15" s="637"/>
      <c r="UN15" s="637"/>
      <c r="UO15" s="637"/>
      <c r="UP15" s="637"/>
      <c r="UQ15" s="637"/>
      <c r="UR15" s="637"/>
      <c r="US15" s="637"/>
      <c r="UT15" s="637"/>
      <c r="UU15" s="637"/>
      <c r="UV15" s="637"/>
      <c r="UW15" s="637"/>
      <c r="UX15" s="637"/>
      <c r="UY15" s="637"/>
      <c r="UZ15" s="637"/>
      <c r="VA15" s="637"/>
      <c r="VB15" s="637"/>
      <c r="VC15" s="637"/>
      <c r="VD15" s="637"/>
      <c r="VE15" s="637"/>
      <c r="VF15" s="637"/>
      <c r="VG15" s="637"/>
      <c r="VH15" s="637"/>
      <c r="VI15" s="637"/>
      <c r="VJ15" s="637"/>
      <c r="VK15" s="637"/>
      <c r="VL15" s="637"/>
      <c r="VM15" s="637"/>
      <c r="VN15" s="637"/>
      <c r="VO15" s="637"/>
      <c r="VP15" s="637"/>
      <c r="VQ15" s="637"/>
      <c r="VR15" s="637"/>
      <c r="VS15" s="637"/>
      <c r="VT15" s="637"/>
      <c r="VU15" s="637"/>
      <c r="VV15" s="637"/>
      <c r="VW15" s="637"/>
      <c r="VX15" s="637"/>
      <c r="VY15" s="637"/>
      <c r="VZ15" s="637"/>
      <c r="WA15" s="637"/>
      <c r="WB15" s="637"/>
      <c r="WC15" s="637"/>
      <c r="WD15" s="637"/>
      <c r="WE15" s="637"/>
      <c r="WF15" s="637"/>
      <c r="WG15" s="637"/>
      <c r="WH15" s="637"/>
      <c r="WI15" s="637"/>
      <c r="WJ15" s="637"/>
      <c r="WK15" s="637"/>
      <c r="WL15" s="637"/>
      <c r="WM15" s="637"/>
      <c r="WN15" s="637"/>
      <c r="WO15" s="637"/>
      <c r="WP15" s="637"/>
      <c r="WQ15" s="637"/>
      <c r="WR15" s="637"/>
      <c r="WS15" s="637"/>
      <c r="WT15" s="637"/>
      <c r="WU15" s="637"/>
      <c r="WV15" s="637"/>
      <c r="WW15" s="637"/>
      <c r="WX15" s="637"/>
      <c r="WY15" s="637"/>
      <c r="WZ15" s="637"/>
      <c r="XA15" s="637"/>
      <c r="XB15" s="637"/>
      <c r="XC15" s="637"/>
      <c r="XD15" s="637"/>
      <c r="XE15" s="637"/>
      <c r="XF15" s="637"/>
      <c r="XG15" s="637"/>
      <c r="XH15" s="637"/>
      <c r="XI15" s="637"/>
      <c r="XJ15" s="637"/>
      <c r="XK15" s="637"/>
      <c r="XL15" s="637"/>
      <c r="XM15" s="637"/>
      <c r="XN15" s="637"/>
      <c r="XO15" s="637"/>
      <c r="XP15" s="637"/>
      <c r="XQ15" s="637"/>
      <c r="XR15" s="637"/>
      <c r="XS15" s="637"/>
      <c r="XT15" s="637"/>
      <c r="XU15" s="637"/>
      <c r="XV15" s="637"/>
      <c r="XW15" s="637"/>
      <c r="XX15" s="637"/>
      <c r="XY15" s="637"/>
      <c r="XZ15" s="637"/>
      <c r="YA15" s="637"/>
      <c r="YB15" s="637"/>
      <c r="YC15" s="637"/>
      <c r="YD15" s="637"/>
      <c r="YE15" s="637"/>
      <c r="YF15" s="637"/>
      <c r="YG15" s="637"/>
      <c r="YH15" s="637"/>
      <c r="YI15" s="637"/>
      <c r="YJ15" s="637"/>
      <c r="YK15" s="637"/>
      <c r="YL15" s="637"/>
      <c r="YM15" s="637"/>
      <c r="YN15" s="637"/>
      <c r="YO15" s="637"/>
      <c r="YP15" s="637"/>
      <c r="YQ15" s="637"/>
      <c r="YR15" s="637"/>
      <c r="YS15" s="637"/>
      <c r="YT15" s="637"/>
      <c r="YU15" s="637"/>
      <c r="YV15" s="637"/>
      <c r="YW15" s="637"/>
      <c r="YX15" s="637"/>
      <c r="YY15" s="637"/>
      <c r="YZ15" s="637"/>
      <c r="ZA15" s="637"/>
      <c r="ZB15" s="637"/>
      <c r="ZC15" s="637"/>
      <c r="ZD15" s="637"/>
      <c r="ZE15" s="637"/>
      <c r="ZF15" s="637"/>
      <c r="ZG15" s="637"/>
      <c r="ZH15" s="637"/>
      <c r="ZI15" s="637"/>
      <c r="ZJ15" s="637"/>
      <c r="ZK15" s="637"/>
      <c r="ZL15" s="637"/>
      <c r="ZM15" s="637"/>
      <c r="ZN15" s="637"/>
      <c r="ZO15" s="637"/>
      <c r="ZP15" s="637"/>
      <c r="ZQ15" s="637"/>
      <c r="ZR15" s="637"/>
      <c r="ZS15" s="637"/>
      <c r="ZT15" s="637"/>
      <c r="ZU15" s="637"/>
      <c r="ZV15" s="637"/>
      <c r="ZW15" s="637"/>
      <c r="ZX15" s="637"/>
      <c r="ZY15" s="637"/>
      <c r="ZZ15" s="637"/>
      <c r="AAA15" s="637"/>
      <c r="AAB15" s="637"/>
      <c r="AAC15" s="637"/>
      <c r="AAD15" s="637"/>
      <c r="AAE15" s="637"/>
      <c r="AAF15" s="637"/>
      <c r="AAG15" s="637"/>
      <c r="AAH15" s="637"/>
      <c r="AAI15" s="637"/>
      <c r="AAJ15" s="637"/>
      <c r="AAK15" s="637"/>
      <c r="AAL15" s="637"/>
      <c r="AAM15" s="637"/>
      <c r="AAN15" s="637"/>
      <c r="AAO15" s="637"/>
      <c r="AAP15" s="637"/>
      <c r="AAQ15" s="637"/>
      <c r="AAR15" s="637"/>
      <c r="AAS15" s="637"/>
      <c r="AAT15" s="637"/>
      <c r="AAU15" s="637"/>
      <c r="AAV15" s="637"/>
      <c r="AAW15" s="637"/>
      <c r="AAX15" s="637"/>
      <c r="AAY15" s="637"/>
      <c r="AAZ15" s="637"/>
      <c r="ABA15" s="637"/>
      <c r="ABB15" s="637"/>
      <c r="ABC15" s="637"/>
      <c r="ABD15" s="637"/>
      <c r="ABE15" s="637"/>
      <c r="ABF15" s="637"/>
      <c r="ABG15" s="637"/>
      <c r="ABH15" s="637"/>
      <c r="ABI15" s="637"/>
      <c r="ABJ15" s="637"/>
      <c r="ABK15" s="637"/>
      <c r="ABL15" s="637"/>
      <c r="ABM15" s="637"/>
      <c r="ABN15" s="637"/>
      <c r="ABO15" s="637"/>
      <c r="ABP15" s="637"/>
      <c r="ABQ15" s="637"/>
      <c r="ABR15" s="637"/>
      <c r="ABS15" s="637"/>
      <c r="ABT15" s="637"/>
      <c r="ABU15" s="637"/>
      <c r="ABV15" s="637"/>
      <c r="ABW15" s="637"/>
      <c r="ABX15" s="637"/>
      <c r="ABY15" s="637"/>
      <c r="ABZ15" s="637"/>
      <c r="ACA15" s="637"/>
      <c r="ACB15" s="637"/>
      <c r="ACC15" s="637"/>
      <c r="ACD15" s="637"/>
      <c r="ACE15" s="637"/>
      <c r="ACF15" s="637"/>
      <c r="ACG15" s="637"/>
      <c r="ACH15" s="637"/>
      <c r="ACI15" s="637"/>
      <c r="ACJ15" s="637"/>
      <c r="ACK15" s="637"/>
      <c r="ACL15" s="637"/>
      <c r="ACM15" s="637"/>
      <c r="ACN15" s="637"/>
      <c r="ACO15" s="637"/>
      <c r="ACP15" s="637"/>
      <c r="ACQ15" s="637"/>
      <c r="ACR15" s="637"/>
      <c r="ACS15" s="637"/>
      <c r="ACT15" s="637"/>
      <c r="ACU15" s="637"/>
      <c r="ACV15" s="637"/>
      <c r="ACW15" s="637"/>
      <c r="ACX15" s="637"/>
      <c r="ACY15" s="637"/>
      <c r="ACZ15" s="637"/>
      <c r="ADA15" s="637"/>
      <c r="ADB15" s="637"/>
      <c r="ADC15" s="637"/>
      <c r="ADD15" s="637"/>
      <c r="ADE15" s="637"/>
      <c r="ADF15" s="637"/>
      <c r="ADG15" s="637"/>
      <c r="ADH15" s="637"/>
      <c r="ADI15" s="637"/>
      <c r="ADJ15" s="637"/>
      <c r="ADK15" s="637"/>
      <c r="ADL15" s="637"/>
      <c r="ADM15" s="637"/>
      <c r="ADN15" s="637"/>
      <c r="ADO15" s="637"/>
      <c r="ADP15" s="637"/>
      <c r="ADQ15" s="637"/>
      <c r="ADR15" s="637"/>
      <c r="ADS15" s="637"/>
      <c r="ADT15" s="637"/>
      <c r="ADU15" s="637"/>
      <c r="ADV15" s="637"/>
      <c r="ADW15" s="637"/>
      <c r="ADX15" s="637"/>
      <c r="ADY15" s="637"/>
      <c r="ADZ15" s="637"/>
      <c r="AEA15" s="637"/>
      <c r="AEB15" s="637"/>
      <c r="AEC15" s="637"/>
      <c r="AED15" s="637"/>
      <c r="AEE15" s="637"/>
      <c r="AEF15" s="637"/>
      <c r="AEG15" s="637"/>
      <c r="AEH15" s="637"/>
      <c r="AEI15" s="637"/>
      <c r="AEJ15" s="637"/>
      <c r="AEK15" s="637"/>
      <c r="AEL15" s="637"/>
      <c r="AEM15" s="637"/>
      <c r="AEN15" s="637"/>
      <c r="AEO15" s="637"/>
      <c r="AEP15" s="637"/>
      <c r="AEQ15" s="637"/>
      <c r="AER15" s="637"/>
      <c r="AES15" s="637"/>
      <c r="AET15" s="637"/>
      <c r="AEU15" s="637"/>
      <c r="AEV15" s="637"/>
      <c r="AEW15" s="637"/>
      <c r="AEX15" s="637"/>
      <c r="AEY15" s="637"/>
      <c r="AEZ15" s="637"/>
      <c r="AFA15" s="637"/>
      <c r="AFB15" s="637"/>
      <c r="AFC15" s="637"/>
      <c r="AFD15" s="637"/>
      <c r="AFE15" s="637"/>
      <c r="AFF15" s="637"/>
      <c r="AFG15" s="637"/>
      <c r="AFH15" s="637"/>
      <c r="AFI15" s="637"/>
      <c r="AFJ15" s="637"/>
      <c r="AFK15" s="637"/>
      <c r="AFL15" s="637"/>
      <c r="AFM15" s="637"/>
      <c r="AFN15" s="637"/>
      <c r="AFO15" s="637"/>
      <c r="AFP15" s="637"/>
      <c r="AFQ15" s="637"/>
      <c r="AFR15" s="637"/>
      <c r="AFS15" s="637"/>
      <c r="AFT15" s="637"/>
      <c r="AFU15" s="637"/>
      <c r="AFV15" s="637"/>
      <c r="AFW15" s="637"/>
      <c r="AFX15" s="637"/>
      <c r="AFY15" s="637"/>
      <c r="AFZ15" s="637"/>
      <c r="AGA15" s="637"/>
      <c r="AGB15" s="637"/>
      <c r="AGC15" s="637"/>
      <c r="AGD15" s="637"/>
      <c r="AGE15" s="637"/>
      <c r="AGF15" s="637"/>
      <c r="AGG15" s="637"/>
      <c r="AGH15" s="637"/>
      <c r="AGI15" s="637"/>
      <c r="AGJ15" s="637"/>
      <c r="AGK15" s="637"/>
      <c r="AGL15" s="637"/>
      <c r="AGM15" s="637"/>
      <c r="AGN15" s="637"/>
      <c r="AGO15" s="637"/>
      <c r="AGP15" s="637"/>
      <c r="AGQ15" s="637"/>
      <c r="AGR15" s="637"/>
      <c r="AGS15" s="637"/>
      <c r="AGT15" s="637"/>
      <c r="AGU15" s="637"/>
      <c r="AGV15" s="637"/>
      <c r="AGW15" s="637"/>
      <c r="AGX15" s="637"/>
      <c r="AGY15" s="637"/>
      <c r="AGZ15" s="637"/>
      <c r="AHA15" s="637"/>
      <c r="AHB15" s="637"/>
      <c r="AHC15" s="637"/>
      <c r="AHD15" s="637"/>
      <c r="AHE15" s="637"/>
      <c r="AHF15" s="637"/>
      <c r="AHG15" s="637"/>
      <c r="AHH15" s="637"/>
      <c r="AHI15" s="637"/>
      <c r="AHJ15" s="637"/>
      <c r="AHK15" s="637"/>
      <c r="AHL15" s="637"/>
      <c r="AHM15" s="637"/>
      <c r="AHN15" s="637"/>
      <c r="AHO15" s="637"/>
      <c r="AHP15" s="637"/>
      <c r="AHQ15" s="637"/>
      <c r="AHR15" s="637"/>
      <c r="AHS15" s="637"/>
      <c r="AHT15" s="637"/>
      <c r="AHU15" s="637"/>
      <c r="AHV15" s="637"/>
      <c r="AHW15" s="637"/>
      <c r="AHX15" s="637"/>
      <c r="AHY15" s="637"/>
      <c r="AHZ15" s="637"/>
      <c r="AIA15" s="637"/>
      <c r="AIB15" s="637"/>
      <c r="AIC15" s="637"/>
      <c r="AID15" s="637"/>
      <c r="AIE15" s="637"/>
      <c r="AIF15" s="637"/>
      <c r="AIG15" s="637"/>
      <c r="AIH15" s="637"/>
      <c r="AII15" s="637"/>
      <c r="AIJ15" s="637"/>
      <c r="AIK15" s="637"/>
      <c r="AIL15" s="637"/>
      <c r="AIM15" s="637"/>
      <c r="AIN15" s="637"/>
      <c r="AIO15" s="637"/>
      <c r="AIP15" s="637"/>
      <c r="AIQ15" s="637"/>
      <c r="AIR15" s="637"/>
      <c r="AIS15" s="637"/>
      <c r="AIT15" s="637"/>
      <c r="AIU15" s="637"/>
      <c r="AIV15" s="637"/>
      <c r="AIW15" s="637"/>
      <c r="AIX15" s="637"/>
      <c r="AIY15" s="637"/>
      <c r="AIZ15" s="637"/>
      <c r="AJA15" s="637"/>
      <c r="AJB15" s="637"/>
      <c r="AJC15" s="637"/>
      <c r="AJD15" s="637"/>
      <c r="AJE15" s="637"/>
      <c r="AJF15" s="637"/>
      <c r="AJG15" s="637"/>
      <c r="AJH15" s="637"/>
      <c r="AJI15" s="637"/>
      <c r="AJJ15" s="637"/>
      <c r="AJK15" s="637"/>
      <c r="AJL15" s="637"/>
      <c r="AJM15" s="637"/>
      <c r="AJN15" s="637"/>
      <c r="AJO15" s="637"/>
      <c r="AJP15" s="637"/>
      <c r="AJQ15" s="637"/>
      <c r="AJR15" s="637"/>
      <c r="AJS15" s="637"/>
      <c r="AJT15" s="637"/>
      <c r="AJU15" s="637"/>
      <c r="AJV15" s="637"/>
      <c r="AJW15" s="637"/>
      <c r="AJX15" s="637"/>
      <c r="AJY15" s="637"/>
      <c r="AJZ15" s="637"/>
      <c r="AKA15" s="637"/>
      <c r="AKB15" s="637"/>
      <c r="AKC15" s="637"/>
      <c r="AKD15" s="637"/>
      <c r="AKE15" s="637"/>
      <c r="AKF15" s="637"/>
      <c r="AKG15" s="637"/>
      <c r="AKH15" s="637"/>
      <c r="AKI15" s="637"/>
      <c r="AKJ15" s="637"/>
      <c r="AKK15" s="637"/>
      <c r="AKL15" s="637"/>
      <c r="AKM15" s="637"/>
      <c r="AKN15" s="637"/>
      <c r="AKO15" s="637"/>
      <c r="AKP15" s="637"/>
      <c r="AKQ15" s="637"/>
      <c r="AKR15" s="637"/>
      <c r="AKS15" s="637"/>
      <c r="AKT15" s="637"/>
      <c r="AKU15" s="637"/>
      <c r="AKV15" s="637"/>
      <c r="AKW15" s="637"/>
      <c r="AKX15" s="637"/>
      <c r="AKY15" s="637"/>
      <c r="AKZ15" s="637"/>
      <c r="ALA15" s="637"/>
      <c r="ALB15" s="637"/>
      <c r="ALC15" s="637"/>
      <c r="ALD15" s="637"/>
      <c r="ALE15" s="637"/>
      <c r="ALF15" s="637"/>
      <c r="ALG15" s="637"/>
      <c r="ALH15" s="637"/>
      <c r="ALI15" s="637"/>
      <c r="ALJ15" s="637"/>
      <c r="ALK15" s="637"/>
      <c r="ALL15" s="637"/>
      <c r="ALM15" s="637"/>
      <c r="ALN15" s="637"/>
      <c r="ALO15" s="637"/>
      <c r="ALP15" s="637"/>
      <c r="ALQ15" s="637"/>
      <c r="ALR15" s="637"/>
      <c r="ALS15" s="637"/>
      <c r="ALT15" s="637"/>
      <c r="ALU15" s="637"/>
      <c r="ALV15" s="637"/>
      <c r="ALW15" s="637"/>
      <c r="ALX15" s="637"/>
      <c r="ALY15" s="637"/>
      <c r="ALZ15" s="637"/>
      <c r="AMA15" s="637"/>
      <c r="AMB15" s="637"/>
      <c r="AMC15" s="637"/>
      <c r="AMD15" s="637"/>
      <c r="AME15" s="637"/>
      <c r="AMF15" s="637"/>
      <c r="AMG15" s="637"/>
      <c r="AMH15" s="637"/>
      <c r="AMI15" s="637"/>
      <c r="AMJ15" s="637"/>
    </row>
    <row r="16" spans="1:1024" s="638" customFormat="1" ht="12.75">
      <c r="A16" s="984" t="s">
        <v>121</v>
      </c>
      <c r="B16" s="985" t="s">
        <v>1013</v>
      </c>
      <c r="C16" s="986" t="s">
        <v>1014</v>
      </c>
      <c r="D16" s="981" t="s">
        <v>4</v>
      </c>
      <c r="E16" s="982"/>
      <c r="F16" s="982"/>
      <c r="G16" s="987"/>
      <c r="H16" s="987"/>
      <c r="I16" s="987"/>
      <c r="J16" s="987"/>
      <c r="K16" s="987"/>
      <c r="L16" s="987"/>
      <c r="M16" s="987"/>
      <c r="N16" s="987"/>
      <c r="O16" s="987"/>
      <c r="P16" s="987"/>
      <c r="Q16" s="987"/>
      <c r="R16" s="984"/>
      <c r="S16" s="637"/>
      <c r="T16" s="637"/>
      <c r="U16" s="637"/>
      <c r="V16" s="637"/>
      <c r="W16" s="637"/>
      <c r="X16" s="637"/>
      <c r="Y16" s="637"/>
      <c r="Z16" s="637"/>
      <c r="AA16" s="637"/>
      <c r="AB16" s="637"/>
      <c r="AC16" s="637"/>
      <c r="AD16" s="637"/>
      <c r="AE16" s="637"/>
      <c r="AF16" s="637"/>
      <c r="AG16" s="637"/>
      <c r="AH16" s="637"/>
      <c r="AI16" s="637"/>
      <c r="AJ16" s="637"/>
      <c r="AK16" s="637"/>
      <c r="AL16" s="637"/>
      <c r="AM16" s="637"/>
      <c r="AN16" s="637"/>
      <c r="AO16" s="637"/>
      <c r="AP16" s="637"/>
      <c r="AQ16" s="637"/>
      <c r="AR16" s="637"/>
      <c r="AS16" s="637"/>
      <c r="AT16" s="637"/>
      <c r="AU16" s="637"/>
      <c r="AV16" s="637"/>
      <c r="AW16" s="637"/>
      <c r="AX16" s="637"/>
      <c r="AY16" s="637"/>
      <c r="AZ16" s="637"/>
      <c r="BA16" s="637"/>
      <c r="BB16" s="637"/>
      <c r="BC16" s="637"/>
      <c r="BD16" s="637"/>
      <c r="BE16" s="637"/>
      <c r="BF16" s="637"/>
      <c r="BG16" s="637"/>
      <c r="BH16" s="637"/>
      <c r="BI16" s="637"/>
      <c r="BJ16" s="637"/>
      <c r="BK16" s="637"/>
      <c r="BL16" s="637"/>
      <c r="BM16" s="637"/>
      <c r="BN16" s="637"/>
      <c r="BO16" s="637"/>
      <c r="BP16" s="637"/>
      <c r="BQ16" s="637"/>
      <c r="BR16" s="637"/>
      <c r="BS16" s="637"/>
      <c r="BT16" s="637"/>
      <c r="BU16" s="637"/>
      <c r="BV16" s="637"/>
      <c r="BW16" s="637"/>
      <c r="BX16" s="637"/>
      <c r="BY16" s="637"/>
      <c r="BZ16" s="637"/>
      <c r="CA16" s="637"/>
      <c r="CB16" s="637"/>
      <c r="CC16" s="637"/>
      <c r="CD16" s="637"/>
      <c r="CE16" s="637"/>
      <c r="CF16" s="637"/>
      <c r="CG16" s="637"/>
      <c r="CH16" s="637"/>
      <c r="CI16" s="637"/>
      <c r="CJ16" s="637"/>
      <c r="CK16" s="637"/>
      <c r="CL16" s="637"/>
      <c r="CM16" s="637"/>
      <c r="CN16" s="637"/>
      <c r="CO16" s="637"/>
      <c r="CP16" s="637"/>
      <c r="CQ16" s="637"/>
      <c r="CR16" s="637"/>
      <c r="CS16" s="637"/>
      <c r="CT16" s="637"/>
      <c r="CU16" s="637"/>
      <c r="CV16" s="637"/>
      <c r="CW16" s="637"/>
      <c r="CX16" s="637"/>
      <c r="CY16" s="637"/>
      <c r="CZ16" s="637"/>
      <c r="DA16" s="637"/>
      <c r="DB16" s="637"/>
      <c r="DC16" s="637"/>
      <c r="DD16" s="637"/>
      <c r="DE16" s="637"/>
      <c r="DF16" s="637"/>
      <c r="DG16" s="637"/>
      <c r="DH16" s="637"/>
      <c r="DI16" s="637"/>
      <c r="DJ16" s="637"/>
      <c r="DK16" s="637"/>
      <c r="DL16" s="637"/>
      <c r="DM16" s="637"/>
      <c r="DN16" s="637"/>
      <c r="DO16" s="637"/>
      <c r="DP16" s="637"/>
      <c r="DQ16" s="637"/>
      <c r="DR16" s="637"/>
      <c r="DS16" s="637"/>
      <c r="DT16" s="637"/>
      <c r="DU16" s="637"/>
      <c r="DV16" s="637"/>
      <c r="DW16" s="637"/>
      <c r="DX16" s="637"/>
      <c r="DY16" s="637"/>
      <c r="DZ16" s="637"/>
      <c r="EA16" s="637"/>
      <c r="EB16" s="637"/>
      <c r="EC16" s="637"/>
      <c r="ED16" s="637"/>
      <c r="EE16" s="637"/>
      <c r="EF16" s="637"/>
      <c r="EG16" s="637"/>
      <c r="EH16" s="637"/>
      <c r="EI16" s="637"/>
      <c r="EJ16" s="637"/>
      <c r="EK16" s="637"/>
      <c r="EL16" s="637"/>
      <c r="EM16" s="637"/>
      <c r="EN16" s="637"/>
      <c r="EO16" s="637"/>
      <c r="EP16" s="637"/>
      <c r="EQ16" s="637"/>
      <c r="ER16" s="637"/>
      <c r="ES16" s="637"/>
      <c r="ET16" s="637"/>
      <c r="EU16" s="637"/>
      <c r="EV16" s="637"/>
      <c r="EW16" s="637"/>
      <c r="EX16" s="637"/>
      <c r="EY16" s="637"/>
      <c r="EZ16" s="637"/>
      <c r="FA16" s="637"/>
      <c r="FB16" s="637"/>
      <c r="FC16" s="637"/>
      <c r="FD16" s="637"/>
      <c r="FE16" s="637"/>
      <c r="FF16" s="637"/>
      <c r="FG16" s="637"/>
      <c r="FH16" s="637"/>
      <c r="FI16" s="637"/>
      <c r="FJ16" s="637"/>
      <c r="FK16" s="637"/>
      <c r="FL16" s="637"/>
      <c r="FM16" s="637"/>
      <c r="FN16" s="637"/>
      <c r="FO16" s="637"/>
      <c r="FP16" s="637"/>
      <c r="FQ16" s="637"/>
      <c r="FR16" s="637"/>
      <c r="FS16" s="637"/>
      <c r="FT16" s="637"/>
      <c r="FU16" s="637"/>
      <c r="FV16" s="637"/>
      <c r="FW16" s="637"/>
      <c r="FX16" s="637"/>
      <c r="FY16" s="637"/>
      <c r="FZ16" s="637"/>
      <c r="GA16" s="637"/>
      <c r="GB16" s="637"/>
      <c r="GC16" s="637"/>
      <c r="GD16" s="637"/>
      <c r="GE16" s="637"/>
      <c r="GF16" s="637"/>
      <c r="GG16" s="637"/>
      <c r="GH16" s="637"/>
      <c r="GI16" s="637"/>
      <c r="GJ16" s="637"/>
      <c r="GK16" s="637"/>
      <c r="GL16" s="637"/>
      <c r="GM16" s="637"/>
      <c r="GN16" s="637"/>
      <c r="GO16" s="637"/>
      <c r="GP16" s="637"/>
      <c r="GQ16" s="637"/>
      <c r="GR16" s="637"/>
      <c r="GS16" s="637"/>
      <c r="GT16" s="637"/>
      <c r="GU16" s="637"/>
      <c r="GV16" s="637"/>
      <c r="GW16" s="637"/>
      <c r="GX16" s="637"/>
      <c r="GY16" s="637"/>
      <c r="GZ16" s="637"/>
      <c r="HA16" s="637"/>
      <c r="HB16" s="637"/>
      <c r="HC16" s="637"/>
      <c r="HD16" s="637"/>
      <c r="HE16" s="637"/>
      <c r="HF16" s="637"/>
      <c r="HG16" s="637"/>
      <c r="HH16" s="637"/>
      <c r="HI16" s="637"/>
      <c r="HJ16" s="637"/>
      <c r="HK16" s="637"/>
      <c r="HL16" s="637"/>
      <c r="HM16" s="637"/>
      <c r="HN16" s="637"/>
      <c r="HO16" s="637"/>
      <c r="HP16" s="637"/>
      <c r="HQ16" s="637"/>
      <c r="HR16" s="637"/>
      <c r="HS16" s="637"/>
      <c r="HT16" s="637"/>
      <c r="HU16" s="637"/>
      <c r="HV16" s="637"/>
      <c r="HW16" s="637"/>
      <c r="HX16" s="637"/>
      <c r="HY16" s="637"/>
      <c r="HZ16" s="637"/>
      <c r="IA16" s="637"/>
      <c r="IB16" s="637"/>
      <c r="IC16" s="637"/>
      <c r="ID16" s="637"/>
      <c r="IE16" s="637"/>
      <c r="IF16" s="637"/>
      <c r="IG16" s="637"/>
      <c r="IH16" s="637"/>
      <c r="II16" s="637"/>
      <c r="IJ16" s="637"/>
      <c r="IK16" s="637"/>
      <c r="IL16" s="637"/>
      <c r="IM16" s="637"/>
      <c r="IN16" s="637"/>
      <c r="IO16" s="637"/>
      <c r="IP16" s="637"/>
      <c r="IQ16" s="637"/>
      <c r="IR16" s="637"/>
      <c r="IS16" s="637"/>
      <c r="IT16" s="637"/>
      <c r="IU16" s="637"/>
      <c r="IV16" s="637"/>
      <c r="IW16" s="637"/>
      <c r="IX16" s="637"/>
      <c r="IY16" s="637"/>
      <c r="IZ16" s="637"/>
      <c r="JA16" s="637"/>
      <c r="JB16" s="637"/>
      <c r="JC16" s="637"/>
      <c r="JD16" s="637"/>
      <c r="JE16" s="637"/>
      <c r="JF16" s="637"/>
      <c r="JG16" s="637"/>
      <c r="JH16" s="637"/>
      <c r="JI16" s="637"/>
      <c r="JJ16" s="637"/>
      <c r="JK16" s="637"/>
      <c r="JL16" s="637"/>
      <c r="JM16" s="637"/>
      <c r="JN16" s="637"/>
      <c r="JO16" s="637"/>
      <c r="JP16" s="637"/>
      <c r="JQ16" s="637"/>
      <c r="JR16" s="637"/>
      <c r="JS16" s="637"/>
      <c r="JT16" s="637"/>
      <c r="JU16" s="637"/>
      <c r="JV16" s="637"/>
      <c r="JW16" s="637"/>
      <c r="JX16" s="637"/>
      <c r="JY16" s="637"/>
      <c r="JZ16" s="637"/>
      <c r="KA16" s="637"/>
      <c r="KB16" s="637"/>
      <c r="KC16" s="637"/>
      <c r="KD16" s="637"/>
      <c r="KE16" s="637"/>
      <c r="KF16" s="637"/>
      <c r="KG16" s="637"/>
      <c r="KH16" s="637"/>
      <c r="KI16" s="637"/>
      <c r="KJ16" s="637"/>
      <c r="KK16" s="637"/>
      <c r="KL16" s="637"/>
      <c r="KM16" s="637"/>
      <c r="KN16" s="637"/>
      <c r="KO16" s="637"/>
      <c r="KP16" s="637"/>
      <c r="KQ16" s="637"/>
      <c r="KR16" s="637"/>
      <c r="KS16" s="637"/>
      <c r="KT16" s="637"/>
      <c r="KU16" s="637"/>
      <c r="KV16" s="637"/>
      <c r="KW16" s="637"/>
      <c r="KX16" s="637"/>
      <c r="KY16" s="637"/>
      <c r="KZ16" s="637"/>
      <c r="LA16" s="637"/>
      <c r="LB16" s="637"/>
      <c r="LC16" s="637"/>
      <c r="LD16" s="637"/>
      <c r="LE16" s="637"/>
      <c r="LF16" s="637"/>
      <c r="LG16" s="637"/>
      <c r="LH16" s="637"/>
      <c r="LI16" s="637"/>
      <c r="LJ16" s="637"/>
      <c r="LK16" s="637"/>
      <c r="LL16" s="637"/>
      <c r="LM16" s="637"/>
      <c r="LN16" s="637"/>
      <c r="LO16" s="637"/>
      <c r="LP16" s="637"/>
      <c r="LQ16" s="637"/>
      <c r="LR16" s="637"/>
      <c r="LS16" s="637"/>
      <c r="LT16" s="637"/>
      <c r="LU16" s="637"/>
      <c r="LV16" s="637"/>
      <c r="LW16" s="637"/>
      <c r="LX16" s="637"/>
      <c r="LY16" s="637"/>
      <c r="LZ16" s="637"/>
      <c r="MA16" s="637"/>
      <c r="MB16" s="637"/>
      <c r="MC16" s="637"/>
      <c r="MD16" s="637"/>
      <c r="ME16" s="637"/>
      <c r="MF16" s="637"/>
      <c r="MG16" s="637"/>
      <c r="MH16" s="637"/>
      <c r="MI16" s="637"/>
      <c r="MJ16" s="637"/>
      <c r="MK16" s="637"/>
      <c r="ML16" s="637"/>
      <c r="MM16" s="637"/>
      <c r="MN16" s="637"/>
      <c r="MO16" s="637"/>
      <c r="MP16" s="637"/>
      <c r="MQ16" s="637"/>
      <c r="MR16" s="637"/>
      <c r="MS16" s="637"/>
      <c r="MT16" s="637"/>
      <c r="MU16" s="637"/>
      <c r="MV16" s="637"/>
      <c r="MW16" s="637"/>
      <c r="MX16" s="637"/>
      <c r="MY16" s="637"/>
      <c r="MZ16" s="637"/>
      <c r="NA16" s="637"/>
      <c r="NB16" s="637"/>
      <c r="NC16" s="637"/>
      <c r="ND16" s="637"/>
      <c r="NE16" s="637"/>
      <c r="NF16" s="637"/>
      <c r="NG16" s="637"/>
      <c r="NH16" s="637"/>
      <c r="NI16" s="637"/>
      <c r="NJ16" s="637"/>
      <c r="NK16" s="637"/>
      <c r="NL16" s="637"/>
      <c r="NM16" s="637"/>
      <c r="NN16" s="637"/>
      <c r="NO16" s="637"/>
      <c r="NP16" s="637"/>
      <c r="NQ16" s="637"/>
      <c r="NR16" s="637"/>
      <c r="NS16" s="637"/>
      <c r="NT16" s="637"/>
      <c r="NU16" s="637"/>
      <c r="NV16" s="637"/>
      <c r="NW16" s="637"/>
      <c r="NX16" s="637"/>
      <c r="NY16" s="637"/>
      <c r="NZ16" s="637"/>
      <c r="OA16" s="637"/>
      <c r="OB16" s="637"/>
      <c r="OC16" s="637"/>
      <c r="OD16" s="637"/>
      <c r="OE16" s="637"/>
      <c r="OF16" s="637"/>
      <c r="OG16" s="637"/>
      <c r="OH16" s="637"/>
      <c r="OI16" s="637"/>
      <c r="OJ16" s="637"/>
      <c r="OK16" s="637"/>
      <c r="OL16" s="637"/>
      <c r="OM16" s="637"/>
      <c r="ON16" s="637"/>
      <c r="OO16" s="637"/>
      <c r="OP16" s="637"/>
      <c r="OQ16" s="637"/>
      <c r="OR16" s="637"/>
      <c r="OS16" s="637"/>
      <c r="OT16" s="637"/>
      <c r="OU16" s="637"/>
      <c r="OV16" s="637"/>
      <c r="OW16" s="637"/>
      <c r="OX16" s="637"/>
      <c r="OY16" s="637"/>
      <c r="OZ16" s="637"/>
      <c r="PA16" s="637"/>
      <c r="PB16" s="637"/>
      <c r="PC16" s="637"/>
      <c r="PD16" s="637"/>
      <c r="PE16" s="637"/>
      <c r="PF16" s="637"/>
      <c r="PG16" s="637"/>
      <c r="PH16" s="637"/>
      <c r="PI16" s="637"/>
      <c r="PJ16" s="637"/>
      <c r="PK16" s="637"/>
      <c r="PL16" s="637"/>
      <c r="PM16" s="637"/>
      <c r="PN16" s="637"/>
      <c r="PO16" s="637"/>
      <c r="PP16" s="637"/>
      <c r="PQ16" s="637"/>
      <c r="PR16" s="637"/>
      <c r="PS16" s="637"/>
      <c r="PT16" s="637"/>
      <c r="PU16" s="637"/>
      <c r="PV16" s="637"/>
      <c r="PW16" s="637"/>
      <c r="PX16" s="637"/>
      <c r="PY16" s="637"/>
      <c r="PZ16" s="637"/>
      <c r="QA16" s="637"/>
      <c r="QB16" s="637"/>
      <c r="QC16" s="637"/>
      <c r="QD16" s="637"/>
      <c r="QE16" s="637"/>
      <c r="QF16" s="637"/>
      <c r="QG16" s="637"/>
      <c r="QH16" s="637"/>
      <c r="QI16" s="637"/>
      <c r="QJ16" s="637"/>
      <c r="QK16" s="637"/>
      <c r="QL16" s="637"/>
      <c r="QM16" s="637"/>
      <c r="QN16" s="637"/>
      <c r="QO16" s="637"/>
      <c r="QP16" s="637"/>
      <c r="QQ16" s="637"/>
      <c r="QR16" s="637"/>
      <c r="QS16" s="637"/>
      <c r="QT16" s="637"/>
      <c r="QU16" s="637"/>
      <c r="QV16" s="637"/>
      <c r="QW16" s="637"/>
      <c r="QX16" s="637"/>
      <c r="QY16" s="637"/>
      <c r="QZ16" s="637"/>
      <c r="RA16" s="637"/>
      <c r="RB16" s="637"/>
      <c r="RC16" s="637"/>
      <c r="RD16" s="637"/>
      <c r="RE16" s="637"/>
      <c r="RF16" s="637"/>
      <c r="RG16" s="637"/>
      <c r="RH16" s="637"/>
      <c r="RI16" s="637"/>
      <c r="RJ16" s="637"/>
      <c r="RK16" s="637"/>
      <c r="RL16" s="637"/>
      <c r="RM16" s="637"/>
      <c r="RN16" s="637"/>
      <c r="RO16" s="637"/>
      <c r="RP16" s="637"/>
      <c r="RQ16" s="637"/>
      <c r="RR16" s="637"/>
      <c r="RS16" s="637"/>
      <c r="RT16" s="637"/>
      <c r="RU16" s="637"/>
      <c r="RV16" s="637"/>
      <c r="RW16" s="637"/>
      <c r="RX16" s="637"/>
      <c r="RY16" s="637"/>
      <c r="RZ16" s="637"/>
      <c r="SA16" s="637"/>
      <c r="SB16" s="637"/>
      <c r="SC16" s="637"/>
      <c r="SD16" s="637"/>
      <c r="SE16" s="637"/>
      <c r="SF16" s="637"/>
      <c r="SG16" s="637"/>
      <c r="SH16" s="637"/>
      <c r="SI16" s="637"/>
      <c r="SJ16" s="637"/>
      <c r="SK16" s="637"/>
      <c r="SL16" s="637"/>
      <c r="SM16" s="637"/>
      <c r="SN16" s="637"/>
      <c r="SO16" s="637"/>
      <c r="SP16" s="637"/>
      <c r="SQ16" s="637"/>
      <c r="SR16" s="637"/>
      <c r="SS16" s="637"/>
      <c r="ST16" s="637"/>
      <c r="SU16" s="637"/>
      <c r="SV16" s="637"/>
      <c r="SW16" s="637"/>
      <c r="SX16" s="637"/>
      <c r="SY16" s="637"/>
      <c r="SZ16" s="637"/>
      <c r="TA16" s="637"/>
      <c r="TB16" s="637"/>
      <c r="TC16" s="637"/>
      <c r="TD16" s="637"/>
      <c r="TE16" s="637"/>
      <c r="TF16" s="637"/>
      <c r="TG16" s="637"/>
      <c r="TH16" s="637"/>
      <c r="TI16" s="637"/>
      <c r="TJ16" s="637"/>
      <c r="TK16" s="637"/>
      <c r="TL16" s="637"/>
      <c r="TM16" s="637"/>
      <c r="TN16" s="637"/>
      <c r="TO16" s="637"/>
      <c r="TP16" s="637"/>
      <c r="TQ16" s="637"/>
      <c r="TR16" s="637"/>
      <c r="TS16" s="637"/>
      <c r="TT16" s="637"/>
      <c r="TU16" s="637"/>
      <c r="TV16" s="637"/>
      <c r="TW16" s="637"/>
      <c r="TX16" s="637"/>
      <c r="TY16" s="637"/>
      <c r="TZ16" s="637"/>
      <c r="UA16" s="637"/>
      <c r="UB16" s="637"/>
      <c r="UC16" s="637"/>
      <c r="UD16" s="637"/>
      <c r="UE16" s="637"/>
      <c r="UF16" s="637"/>
      <c r="UG16" s="637"/>
      <c r="UH16" s="637"/>
      <c r="UI16" s="637"/>
      <c r="UJ16" s="637"/>
      <c r="UK16" s="637"/>
      <c r="UL16" s="637"/>
      <c r="UM16" s="637"/>
      <c r="UN16" s="637"/>
      <c r="UO16" s="637"/>
      <c r="UP16" s="637"/>
      <c r="UQ16" s="637"/>
      <c r="UR16" s="637"/>
      <c r="US16" s="637"/>
      <c r="UT16" s="637"/>
      <c r="UU16" s="637"/>
      <c r="UV16" s="637"/>
      <c r="UW16" s="637"/>
      <c r="UX16" s="637"/>
      <c r="UY16" s="637"/>
      <c r="UZ16" s="637"/>
      <c r="VA16" s="637"/>
      <c r="VB16" s="637"/>
      <c r="VC16" s="637"/>
      <c r="VD16" s="637"/>
      <c r="VE16" s="637"/>
      <c r="VF16" s="637"/>
      <c r="VG16" s="637"/>
      <c r="VH16" s="637"/>
      <c r="VI16" s="637"/>
      <c r="VJ16" s="637"/>
      <c r="VK16" s="637"/>
      <c r="VL16" s="637"/>
      <c r="VM16" s="637"/>
      <c r="VN16" s="637"/>
      <c r="VO16" s="637"/>
      <c r="VP16" s="637"/>
      <c r="VQ16" s="637"/>
      <c r="VR16" s="637"/>
      <c r="VS16" s="637"/>
      <c r="VT16" s="637"/>
      <c r="VU16" s="637"/>
      <c r="VV16" s="637"/>
      <c r="VW16" s="637"/>
      <c r="VX16" s="637"/>
      <c r="VY16" s="637"/>
      <c r="VZ16" s="637"/>
      <c r="WA16" s="637"/>
      <c r="WB16" s="637"/>
      <c r="WC16" s="637"/>
      <c r="WD16" s="637"/>
      <c r="WE16" s="637"/>
      <c r="WF16" s="637"/>
      <c r="WG16" s="637"/>
      <c r="WH16" s="637"/>
      <c r="WI16" s="637"/>
      <c r="WJ16" s="637"/>
      <c r="WK16" s="637"/>
      <c r="WL16" s="637"/>
      <c r="WM16" s="637"/>
      <c r="WN16" s="637"/>
      <c r="WO16" s="637"/>
      <c r="WP16" s="637"/>
      <c r="WQ16" s="637"/>
      <c r="WR16" s="637"/>
      <c r="WS16" s="637"/>
      <c r="WT16" s="637"/>
      <c r="WU16" s="637"/>
      <c r="WV16" s="637"/>
      <c r="WW16" s="637"/>
      <c r="WX16" s="637"/>
      <c r="WY16" s="637"/>
      <c r="WZ16" s="637"/>
      <c r="XA16" s="637"/>
      <c r="XB16" s="637"/>
      <c r="XC16" s="637"/>
      <c r="XD16" s="637"/>
      <c r="XE16" s="637"/>
      <c r="XF16" s="637"/>
      <c r="XG16" s="637"/>
      <c r="XH16" s="637"/>
      <c r="XI16" s="637"/>
      <c r="XJ16" s="637"/>
      <c r="XK16" s="637"/>
      <c r="XL16" s="637"/>
      <c r="XM16" s="637"/>
      <c r="XN16" s="637"/>
      <c r="XO16" s="637"/>
      <c r="XP16" s="637"/>
      <c r="XQ16" s="637"/>
      <c r="XR16" s="637"/>
      <c r="XS16" s="637"/>
      <c r="XT16" s="637"/>
      <c r="XU16" s="637"/>
      <c r="XV16" s="637"/>
      <c r="XW16" s="637"/>
      <c r="XX16" s="637"/>
      <c r="XY16" s="637"/>
      <c r="XZ16" s="637"/>
      <c r="YA16" s="637"/>
      <c r="YB16" s="637"/>
      <c r="YC16" s="637"/>
      <c r="YD16" s="637"/>
      <c r="YE16" s="637"/>
      <c r="YF16" s="637"/>
      <c r="YG16" s="637"/>
      <c r="YH16" s="637"/>
      <c r="YI16" s="637"/>
      <c r="YJ16" s="637"/>
      <c r="YK16" s="637"/>
      <c r="YL16" s="637"/>
      <c r="YM16" s="637"/>
      <c r="YN16" s="637"/>
      <c r="YO16" s="637"/>
      <c r="YP16" s="637"/>
      <c r="YQ16" s="637"/>
      <c r="YR16" s="637"/>
      <c r="YS16" s="637"/>
      <c r="YT16" s="637"/>
      <c r="YU16" s="637"/>
      <c r="YV16" s="637"/>
      <c r="YW16" s="637"/>
      <c r="YX16" s="637"/>
      <c r="YY16" s="637"/>
      <c r="YZ16" s="637"/>
      <c r="ZA16" s="637"/>
      <c r="ZB16" s="637"/>
      <c r="ZC16" s="637"/>
      <c r="ZD16" s="637"/>
      <c r="ZE16" s="637"/>
      <c r="ZF16" s="637"/>
      <c r="ZG16" s="637"/>
      <c r="ZH16" s="637"/>
      <c r="ZI16" s="637"/>
      <c r="ZJ16" s="637"/>
      <c r="ZK16" s="637"/>
      <c r="ZL16" s="637"/>
      <c r="ZM16" s="637"/>
      <c r="ZN16" s="637"/>
      <c r="ZO16" s="637"/>
      <c r="ZP16" s="637"/>
      <c r="ZQ16" s="637"/>
      <c r="ZR16" s="637"/>
      <c r="ZS16" s="637"/>
      <c r="ZT16" s="637"/>
      <c r="ZU16" s="637"/>
      <c r="ZV16" s="637"/>
      <c r="ZW16" s="637"/>
      <c r="ZX16" s="637"/>
      <c r="ZY16" s="637"/>
      <c r="ZZ16" s="637"/>
      <c r="AAA16" s="637"/>
      <c r="AAB16" s="637"/>
      <c r="AAC16" s="637"/>
      <c r="AAD16" s="637"/>
      <c r="AAE16" s="637"/>
      <c r="AAF16" s="637"/>
      <c r="AAG16" s="637"/>
      <c r="AAH16" s="637"/>
      <c r="AAI16" s="637"/>
      <c r="AAJ16" s="637"/>
      <c r="AAK16" s="637"/>
      <c r="AAL16" s="637"/>
      <c r="AAM16" s="637"/>
      <c r="AAN16" s="637"/>
      <c r="AAO16" s="637"/>
      <c r="AAP16" s="637"/>
      <c r="AAQ16" s="637"/>
      <c r="AAR16" s="637"/>
      <c r="AAS16" s="637"/>
      <c r="AAT16" s="637"/>
      <c r="AAU16" s="637"/>
      <c r="AAV16" s="637"/>
      <c r="AAW16" s="637"/>
      <c r="AAX16" s="637"/>
      <c r="AAY16" s="637"/>
      <c r="AAZ16" s="637"/>
      <c r="ABA16" s="637"/>
      <c r="ABB16" s="637"/>
      <c r="ABC16" s="637"/>
      <c r="ABD16" s="637"/>
      <c r="ABE16" s="637"/>
      <c r="ABF16" s="637"/>
      <c r="ABG16" s="637"/>
      <c r="ABH16" s="637"/>
      <c r="ABI16" s="637"/>
      <c r="ABJ16" s="637"/>
      <c r="ABK16" s="637"/>
      <c r="ABL16" s="637"/>
      <c r="ABM16" s="637"/>
      <c r="ABN16" s="637"/>
      <c r="ABO16" s="637"/>
      <c r="ABP16" s="637"/>
      <c r="ABQ16" s="637"/>
      <c r="ABR16" s="637"/>
      <c r="ABS16" s="637"/>
      <c r="ABT16" s="637"/>
      <c r="ABU16" s="637"/>
      <c r="ABV16" s="637"/>
      <c r="ABW16" s="637"/>
      <c r="ABX16" s="637"/>
      <c r="ABY16" s="637"/>
      <c r="ABZ16" s="637"/>
      <c r="ACA16" s="637"/>
      <c r="ACB16" s="637"/>
      <c r="ACC16" s="637"/>
      <c r="ACD16" s="637"/>
      <c r="ACE16" s="637"/>
      <c r="ACF16" s="637"/>
      <c r="ACG16" s="637"/>
      <c r="ACH16" s="637"/>
      <c r="ACI16" s="637"/>
      <c r="ACJ16" s="637"/>
      <c r="ACK16" s="637"/>
      <c r="ACL16" s="637"/>
      <c r="ACM16" s="637"/>
      <c r="ACN16" s="637"/>
      <c r="ACO16" s="637"/>
      <c r="ACP16" s="637"/>
      <c r="ACQ16" s="637"/>
      <c r="ACR16" s="637"/>
      <c r="ACS16" s="637"/>
      <c r="ACT16" s="637"/>
      <c r="ACU16" s="637"/>
      <c r="ACV16" s="637"/>
      <c r="ACW16" s="637"/>
      <c r="ACX16" s="637"/>
      <c r="ACY16" s="637"/>
      <c r="ACZ16" s="637"/>
      <c r="ADA16" s="637"/>
      <c r="ADB16" s="637"/>
      <c r="ADC16" s="637"/>
      <c r="ADD16" s="637"/>
      <c r="ADE16" s="637"/>
      <c r="ADF16" s="637"/>
      <c r="ADG16" s="637"/>
      <c r="ADH16" s="637"/>
      <c r="ADI16" s="637"/>
      <c r="ADJ16" s="637"/>
      <c r="ADK16" s="637"/>
      <c r="ADL16" s="637"/>
      <c r="ADM16" s="637"/>
      <c r="ADN16" s="637"/>
      <c r="ADO16" s="637"/>
      <c r="ADP16" s="637"/>
      <c r="ADQ16" s="637"/>
      <c r="ADR16" s="637"/>
      <c r="ADS16" s="637"/>
      <c r="ADT16" s="637"/>
      <c r="ADU16" s="637"/>
      <c r="ADV16" s="637"/>
      <c r="ADW16" s="637"/>
      <c r="ADX16" s="637"/>
      <c r="ADY16" s="637"/>
      <c r="ADZ16" s="637"/>
      <c r="AEA16" s="637"/>
      <c r="AEB16" s="637"/>
      <c r="AEC16" s="637"/>
      <c r="AED16" s="637"/>
      <c r="AEE16" s="637"/>
      <c r="AEF16" s="637"/>
      <c r="AEG16" s="637"/>
      <c r="AEH16" s="637"/>
      <c r="AEI16" s="637"/>
      <c r="AEJ16" s="637"/>
      <c r="AEK16" s="637"/>
      <c r="AEL16" s="637"/>
      <c r="AEM16" s="637"/>
      <c r="AEN16" s="637"/>
      <c r="AEO16" s="637"/>
      <c r="AEP16" s="637"/>
      <c r="AEQ16" s="637"/>
      <c r="AER16" s="637"/>
      <c r="AES16" s="637"/>
      <c r="AET16" s="637"/>
      <c r="AEU16" s="637"/>
      <c r="AEV16" s="637"/>
      <c r="AEW16" s="637"/>
      <c r="AEX16" s="637"/>
      <c r="AEY16" s="637"/>
      <c r="AEZ16" s="637"/>
      <c r="AFA16" s="637"/>
      <c r="AFB16" s="637"/>
      <c r="AFC16" s="637"/>
      <c r="AFD16" s="637"/>
      <c r="AFE16" s="637"/>
      <c r="AFF16" s="637"/>
      <c r="AFG16" s="637"/>
      <c r="AFH16" s="637"/>
      <c r="AFI16" s="637"/>
      <c r="AFJ16" s="637"/>
      <c r="AFK16" s="637"/>
      <c r="AFL16" s="637"/>
      <c r="AFM16" s="637"/>
      <c r="AFN16" s="637"/>
      <c r="AFO16" s="637"/>
      <c r="AFP16" s="637"/>
      <c r="AFQ16" s="637"/>
      <c r="AFR16" s="637"/>
      <c r="AFS16" s="637"/>
      <c r="AFT16" s="637"/>
      <c r="AFU16" s="637"/>
      <c r="AFV16" s="637"/>
      <c r="AFW16" s="637"/>
      <c r="AFX16" s="637"/>
      <c r="AFY16" s="637"/>
      <c r="AFZ16" s="637"/>
      <c r="AGA16" s="637"/>
      <c r="AGB16" s="637"/>
      <c r="AGC16" s="637"/>
      <c r="AGD16" s="637"/>
      <c r="AGE16" s="637"/>
      <c r="AGF16" s="637"/>
      <c r="AGG16" s="637"/>
      <c r="AGH16" s="637"/>
      <c r="AGI16" s="637"/>
      <c r="AGJ16" s="637"/>
      <c r="AGK16" s="637"/>
      <c r="AGL16" s="637"/>
      <c r="AGM16" s="637"/>
      <c r="AGN16" s="637"/>
      <c r="AGO16" s="637"/>
      <c r="AGP16" s="637"/>
      <c r="AGQ16" s="637"/>
      <c r="AGR16" s="637"/>
      <c r="AGS16" s="637"/>
      <c r="AGT16" s="637"/>
      <c r="AGU16" s="637"/>
      <c r="AGV16" s="637"/>
      <c r="AGW16" s="637"/>
      <c r="AGX16" s="637"/>
      <c r="AGY16" s="637"/>
      <c r="AGZ16" s="637"/>
      <c r="AHA16" s="637"/>
      <c r="AHB16" s="637"/>
      <c r="AHC16" s="637"/>
      <c r="AHD16" s="637"/>
      <c r="AHE16" s="637"/>
      <c r="AHF16" s="637"/>
      <c r="AHG16" s="637"/>
      <c r="AHH16" s="637"/>
      <c r="AHI16" s="637"/>
      <c r="AHJ16" s="637"/>
      <c r="AHK16" s="637"/>
      <c r="AHL16" s="637"/>
      <c r="AHM16" s="637"/>
      <c r="AHN16" s="637"/>
      <c r="AHO16" s="637"/>
      <c r="AHP16" s="637"/>
      <c r="AHQ16" s="637"/>
      <c r="AHR16" s="637"/>
      <c r="AHS16" s="637"/>
      <c r="AHT16" s="637"/>
      <c r="AHU16" s="637"/>
      <c r="AHV16" s="637"/>
      <c r="AHW16" s="637"/>
      <c r="AHX16" s="637"/>
      <c r="AHY16" s="637"/>
      <c r="AHZ16" s="637"/>
      <c r="AIA16" s="637"/>
      <c r="AIB16" s="637"/>
      <c r="AIC16" s="637"/>
      <c r="AID16" s="637"/>
      <c r="AIE16" s="637"/>
      <c r="AIF16" s="637"/>
      <c r="AIG16" s="637"/>
      <c r="AIH16" s="637"/>
      <c r="AII16" s="637"/>
      <c r="AIJ16" s="637"/>
      <c r="AIK16" s="637"/>
      <c r="AIL16" s="637"/>
      <c r="AIM16" s="637"/>
      <c r="AIN16" s="637"/>
      <c r="AIO16" s="637"/>
      <c r="AIP16" s="637"/>
      <c r="AIQ16" s="637"/>
      <c r="AIR16" s="637"/>
      <c r="AIS16" s="637"/>
      <c r="AIT16" s="637"/>
      <c r="AIU16" s="637"/>
      <c r="AIV16" s="637"/>
      <c r="AIW16" s="637"/>
      <c r="AIX16" s="637"/>
      <c r="AIY16" s="637"/>
      <c r="AIZ16" s="637"/>
      <c r="AJA16" s="637"/>
      <c r="AJB16" s="637"/>
      <c r="AJC16" s="637"/>
      <c r="AJD16" s="637"/>
      <c r="AJE16" s="637"/>
      <c r="AJF16" s="637"/>
      <c r="AJG16" s="637"/>
      <c r="AJH16" s="637"/>
      <c r="AJI16" s="637"/>
      <c r="AJJ16" s="637"/>
      <c r="AJK16" s="637"/>
      <c r="AJL16" s="637"/>
      <c r="AJM16" s="637"/>
      <c r="AJN16" s="637"/>
      <c r="AJO16" s="637"/>
      <c r="AJP16" s="637"/>
      <c r="AJQ16" s="637"/>
      <c r="AJR16" s="637"/>
      <c r="AJS16" s="637"/>
      <c r="AJT16" s="637"/>
      <c r="AJU16" s="637"/>
      <c r="AJV16" s="637"/>
      <c r="AJW16" s="637"/>
      <c r="AJX16" s="637"/>
      <c r="AJY16" s="637"/>
      <c r="AJZ16" s="637"/>
      <c r="AKA16" s="637"/>
      <c r="AKB16" s="637"/>
      <c r="AKC16" s="637"/>
      <c r="AKD16" s="637"/>
      <c r="AKE16" s="637"/>
      <c r="AKF16" s="637"/>
      <c r="AKG16" s="637"/>
      <c r="AKH16" s="637"/>
      <c r="AKI16" s="637"/>
      <c r="AKJ16" s="637"/>
      <c r="AKK16" s="637"/>
      <c r="AKL16" s="637"/>
      <c r="AKM16" s="637"/>
      <c r="AKN16" s="637"/>
      <c r="AKO16" s="637"/>
      <c r="AKP16" s="637"/>
      <c r="AKQ16" s="637"/>
      <c r="AKR16" s="637"/>
      <c r="AKS16" s="637"/>
      <c r="AKT16" s="637"/>
      <c r="AKU16" s="637"/>
      <c r="AKV16" s="637"/>
      <c r="AKW16" s="637"/>
      <c r="AKX16" s="637"/>
      <c r="AKY16" s="637"/>
      <c r="AKZ16" s="637"/>
      <c r="ALA16" s="637"/>
      <c r="ALB16" s="637"/>
      <c r="ALC16" s="637"/>
      <c r="ALD16" s="637"/>
      <c r="ALE16" s="637"/>
      <c r="ALF16" s="637"/>
      <c r="ALG16" s="637"/>
      <c r="ALH16" s="637"/>
      <c r="ALI16" s="637"/>
      <c r="ALJ16" s="637"/>
      <c r="ALK16" s="637"/>
      <c r="ALL16" s="637"/>
      <c r="ALM16" s="637"/>
      <c r="ALN16" s="637"/>
      <c r="ALO16" s="637"/>
      <c r="ALP16" s="637"/>
      <c r="ALQ16" s="637"/>
      <c r="ALR16" s="637"/>
      <c r="ALS16" s="637"/>
      <c r="ALT16" s="637"/>
      <c r="ALU16" s="637"/>
      <c r="ALV16" s="637"/>
      <c r="ALW16" s="637"/>
      <c r="ALX16" s="637"/>
      <c r="ALY16" s="637"/>
      <c r="ALZ16" s="637"/>
      <c r="AMA16" s="637"/>
      <c r="AMB16" s="637"/>
      <c r="AMC16" s="637"/>
      <c r="AMD16" s="637"/>
      <c r="AME16" s="637"/>
      <c r="AMF16" s="637"/>
      <c r="AMG16" s="637"/>
      <c r="AMH16" s="637"/>
      <c r="AMI16" s="637"/>
      <c r="AMJ16" s="637"/>
    </row>
    <row r="17" spans="1:1024" s="638" customFormat="1" ht="12.75">
      <c r="A17" s="984"/>
      <c r="B17" s="985"/>
      <c r="C17" s="986"/>
      <c r="D17" s="981" t="s">
        <v>861</v>
      </c>
      <c r="E17" s="982">
        <v>3688</v>
      </c>
      <c r="F17" s="982">
        <f aca="true" t="shared" si="1" ref="F17:F36">SUM(G17:R17)</f>
        <v>4597</v>
      </c>
      <c r="G17" s="987">
        <v>3179</v>
      </c>
      <c r="H17" s="987">
        <v>971</v>
      </c>
      <c r="I17" s="987">
        <v>447</v>
      </c>
      <c r="J17" s="987"/>
      <c r="K17" s="987"/>
      <c r="L17" s="987"/>
      <c r="M17" s="987"/>
      <c r="N17" s="987"/>
      <c r="O17" s="987"/>
      <c r="P17" s="987"/>
      <c r="Q17" s="987"/>
      <c r="R17" s="984"/>
      <c r="S17" s="637"/>
      <c r="T17" s="637"/>
      <c r="U17" s="637"/>
      <c r="V17" s="637"/>
      <c r="W17" s="637"/>
      <c r="X17" s="637"/>
      <c r="Y17" s="637"/>
      <c r="Z17" s="637"/>
      <c r="AA17" s="637"/>
      <c r="AB17" s="637"/>
      <c r="AC17" s="637"/>
      <c r="AD17" s="637"/>
      <c r="AE17" s="637"/>
      <c r="AF17" s="637"/>
      <c r="AG17" s="637"/>
      <c r="AH17" s="637"/>
      <c r="AI17" s="637"/>
      <c r="AJ17" s="637"/>
      <c r="AK17" s="637"/>
      <c r="AL17" s="637"/>
      <c r="AM17" s="637"/>
      <c r="AN17" s="637"/>
      <c r="AO17" s="637"/>
      <c r="AP17" s="637"/>
      <c r="AQ17" s="637"/>
      <c r="AR17" s="637"/>
      <c r="AS17" s="637"/>
      <c r="AT17" s="637"/>
      <c r="AU17" s="637"/>
      <c r="AV17" s="637"/>
      <c r="AW17" s="637"/>
      <c r="AX17" s="637"/>
      <c r="AY17" s="637"/>
      <c r="AZ17" s="637"/>
      <c r="BA17" s="637"/>
      <c r="BB17" s="637"/>
      <c r="BC17" s="637"/>
      <c r="BD17" s="637"/>
      <c r="BE17" s="637"/>
      <c r="BF17" s="637"/>
      <c r="BG17" s="637"/>
      <c r="BH17" s="637"/>
      <c r="BI17" s="637"/>
      <c r="BJ17" s="637"/>
      <c r="BK17" s="637"/>
      <c r="BL17" s="637"/>
      <c r="BM17" s="637"/>
      <c r="BN17" s="637"/>
      <c r="BO17" s="637"/>
      <c r="BP17" s="637"/>
      <c r="BQ17" s="637"/>
      <c r="BR17" s="637"/>
      <c r="BS17" s="637"/>
      <c r="BT17" s="637"/>
      <c r="BU17" s="637"/>
      <c r="BV17" s="637"/>
      <c r="BW17" s="637"/>
      <c r="BX17" s="637"/>
      <c r="BY17" s="637"/>
      <c r="BZ17" s="637"/>
      <c r="CA17" s="637"/>
      <c r="CB17" s="637"/>
      <c r="CC17" s="637"/>
      <c r="CD17" s="637"/>
      <c r="CE17" s="637"/>
      <c r="CF17" s="637"/>
      <c r="CG17" s="637"/>
      <c r="CH17" s="637"/>
      <c r="CI17" s="637"/>
      <c r="CJ17" s="637"/>
      <c r="CK17" s="637"/>
      <c r="CL17" s="637"/>
      <c r="CM17" s="637"/>
      <c r="CN17" s="637"/>
      <c r="CO17" s="637"/>
      <c r="CP17" s="637"/>
      <c r="CQ17" s="637"/>
      <c r="CR17" s="637"/>
      <c r="CS17" s="637"/>
      <c r="CT17" s="637"/>
      <c r="CU17" s="637"/>
      <c r="CV17" s="637"/>
      <c r="CW17" s="637"/>
      <c r="CX17" s="637"/>
      <c r="CY17" s="637"/>
      <c r="CZ17" s="637"/>
      <c r="DA17" s="637"/>
      <c r="DB17" s="637"/>
      <c r="DC17" s="637"/>
      <c r="DD17" s="637"/>
      <c r="DE17" s="637"/>
      <c r="DF17" s="637"/>
      <c r="DG17" s="637"/>
      <c r="DH17" s="637"/>
      <c r="DI17" s="637"/>
      <c r="DJ17" s="637"/>
      <c r="DK17" s="637"/>
      <c r="DL17" s="637"/>
      <c r="DM17" s="637"/>
      <c r="DN17" s="637"/>
      <c r="DO17" s="637"/>
      <c r="DP17" s="637"/>
      <c r="DQ17" s="637"/>
      <c r="DR17" s="637"/>
      <c r="DS17" s="637"/>
      <c r="DT17" s="637"/>
      <c r="DU17" s="637"/>
      <c r="DV17" s="637"/>
      <c r="DW17" s="637"/>
      <c r="DX17" s="637"/>
      <c r="DY17" s="637"/>
      <c r="DZ17" s="637"/>
      <c r="EA17" s="637"/>
      <c r="EB17" s="637"/>
      <c r="EC17" s="637"/>
      <c r="ED17" s="637"/>
      <c r="EE17" s="637"/>
      <c r="EF17" s="637"/>
      <c r="EG17" s="637"/>
      <c r="EH17" s="637"/>
      <c r="EI17" s="637"/>
      <c r="EJ17" s="637"/>
      <c r="EK17" s="637"/>
      <c r="EL17" s="637"/>
      <c r="EM17" s="637"/>
      <c r="EN17" s="637"/>
      <c r="EO17" s="637"/>
      <c r="EP17" s="637"/>
      <c r="EQ17" s="637"/>
      <c r="ER17" s="637"/>
      <c r="ES17" s="637"/>
      <c r="ET17" s="637"/>
      <c r="EU17" s="637"/>
      <c r="EV17" s="637"/>
      <c r="EW17" s="637"/>
      <c r="EX17" s="637"/>
      <c r="EY17" s="637"/>
      <c r="EZ17" s="637"/>
      <c r="FA17" s="637"/>
      <c r="FB17" s="637"/>
      <c r="FC17" s="637"/>
      <c r="FD17" s="637"/>
      <c r="FE17" s="637"/>
      <c r="FF17" s="637"/>
      <c r="FG17" s="637"/>
      <c r="FH17" s="637"/>
      <c r="FI17" s="637"/>
      <c r="FJ17" s="637"/>
      <c r="FK17" s="637"/>
      <c r="FL17" s="637"/>
      <c r="FM17" s="637"/>
      <c r="FN17" s="637"/>
      <c r="FO17" s="637"/>
      <c r="FP17" s="637"/>
      <c r="FQ17" s="637"/>
      <c r="FR17" s="637"/>
      <c r="FS17" s="637"/>
      <c r="FT17" s="637"/>
      <c r="FU17" s="637"/>
      <c r="FV17" s="637"/>
      <c r="FW17" s="637"/>
      <c r="FX17" s="637"/>
      <c r="FY17" s="637"/>
      <c r="FZ17" s="637"/>
      <c r="GA17" s="637"/>
      <c r="GB17" s="637"/>
      <c r="GC17" s="637"/>
      <c r="GD17" s="637"/>
      <c r="GE17" s="637"/>
      <c r="GF17" s="637"/>
      <c r="GG17" s="637"/>
      <c r="GH17" s="637"/>
      <c r="GI17" s="637"/>
      <c r="GJ17" s="637"/>
      <c r="GK17" s="637"/>
      <c r="GL17" s="637"/>
      <c r="GM17" s="637"/>
      <c r="GN17" s="637"/>
      <c r="GO17" s="637"/>
      <c r="GP17" s="637"/>
      <c r="GQ17" s="637"/>
      <c r="GR17" s="637"/>
      <c r="GS17" s="637"/>
      <c r="GT17" s="637"/>
      <c r="GU17" s="637"/>
      <c r="GV17" s="637"/>
      <c r="GW17" s="637"/>
      <c r="GX17" s="637"/>
      <c r="GY17" s="637"/>
      <c r="GZ17" s="637"/>
      <c r="HA17" s="637"/>
      <c r="HB17" s="637"/>
      <c r="HC17" s="637"/>
      <c r="HD17" s="637"/>
      <c r="HE17" s="637"/>
      <c r="HF17" s="637"/>
      <c r="HG17" s="637"/>
      <c r="HH17" s="637"/>
      <c r="HI17" s="637"/>
      <c r="HJ17" s="637"/>
      <c r="HK17" s="637"/>
      <c r="HL17" s="637"/>
      <c r="HM17" s="637"/>
      <c r="HN17" s="637"/>
      <c r="HO17" s="637"/>
      <c r="HP17" s="637"/>
      <c r="HQ17" s="637"/>
      <c r="HR17" s="637"/>
      <c r="HS17" s="637"/>
      <c r="HT17" s="637"/>
      <c r="HU17" s="637"/>
      <c r="HV17" s="637"/>
      <c r="HW17" s="637"/>
      <c r="HX17" s="637"/>
      <c r="HY17" s="637"/>
      <c r="HZ17" s="637"/>
      <c r="IA17" s="637"/>
      <c r="IB17" s="637"/>
      <c r="IC17" s="637"/>
      <c r="ID17" s="637"/>
      <c r="IE17" s="637"/>
      <c r="IF17" s="637"/>
      <c r="IG17" s="637"/>
      <c r="IH17" s="637"/>
      <c r="II17" s="637"/>
      <c r="IJ17" s="637"/>
      <c r="IK17" s="637"/>
      <c r="IL17" s="637"/>
      <c r="IM17" s="637"/>
      <c r="IN17" s="637"/>
      <c r="IO17" s="637"/>
      <c r="IP17" s="637"/>
      <c r="IQ17" s="637"/>
      <c r="IR17" s="637"/>
      <c r="IS17" s="637"/>
      <c r="IT17" s="637"/>
      <c r="IU17" s="637"/>
      <c r="IV17" s="637"/>
      <c r="IW17" s="637"/>
      <c r="IX17" s="637"/>
      <c r="IY17" s="637"/>
      <c r="IZ17" s="637"/>
      <c r="JA17" s="637"/>
      <c r="JB17" s="637"/>
      <c r="JC17" s="637"/>
      <c r="JD17" s="637"/>
      <c r="JE17" s="637"/>
      <c r="JF17" s="637"/>
      <c r="JG17" s="637"/>
      <c r="JH17" s="637"/>
      <c r="JI17" s="637"/>
      <c r="JJ17" s="637"/>
      <c r="JK17" s="637"/>
      <c r="JL17" s="637"/>
      <c r="JM17" s="637"/>
      <c r="JN17" s="637"/>
      <c r="JO17" s="637"/>
      <c r="JP17" s="637"/>
      <c r="JQ17" s="637"/>
      <c r="JR17" s="637"/>
      <c r="JS17" s="637"/>
      <c r="JT17" s="637"/>
      <c r="JU17" s="637"/>
      <c r="JV17" s="637"/>
      <c r="JW17" s="637"/>
      <c r="JX17" s="637"/>
      <c r="JY17" s="637"/>
      <c r="JZ17" s="637"/>
      <c r="KA17" s="637"/>
      <c r="KB17" s="637"/>
      <c r="KC17" s="637"/>
      <c r="KD17" s="637"/>
      <c r="KE17" s="637"/>
      <c r="KF17" s="637"/>
      <c r="KG17" s="637"/>
      <c r="KH17" s="637"/>
      <c r="KI17" s="637"/>
      <c r="KJ17" s="637"/>
      <c r="KK17" s="637"/>
      <c r="KL17" s="637"/>
      <c r="KM17" s="637"/>
      <c r="KN17" s="637"/>
      <c r="KO17" s="637"/>
      <c r="KP17" s="637"/>
      <c r="KQ17" s="637"/>
      <c r="KR17" s="637"/>
      <c r="KS17" s="637"/>
      <c r="KT17" s="637"/>
      <c r="KU17" s="637"/>
      <c r="KV17" s="637"/>
      <c r="KW17" s="637"/>
      <c r="KX17" s="637"/>
      <c r="KY17" s="637"/>
      <c r="KZ17" s="637"/>
      <c r="LA17" s="637"/>
      <c r="LB17" s="637"/>
      <c r="LC17" s="637"/>
      <c r="LD17" s="637"/>
      <c r="LE17" s="637"/>
      <c r="LF17" s="637"/>
      <c r="LG17" s="637"/>
      <c r="LH17" s="637"/>
      <c r="LI17" s="637"/>
      <c r="LJ17" s="637"/>
      <c r="LK17" s="637"/>
      <c r="LL17" s="637"/>
      <c r="LM17" s="637"/>
      <c r="LN17" s="637"/>
      <c r="LO17" s="637"/>
      <c r="LP17" s="637"/>
      <c r="LQ17" s="637"/>
      <c r="LR17" s="637"/>
      <c r="LS17" s="637"/>
      <c r="LT17" s="637"/>
      <c r="LU17" s="637"/>
      <c r="LV17" s="637"/>
      <c r="LW17" s="637"/>
      <c r="LX17" s="637"/>
      <c r="LY17" s="637"/>
      <c r="LZ17" s="637"/>
      <c r="MA17" s="637"/>
      <c r="MB17" s="637"/>
      <c r="MC17" s="637"/>
      <c r="MD17" s="637"/>
      <c r="ME17" s="637"/>
      <c r="MF17" s="637"/>
      <c r="MG17" s="637"/>
      <c r="MH17" s="637"/>
      <c r="MI17" s="637"/>
      <c r="MJ17" s="637"/>
      <c r="MK17" s="637"/>
      <c r="ML17" s="637"/>
      <c r="MM17" s="637"/>
      <c r="MN17" s="637"/>
      <c r="MO17" s="637"/>
      <c r="MP17" s="637"/>
      <c r="MQ17" s="637"/>
      <c r="MR17" s="637"/>
      <c r="MS17" s="637"/>
      <c r="MT17" s="637"/>
      <c r="MU17" s="637"/>
      <c r="MV17" s="637"/>
      <c r="MW17" s="637"/>
      <c r="MX17" s="637"/>
      <c r="MY17" s="637"/>
      <c r="MZ17" s="637"/>
      <c r="NA17" s="637"/>
      <c r="NB17" s="637"/>
      <c r="NC17" s="637"/>
      <c r="ND17" s="637"/>
      <c r="NE17" s="637"/>
      <c r="NF17" s="637"/>
      <c r="NG17" s="637"/>
      <c r="NH17" s="637"/>
      <c r="NI17" s="637"/>
      <c r="NJ17" s="637"/>
      <c r="NK17" s="637"/>
      <c r="NL17" s="637"/>
      <c r="NM17" s="637"/>
      <c r="NN17" s="637"/>
      <c r="NO17" s="637"/>
      <c r="NP17" s="637"/>
      <c r="NQ17" s="637"/>
      <c r="NR17" s="637"/>
      <c r="NS17" s="637"/>
      <c r="NT17" s="637"/>
      <c r="NU17" s="637"/>
      <c r="NV17" s="637"/>
      <c r="NW17" s="637"/>
      <c r="NX17" s="637"/>
      <c r="NY17" s="637"/>
      <c r="NZ17" s="637"/>
      <c r="OA17" s="637"/>
      <c r="OB17" s="637"/>
      <c r="OC17" s="637"/>
      <c r="OD17" s="637"/>
      <c r="OE17" s="637"/>
      <c r="OF17" s="637"/>
      <c r="OG17" s="637"/>
      <c r="OH17" s="637"/>
      <c r="OI17" s="637"/>
      <c r="OJ17" s="637"/>
      <c r="OK17" s="637"/>
      <c r="OL17" s="637"/>
      <c r="OM17" s="637"/>
      <c r="ON17" s="637"/>
      <c r="OO17" s="637"/>
      <c r="OP17" s="637"/>
      <c r="OQ17" s="637"/>
      <c r="OR17" s="637"/>
      <c r="OS17" s="637"/>
      <c r="OT17" s="637"/>
      <c r="OU17" s="637"/>
      <c r="OV17" s="637"/>
      <c r="OW17" s="637"/>
      <c r="OX17" s="637"/>
      <c r="OY17" s="637"/>
      <c r="OZ17" s="637"/>
      <c r="PA17" s="637"/>
      <c r="PB17" s="637"/>
      <c r="PC17" s="637"/>
      <c r="PD17" s="637"/>
      <c r="PE17" s="637"/>
      <c r="PF17" s="637"/>
      <c r="PG17" s="637"/>
      <c r="PH17" s="637"/>
      <c r="PI17" s="637"/>
      <c r="PJ17" s="637"/>
      <c r="PK17" s="637"/>
      <c r="PL17" s="637"/>
      <c r="PM17" s="637"/>
      <c r="PN17" s="637"/>
      <c r="PO17" s="637"/>
      <c r="PP17" s="637"/>
      <c r="PQ17" s="637"/>
      <c r="PR17" s="637"/>
      <c r="PS17" s="637"/>
      <c r="PT17" s="637"/>
      <c r="PU17" s="637"/>
      <c r="PV17" s="637"/>
      <c r="PW17" s="637"/>
      <c r="PX17" s="637"/>
      <c r="PY17" s="637"/>
      <c r="PZ17" s="637"/>
      <c r="QA17" s="637"/>
      <c r="QB17" s="637"/>
      <c r="QC17" s="637"/>
      <c r="QD17" s="637"/>
      <c r="QE17" s="637"/>
      <c r="QF17" s="637"/>
      <c r="QG17" s="637"/>
      <c r="QH17" s="637"/>
      <c r="QI17" s="637"/>
      <c r="QJ17" s="637"/>
      <c r="QK17" s="637"/>
      <c r="QL17" s="637"/>
      <c r="QM17" s="637"/>
      <c r="QN17" s="637"/>
      <c r="QO17" s="637"/>
      <c r="QP17" s="637"/>
      <c r="QQ17" s="637"/>
      <c r="QR17" s="637"/>
      <c r="QS17" s="637"/>
      <c r="QT17" s="637"/>
      <c r="QU17" s="637"/>
      <c r="QV17" s="637"/>
      <c r="QW17" s="637"/>
      <c r="QX17" s="637"/>
      <c r="QY17" s="637"/>
      <c r="QZ17" s="637"/>
      <c r="RA17" s="637"/>
      <c r="RB17" s="637"/>
      <c r="RC17" s="637"/>
      <c r="RD17" s="637"/>
      <c r="RE17" s="637"/>
      <c r="RF17" s="637"/>
      <c r="RG17" s="637"/>
      <c r="RH17" s="637"/>
      <c r="RI17" s="637"/>
      <c r="RJ17" s="637"/>
      <c r="RK17" s="637"/>
      <c r="RL17" s="637"/>
      <c r="RM17" s="637"/>
      <c r="RN17" s="637"/>
      <c r="RO17" s="637"/>
      <c r="RP17" s="637"/>
      <c r="RQ17" s="637"/>
      <c r="RR17" s="637"/>
      <c r="RS17" s="637"/>
      <c r="RT17" s="637"/>
      <c r="RU17" s="637"/>
      <c r="RV17" s="637"/>
      <c r="RW17" s="637"/>
      <c r="RX17" s="637"/>
      <c r="RY17" s="637"/>
      <c r="RZ17" s="637"/>
      <c r="SA17" s="637"/>
      <c r="SB17" s="637"/>
      <c r="SC17" s="637"/>
      <c r="SD17" s="637"/>
      <c r="SE17" s="637"/>
      <c r="SF17" s="637"/>
      <c r="SG17" s="637"/>
      <c r="SH17" s="637"/>
      <c r="SI17" s="637"/>
      <c r="SJ17" s="637"/>
      <c r="SK17" s="637"/>
      <c r="SL17" s="637"/>
      <c r="SM17" s="637"/>
      <c r="SN17" s="637"/>
      <c r="SO17" s="637"/>
      <c r="SP17" s="637"/>
      <c r="SQ17" s="637"/>
      <c r="SR17" s="637"/>
      <c r="SS17" s="637"/>
      <c r="ST17" s="637"/>
      <c r="SU17" s="637"/>
      <c r="SV17" s="637"/>
      <c r="SW17" s="637"/>
      <c r="SX17" s="637"/>
      <c r="SY17" s="637"/>
      <c r="SZ17" s="637"/>
      <c r="TA17" s="637"/>
      <c r="TB17" s="637"/>
      <c r="TC17" s="637"/>
      <c r="TD17" s="637"/>
      <c r="TE17" s="637"/>
      <c r="TF17" s="637"/>
      <c r="TG17" s="637"/>
      <c r="TH17" s="637"/>
      <c r="TI17" s="637"/>
      <c r="TJ17" s="637"/>
      <c r="TK17" s="637"/>
      <c r="TL17" s="637"/>
      <c r="TM17" s="637"/>
      <c r="TN17" s="637"/>
      <c r="TO17" s="637"/>
      <c r="TP17" s="637"/>
      <c r="TQ17" s="637"/>
      <c r="TR17" s="637"/>
      <c r="TS17" s="637"/>
      <c r="TT17" s="637"/>
      <c r="TU17" s="637"/>
      <c r="TV17" s="637"/>
      <c r="TW17" s="637"/>
      <c r="TX17" s="637"/>
      <c r="TY17" s="637"/>
      <c r="TZ17" s="637"/>
      <c r="UA17" s="637"/>
      <c r="UB17" s="637"/>
      <c r="UC17" s="637"/>
      <c r="UD17" s="637"/>
      <c r="UE17" s="637"/>
      <c r="UF17" s="637"/>
      <c r="UG17" s="637"/>
      <c r="UH17" s="637"/>
      <c r="UI17" s="637"/>
      <c r="UJ17" s="637"/>
      <c r="UK17" s="637"/>
      <c r="UL17" s="637"/>
      <c r="UM17" s="637"/>
      <c r="UN17" s="637"/>
      <c r="UO17" s="637"/>
      <c r="UP17" s="637"/>
      <c r="UQ17" s="637"/>
      <c r="UR17" s="637"/>
      <c r="US17" s="637"/>
      <c r="UT17" s="637"/>
      <c r="UU17" s="637"/>
      <c r="UV17" s="637"/>
      <c r="UW17" s="637"/>
      <c r="UX17" s="637"/>
      <c r="UY17" s="637"/>
      <c r="UZ17" s="637"/>
      <c r="VA17" s="637"/>
      <c r="VB17" s="637"/>
      <c r="VC17" s="637"/>
      <c r="VD17" s="637"/>
      <c r="VE17" s="637"/>
      <c r="VF17" s="637"/>
      <c r="VG17" s="637"/>
      <c r="VH17" s="637"/>
      <c r="VI17" s="637"/>
      <c r="VJ17" s="637"/>
      <c r="VK17" s="637"/>
      <c r="VL17" s="637"/>
      <c r="VM17" s="637"/>
      <c r="VN17" s="637"/>
      <c r="VO17" s="637"/>
      <c r="VP17" s="637"/>
      <c r="VQ17" s="637"/>
      <c r="VR17" s="637"/>
      <c r="VS17" s="637"/>
      <c r="VT17" s="637"/>
      <c r="VU17" s="637"/>
      <c r="VV17" s="637"/>
      <c r="VW17" s="637"/>
      <c r="VX17" s="637"/>
      <c r="VY17" s="637"/>
      <c r="VZ17" s="637"/>
      <c r="WA17" s="637"/>
      <c r="WB17" s="637"/>
      <c r="WC17" s="637"/>
      <c r="WD17" s="637"/>
      <c r="WE17" s="637"/>
      <c r="WF17" s="637"/>
      <c r="WG17" s="637"/>
      <c r="WH17" s="637"/>
      <c r="WI17" s="637"/>
      <c r="WJ17" s="637"/>
      <c r="WK17" s="637"/>
      <c r="WL17" s="637"/>
      <c r="WM17" s="637"/>
      <c r="WN17" s="637"/>
      <c r="WO17" s="637"/>
      <c r="WP17" s="637"/>
      <c r="WQ17" s="637"/>
      <c r="WR17" s="637"/>
      <c r="WS17" s="637"/>
      <c r="WT17" s="637"/>
      <c r="WU17" s="637"/>
      <c r="WV17" s="637"/>
      <c r="WW17" s="637"/>
      <c r="WX17" s="637"/>
      <c r="WY17" s="637"/>
      <c r="WZ17" s="637"/>
      <c r="XA17" s="637"/>
      <c r="XB17" s="637"/>
      <c r="XC17" s="637"/>
      <c r="XD17" s="637"/>
      <c r="XE17" s="637"/>
      <c r="XF17" s="637"/>
      <c r="XG17" s="637"/>
      <c r="XH17" s="637"/>
      <c r="XI17" s="637"/>
      <c r="XJ17" s="637"/>
      <c r="XK17" s="637"/>
      <c r="XL17" s="637"/>
      <c r="XM17" s="637"/>
      <c r="XN17" s="637"/>
      <c r="XO17" s="637"/>
      <c r="XP17" s="637"/>
      <c r="XQ17" s="637"/>
      <c r="XR17" s="637"/>
      <c r="XS17" s="637"/>
      <c r="XT17" s="637"/>
      <c r="XU17" s="637"/>
      <c r="XV17" s="637"/>
      <c r="XW17" s="637"/>
      <c r="XX17" s="637"/>
      <c r="XY17" s="637"/>
      <c r="XZ17" s="637"/>
      <c r="YA17" s="637"/>
      <c r="YB17" s="637"/>
      <c r="YC17" s="637"/>
      <c r="YD17" s="637"/>
      <c r="YE17" s="637"/>
      <c r="YF17" s="637"/>
      <c r="YG17" s="637"/>
      <c r="YH17" s="637"/>
      <c r="YI17" s="637"/>
      <c r="YJ17" s="637"/>
      <c r="YK17" s="637"/>
      <c r="YL17" s="637"/>
      <c r="YM17" s="637"/>
      <c r="YN17" s="637"/>
      <c r="YO17" s="637"/>
      <c r="YP17" s="637"/>
      <c r="YQ17" s="637"/>
      <c r="YR17" s="637"/>
      <c r="YS17" s="637"/>
      <c r="YT17" s="637"/>
      <c r="YU17" s="637"/>
      <c r="YV17" s="637"/>
      <c r="YW17" s="637"/>
      <c r="YX17" s="637"/>
      <c r="YY17" s="637"/>
      <c r="YZ17" s="637"/>
      <c r="ZA17" s="637"/>
      <c r="ZB17" s="637"/>
      <c r="ZC17" s="637"/>
      <c r="ZD17" s="637"/>
      <c r="ZE17" s="637"/>
      <c r="ZF17" s="637"/>
      <c r="ZG17" s="637"/>
      <c r="ZH17" s="637"/>
      <c r="ZI17" s="637"/>
      <c r="ZJ17" s="637"/>
      <c r="ZK17" s="637"/>
      <c r="ZL17" s="637"/>
      <c r="ZM17" s="637"/>
      <c r="ZN17" s="637"/>
      <c r="ZO17" s="637"/>
      <c r="ZP17" s="637"/>
      <c r="ZQ17" s="637"/>
      <c r="ZR17" s="637"/>
      <c r="ZS17" s="637"/>
      <c r="ZT17" s="637"/>
      <c r="ZU17" s="637"/>
      <c r="ZV17" s="637"/>
      <c r="ZW17" s="637"/>
      <c r="ZX17" s="637"/>
      <c r="ZY17" s="637"/>
      <c r="ZZ17" s="637"/>
      <c r="AAA17" s="637"/>
      <c r="AAB17" s="637"/>
      <c r="AAC17" s="637"/>
      <c r="AAD17" s="637"/>
      <c r="AAE17" s="637"/>
      <c r="AAF17" s="637"/>
      <c r="AAG17" s="637"/>
      <c r="AAH17" s="637"/>
      <c r="AAI17" s="637"/>
      <c r="AAJ17" s="637"/>
      <c r="AAK17" s="637"/>
      <c r="AAL17" s="637"/>
      <c r="AAM17" s="637"/>
      <c r="AAN17" s="637"/>
      <c r="AAO17" s="637"/>
      <c r="AAP17" s="637"/>
      <c r="AAQ17" s="637"/>
      <c r="AAR17" s="637"/>
      <c r="AAS17" s="637"/>
      <c r="AAT17" s="637"/>
      <c r="AAU17" s="637"/>
      <c r="AAV17" s="637"/>
      <c r="AAW17" s="637"/>
      <c r="AAX17" s="637"/>
      <c r="AAY17" s="637"/>
      <c r="AAZ17" s="637"/>
      <c r="ABA17" s="637"/>
      <c r="ABB17" s="637"/>
      <c r="ABC17" s="637"/>
      <c r="ABD17" s="637"/>
      <c r="ABE17" s="637"/>
      <c r="ABF17" s="637"/>
      <c r="ABG17" s="637"/>
      <c r="ABH17" s="637"/>
      <c r="ABI17" s="637"/>
      <c r="ABJ17" s="637"/>
      <c r="ABK17" s="637"/>
      <c r="ABL17" s="637"/>
      <c r="ABM17" s="637"/>
      <c r="ABN17" s="637"/>
      <c r="ABO17" s="637"/>
      <c r="ABP17" s="637"/>
      <c r="ABQ17" s="637"/>
      <c r="ABR17" s="637"/>
      <c r="ABS17" s="637"/>
      <c r="ABT17" s="637"/>
      <c r="ABU17" s="637"/>
      <c r="ABV17" s="637"/>
      <c r="ABW17" s="637"/>
      <c r="ABX17" s="637"/>
      <c r="ABY17" s="637"/>
      <c r="ABZ17" s="637"/>
      <c r="ACA17" s="637"/>
      <c r="ACB17" s="637"/>
      <c r="ACC17" s="637"/>
      <c r="ACD17" s="637"/>
      <c r="ACE17" s="637"/>
      <c r="ACF17" s="637"/>
      <c r="ACG17" s="637"/>
      <c r="ACH17" s="637"/>
      <c r="ACI17" s="637"/>
      <c r="ACJ17" s="637"/>
      <c r="ACK17" s="637"/>
      <c r="ACL17" s="637"/>
      <c r="ACM17" s="637"/>
      <c r="ACN17" s="637"/>
      <c r="ACO17" s="637"/>
      <c r="ACP17" s="637"/>
      <c r="ACQ17" s="637"/>
      <c r="ACR17" s="637"/>
      <c r="ACS17" s="637"/>
      <c r="ACT17" s="637"/>
      <c r="ACU17" s="637"/>
      <c r="ACV17" s="637"/>
      <c r="ACW17" s="637"/>
      <c r="ACX17" s="637"/>
      <c r="ACY17" s="637"/>
      <c r="ACZ17" s="637"/>
      <c r="ADA17" s="637"/>
      <c r="ADB17" s="637"/>
      <c r="ADC17" s="637"/>
      <c r="ADD17" s="637"/>
      <c r="ADE17" s="637"/>
      <c r="ADF17" s="637"/>
      <c r="ADG17" s="637"/>
      <c r="ADH17" s="637"/>
      <c r="ADI17" s="637"/>
      <c r="ADJ17" s="637"/>
      <c r="ADK17" s="637"/>
      <c r="ADL17" s="637"/>
      <c r="ADM17" s="637"/>
      <c r="ADN17" s="637"/>
      <c r="ADO17" s="637"/>
      <c r="ADP17" s="637"/>
      <c r="ADQ17" s="637"/>
      <c r="ADR17" s="637"/>
      <c r="ADS17" s="637"/>
      <c r="ADT17" s="637"/>
      <c r="ADU17" s="637"/>
      <c r="ADV17" s="637"/>
      <c r="ADW17" s="637"/>
      <c r="ADX17" s="637"/>
      <c r="ADY17" s="637"/>
      <c r="ADZ17" s="637"/>
      <c r="AEA17" s="637"/>
      <c r="AEB17" s="637"/>
      <c r="AEC17" s="637"/>
      <c r="AED17" s="637"/>
      <c r="AEE17" s="637"/>
      <c r="AEF17" s="637"/>
      <c r="AEG17" s="637"/>
      <c r="AEH17" s="637"/>
      <c r="AEI17" s="637"/>
      <c r="AEJ17" s="637"/>
      <c r="AEK17" s="637"/>
      <c r="AEL17" s="637"/>
      <c r="AEM17" s="637"/>
      <c r="AEN17" s="637"/>
      <c r="AEO17" s="637"/>
      <c r="AEP17" s="637"/>
      <c r="AEQ17" s="637"/>
      <c r="AER17" s="637"/>
      <c r="AES17" s="637"/>
      <c r="AET17" s="637"/>
      <c r="AEU17" s="637"/>
      <c r="AEV17" s="637"/>
      <c r="AEW17" s="637"/>
      <c r="AEX17" s="637"/>
      <c r="AEY17" s="637"/>
      <c r="AEZ17" s="637"/>
      <c r="AFA17" s="637"/>
      <c r="AFB17" s="637"/>
      <c r="AFC17" s="637"/>
      <c r="AFD17" s="637"/>
      <c r="AFE17" s="637"/>
      <c r="AFF17" s="637"/>
      <c r="AFG17" s="637"/>
      <c r="AFH17" s="637"/>
      <c r="AFI17" s="637"/>
      <c r="AFJ17" s="637"/>
      <c r="AFK17" s="637"/>
      <c r="AFL17" s="637"/>
      <c r="AFM17" s="637"/>
      <c r="AFN17" s="637"/>
      <c r="AFO17" s="637"/>
      <c r="AFP17" s="637"/>
      <c r="AFQ17" s="637"/>
      <c r="AFR17" s="637"/>
      <c r="AFS17" s="637"/>
      <c r="AFT17" s="637"/>
      <c r="AFU17" s="637"/>
      <c r="AFV17" s="637"/>
      <c r="AFW17" s="637"/>
      <c r="AFX17" s="637"/>
      <c r="AFY17" s="637"/>
      <c r="AFZ17" s="637"/>
      <c r="AGA17" s="637"/>
      <c r="AGB17" s="637"/>
      <c r="AGC17" s="637"/>
      <c r="AGD17" s="637"/>
      <c r="AGE17" s="637"/>
      <c r="AGF17" s="637"/>
      <c r="AGG17" s="637"/>
      <c r="AGH17" s="637"/>
      <c r="AGI17" s="637"/>
      <c r="AGJ17" s="637"/>
      <c r="AGK17" s="637"/>
      <c r="AGL17" s="637"/>
      <c r="AGM17" s="637"/>
      <c r="AGN17" s="637"/>
      <c r="AGO17" s="637"/>
      <c r="AGP17" s="637"/>
      <c r="AGQ17" s="637"/>
      <c r="AGR17" s="637"/>
      <c r="AGS17" s="637"/>
      <c r="AGT17" s="637"/>
      <c r="AGU17" s="637"/>
      <c r="AGV17" s="637"/>
      <c r="AGW17" s="637"/>
      <c r="AGX17" s="637"/>
      <c r="AGY17" s="637"/>
      <c r="AGZ17" s="637"/>
      <c r="AHA17" s="637"/>
      <c r="AHB17" s="637"/>
      <c r="AHC17" s="637"/>
      <c r="AHD17" s="637"/>
      <c r="AHE17" s="637"/>
      <c r="AHF17" s="637"/>
      <c r="AHG17" s="637"/>
      <c r="AHH17" s="637"/>
      <c r="AHI17" s="637"/>
      <c r="AHJ17" s="637"/>
      <c r="AHK17" s="637"/>
      <c r="AHL17" s="637"/>
      <c r="AHM17" s="637"/>
      <c r="AHN17" s="637"/>
      <c r="AHO17" s="637"/>
      <c r="AHP17" s="637"/>
      <c r="AHQ17" s="637"/>
      <c r="AHR17" s="637"/>
      <c r="AHS17" s="637"/>
      <c r="AHT17" s="637"/>
      <c r="AHU17" s="637"/>
      <c r="AHV17" s="637"/>
      <c r="AHW17" s="637"/>
      <c r="AHX17" s="637"/>
      <c r="AHY17" s="637"/>
      <c r="AHZ17" s="637"/>
      <c r="AIA17" s="637"/>
      <c r="AIB17" s="637"/>
      <c r="AIC17" s="637"/>
      <c r="AID17" s="637"/>
      <c r="AIE17" s="637"/>
      <c r="AIF17" s="637"/>
      <c r="AIG17" s="637"/>
      <c r="AIH17" s="637"/>
      <c r="AII17" s="637"/>
      <c r="AIJ17" s="637"/>
      <c r="AIK17" s="637"/>
      <c r="AIL17" s="637"/>
      <c r="AIM17" s="637"/>
      <c r="AIN17" s="637"/>
      <c r="AIO17" s="637"/>
      <c r="AIP17" s="637"/>
      <c r="AIQ17" s="637"/>
      <c r="AIR17" s="637"/>
      <c r="AIS17" s="637"/>
      <c r="AIT17" s="637"/>
      <c r="AIU17" s="637"/>
      <c r="AIV17" s="637"/>
      <c r="AIW17" s="637"/>
      <c r="AIX17" s="637"/>
      <c r="AIY17" s="637"/>
      <c r="AIZ17" s="637"/>
      <c r="AJA17" s="637"/>
      <c r="AJB17" s="637"/>
      <c r="AJC17" s="637"/>
      <c r="AJD17" s="637"/>
      <c r="AJE17" s="637"/>
      <c r="AJF17" s="637"/>
      <c r="AJG17" s="637"/>
      <c r="AJH17" s="637"/>
      <c r="AJI17" s="637"/>
      <c r="AJJ17" s="637"/>
      <c r="AJK17" s="637"/>
      <c r="AJL17" s="637"/>
      <c r="AJM17" s="637"/>
      <c r="AJN17" s="637"/>
      <c r="AJO17" s="637"/>
      <c r="AJP17" s="637"/>
      <c r="AJQ17" s="637"/>
      <c r="AJR17" s="637"/>
      <c r="AJS17" s="637"/>
      <c r="AJT17" s="637"/>
      <c r="AJU17" s="637"/>
      <c r="AJV17" s="637"/>
      <c r="AJW17" s="637"/>
      <c r="AJX17" s="637"/>
      <c r="AJY17" s="637"/>
      <c r="AJZ17" s="637"/>
      <c r="AKA17" s="637"/>
      <c r="AKB17" s="637"/>
      <c r="AKC17" s="637"/>
      <c r="AKD17" s="637"/>
      <c r="AKE17" s="637"/>
      <c r="AKF17" s="637"/>
      <c r="AKG17" s="637"/>
      <c r="AKH17" s="637"/>
      <c r="AKI17" s="637"/>
      <c r="AKJ17" s="637"/>
      <c r="AKK17" s="637"/>
      <c r="AKL17" s="637"/>
      <c r="AKM17" s="637"/>
      <c r="AKN17" s="637"/>
      <c r="AKO17" s="637"/>
      <c r="AKP17" s="637"/>
      <c r="AKQ17" s="637"/>
      <c r="AKR17" s="637"/>
      <c r="AKS17" s="637"/>
      <c r="AKT17" s="637"/>
      <c r="AKU17" s="637"/>
      <c r="AKV17" s="637"/>
      <c r="AKW17" s="637"/>
      <c r="AKX17" s="637"/>
      <c r="AKY17" s="637"/>
      <c r="AKZ17" s="637"/>
      <c r="ALA17" s="637"/>
      <c r="ALB17" s="637"/>
      <c r="ALC17" s="637"/>
      <c r="ALD17" s="637"/>
      <c r="ALE17" s="637"/>
      <c r="ALF17" s="637"/>
      <c r="ALG17" s="637"/>
      <c r="ALH17" s="637"/>
      <c r="ALI17" s="637"/>
      <c r="ALJ17" s="637"/>
      <c r="ALK17" s="637"/>
      <c r="ALL17" s="637"/>
      <c r="ALM17" s="637"/>
      <c r="ALN17" s="637"/>
      <c r="ALO17" s="637"/>
      <c r="ALP17" s="637"/>
      <c r="ALQ17" s="637"/>
      <c r="ALR17" s="637"/>
      <c r="ALS17" s="637"/>
      <c r="ALT17" s="637"/>
      <c r="ALU17" s="637"/>
      <c r="ALV17" s="637"/>
      <c r="ALW17" s="637"/>
      <c r="ALX17" s="637"/>
      <c r="ALY17" s="637"/>
      <c r="ALZ17" s="637"/>
      <c r="AMA17" s="637"/>
      <c r="AMB17" s="637"/>
      <c r="AMC17" s="637"/>
      <c r="AMD17" s="637"/>
      <c r="AME17" s="637"/>
      <c r="AMF17" s="637"/>
      <c r="AMG17" s="637"/>
      <c r="AMH17" s="637"/>
      <c r="AMI17" s="637"/>
      <c r="AMJ17" s="637"/>
    </row>
    <row r="18" spans="1:1024" s="638" customFormat="1" ht="12.75">
      <c r="A18" s="984"/>
      <c r="B18" s="985"/>
      <c r="C18" s="986"/>
      <c r="D18" s="981" t="s">
        <v>1041</v>
      </c>
      <c r="E18" s="982">
        <v>3832</v>
      </c>
      <c r="F18" s="982">
        <f t="shared" si="1"/>
        <v>4945</v>
      </c>
      <c r="G18" s="987">
        <v>3428</v>
      </c>
      <c r="H18" s="987">
        <v>1002</v>
      </c>
      <c r="I18" s="987">
        <v>504</v>
      </c>
      <c r="J18" s="987">
        <v>11</v>
      </c>
      <c r="K18" s="987"/>
      <c r="L18" s="987"/>
      <c r="M18" s="987"/>
      <c r="N18" s="987"/>
      <c r="O18" s="987"/>
      <c r="P18" s="987"/>
      <c r="Q18" s="987"/>
      <c r="R18" s="984"/>
      <c r="S18" s="637"/>
      <c r="T18" s="637"/>
      <c r="U18" s="637"/>
      <c r="V18" s="637"/>
      <c r="W18" s="637"/>
      <c r="X18" s="637"/>
      <c r="Y18" s="637"/>
      <c r="Z18" s="637"/>
      <c r="AA18" s="637"/>
      <c r="AB18" s="637"/>
      <c r="AC18" s="637"/>
      <c r="AD18" s="637"/>
      <c r="AE18" s="637"/>
      <c r="AF18" s="637"/>
      <c r="AG18" s="637"/>
      <c r="AH18" s="637"/>
      <c r="AI18" s="637"/>
      <c r="AJ18" s="637"/>
      <c r="AK18" s="637"/>
      <c r="AL18" s="637"/>
      <c r="AM18" s="637"/>
      <c r="AN18" s="637"/>
      <c r="AO18" s="637"/>
      <c r="AP18" s="637"/>
      <c r="AQ18" s="637"/>
      <c r="AR18" s="637"/>
      <c r="AS18" s="637"/>
      <c r="AT18" s="637"/>
      <c r="AU18" s="637"/>
      <c r="AV18" s="637"/>
      <c r="AW18" s="637"/>
      <c r="AX18" s="637"/>
      <c r="AY18" s="637"/>
      <c r="AZ18" s="637"/>
      <c r="BA18" s="637"/>
      <c r="BB18" s="637"/>
      <c r="BC18" s="637"/>
      <c r="BD18" s="637"/>
      <c r="BE18" s="637"/>
      <c r="BF18" s="637"/>
      <c r="BG18" s="637"/>
      <c r="BH18" s="637"/>
      <c r="BI18" s="637"/>
      <c r="BJ18" s="637"/>
      <c r="BK18" s="637"/>
      <c r="BL18" s="637"/>
      <c r="BM18" s="637"/>
      <c r="BN18" s="637"/>
      <c r="BO18" s="637"/>
      <c r="BP18" s="637"/>
      <c r="BQ18" s="637"/>
      <c r="BR18" s="637"/>
      <c r="BS18" s="637"/>
      <c r="BT18" s="637"/>
      <c r="BU18" s="637"/>
      <c r="BV18" s="637"/>
      <c r="BW18" s="637"/>
      <c r="BX18" s="637"/>
      <c r="BY18" s="637"/>
      <c r="BZ18" s="637"/>
      <c r="CA18" s="637"/>
      <c r="CB18" s="637"/>
      <c r="CC18" s="637"/>
      <c r="CD18" s="637"/>
      <c r="CE18" s="637"/>
      <c r="CF18" s="637"/>
      <c r="CG18" s="637"/>
      <c r="CH18" s="637"/>
      <c r="CI18" s="637"/>
      <c r="CJ18" s="637"/>
      <c r="CK18" s="637"/>
      <c r="CL18" s="637"/>
      <c r="CM18" s="637"/>
      <c r="CN18" s="637"/>
      <c r="CO18" s="637"/>
      <c r="CP18" s="637"/>
      <c r="CQ18" s="637"/>
      <c r="CR18" s="637"/>
      <c r="CS18" s="637"/>
      <c r="CT18" s="637"/>
      <c r="CU18" s="637"/>
      <c r="CV18" s="637"/>
      <c r="CW18" s="637"/>
      <c r="CX18" s="637"/>
      <c r="CY18" s="637"/>
      <c r="CZ18" s="637"/>
      <c r="DA18" s="637"/>
      <c r="DB18" s="637"/>
      <c r="DC18" s="637"/>
      <c r="DD18" s="637"/>
      <c r="DE18" s="637"/>
      <c r="DF18" s="637"/>
      <c r="DG18" s="637"/>
      <c r="DH18" s="637"/>
      <c r="DI18" s="637"/>
      <c r="DJ18" s="637"/>
      <c r="DK18" s="637"/>
      <c r="DL18" s="637"/>
      <c r="DM18" s="637"/>
      <c r="DN18" s="637"/>
      <c r="DO18" s="637"/>
      <c r="DP18" s="637"/>
      <c r="DQ18" s="637"/>
      <c r="DR18" s="637"/>
      <c r="DS18" s="637"/>
      <c r="DT18" s="637"/>
      <c r="DU18" s="637"/>
      <c r="DV18" s="637"/>
      <c r="DW18" s="637"/>
      <c r="DX18" s="637"/>
      <c r="DY18" s="637"/>
      <c r="DZ18" s="637"/>
      <c r="EA18" s="637"/>
      <c r="EB18" s="637"/>
      <c r="EC18" s="637"/>
      <c r="ED18" s="637"/>
      <c r="EE18" s="637"/>
      <c r="EF18" s="637"/>
      <c r="EG18" s="637"/>
      <c r="EH18" s="637"/>
      <c r="EI18" s="637"/>
      <c r="EJ18" s="637"/>
      <c r="EK18" s="637"/>
      <c r="EL18" s="637"/>
      <c r="EM18" s="637"/>
      <c r="EN18" s="637"/>
      <c r="EO18" s="637"/>
      <c r="EP18" s="637"/>
      <c r="EQ18" s="637"/>
      <c r="ER18" s="637"/>
      <c r="ES18" s="637"/>
      <c r="ET18" s="637"/>
      <c r="EU18" s="637"/>
      <c r="EV18" s="637"/>
      <c r="EW18" s="637"/>
      <c r="EX18" s="637"/>
      <c r="EY18" s="637"/>
      <c r="EZ18" s="637"/>
      <c r="FA18" s="637"/>
      <c r="FB18" s="637"/>
      <c r="FC18" s="637"/>
      <c r="FD18" s="637"/>
      <c r="FE18" s="637"/>
      <c r="FF18" s="637"/>
      <c r="FG18" s="637"/>
      <c r="FH18" s="637"/>
      <c r="FI18" s="637"/>
      <c r="FJ18" s="637"/>
      <c r="FK18" s="637"/>
      <c r="FL18" s="637"/>
      <c r="FM18" s="637"/>
      <c r="FN18" s="637"/>
      <c r="FO18" s="637"/>
      <c r="FP18" s="637"/>
      <c r="FQ18" s="637"/>
      <c r="FR18" s="637"/>
      <c r="FS18" s="637"/>
      <c r="FT18" s="637"/>
      <c r="FU18" s="637"/>
      <c r="FV18" s="637"/>
      <c r="FW18" s="637"/>
      <c r="FX18" s="637"/>
      <c r="FY18" s="637"/>
      <c r="FZ18" s="637"/>
      <c r="GA18" s="637"/>
      <c r="GB18" s="637"/>
      <c r="GC18" s="637"/>
      <c r="GD18" s="637"/>
      <c r="GE18" s="637"/>
      <c r="GF18" s="637"/>
      <c r="GG18" s="637"/>
      <c r="GH18" s="637"/>
      <c r="GI18" s="637"/>
      <c r="GJ18" s="637"/>
      <c r="GK18" s="637"/>
      <c r="GL18" s="637"/>
      <c r="GM18" s="637"/>
      <c r="GN18" s="637"/>
      <c r="GO18" s="637"/>
      <c r="GP18" s="637"/>
      <c r="GQ18" s="637"/>
      <c r="GR18" s="637"/>
      <c r="GS18" s="637"/>
      <c r="GT18" s="637"/>
      <c r="GU18" s="637"/>
      <c r="GV18" s="637"/>
      <c r="GW18" s="637"/>
      <c r="GX18" s="637"/>
      <c r="GY18" s="637"/>
      <c r="GZ18" s="637"/>
      <c r="HA18" s="637"/>
      <c r="HB18" s="637"/>
      <c r="HC18" s="637"/>
      <c r="HD18" s="637"/>
      <c r="HE18" s="637"/>
      <c r="HF18" s="637"/>
      <c r="HG18" s="637"/>
      <c r="HH18" s="637"/>
      <c r="HI18" s="637"/>
      <c r="HJ18" s="637"/>
      <c r="HK18" s="637"/>
      <c r="HL18" s="637"/>
      <c r="HM18" s="637"/>
      <c r="HN18" s="637"/>
      <c r="HO18" s="637"/>
      <c r="HP18" s="637"/>
      <c r="HQ18" s="637"/>
      <c r="HR18" s="637"/>
      <c r="HS18" s="637"/>
      <c r="HT18" s="637"/>
      <c r="HU18" s="637"/>
      <c r="HV18" s="637"/>
      <c r="HW18" s="637"/>
      <c r="HX18" s="637"/>
      <c r="HY18" s="637"/>
      <c r="HZ18" s="637"/>
      <c r="IA18" s="637"/>
      <c r="IB18" s="637"/>
      <c r="IC18" s="637"/>
      <c r="ID18" s="637"/>
      <c r="IE18" s="637"/>
      <c r="IF18" s="637"/>
      <c r="IG18" s="637"/>
      <c r="IH18" s="637"/>
      <c r="II18" s="637"/>
      <c r="IJ18" s="637"/>
      <c r="IK18" s="637"/>
      <c r="IL18" s="637"/>
      <c r="IM18" s="637"/>
      <c r="IN18" s="637"/>
      <c r="IO18" s="637"/>
      <c r="IP18" s="637"/>
      <c r="IQ18" s="637"/>
      <c r="IR18" s="637"/>
      <c r="IS18" s="637"/>
      <c r="IT18" s="637"/>
      <c r="IU18" s="637"/>
      <c r="IV18" s="637"/>
      <c r="IW18" s="637"/>
      <c r="IX18" s="637"/>
      <c r="IY18" s="637"/>
      <c r="IZ18" s="637"/>
      <c r="JA18" s="637"/>
      <c r="JB18" s="637"/>
      <c r="JC18" s="637"/>
      <c r="JD18" s="637"/>
      <c r="JE18" s="637"/>
      <c r="JF18" s="637"/>
      <c r="JG18" s="637"/>
      <c r="JH18" s="637"/>
      <c r="JI18" s="637"/>
      <c r="JJ18" s="637"/>
      <c r="JK18" s="637"/>
      <c r="JL18" s="637"/>
      <c r="JM18" s="637"/>
      <c r="JN18" s="637"/>
      <c r="JO18" s="637"/>
      <c r="JP18" s="637"/>
      <c r="JQ18" s="637"/>
      <c r="JR18" s="637"/>
      <c r="JS18" s="637"/>
      <c r="JT18" s="637"/>
      <c r="JU18" s="637"/>
      <c r="JV18" s="637"/>
      <c r="JW18" s="637"/>
      <c r="JX18" s="637"/>
      <c r="JY18" s="637"/>
      <c r="JZ18" s="637"/>
      <c r="KA18" s="637"/>
      <c r="KB18" s="637"/>
      <c r="KC18" s="637"/>
      <c r="KD18" s="637"/>
      <c r="KE18" s="637"/>
      <c r="KF18" s="637"/>
      <c r="KG18" s="637"/>
      <c r="KH18" s="637"/>
      <c r="KI18" s="637"/>
      <c r="KJ18" s="637"/>
      <c r="KK18" s="637"/>
      <c r="KL18" s="637"/>
      <c r="KM18" s="637"/>
      <c r="KN18" s="637"/>
      <c r="KO18" s="637"/>
      <c r="KP18" s="637"/>
      <c r="KQ18" s="637"/>
      <c r="KR18" s="637"/>
      <c r="KS18" s="637"/>
      <c r="KT18" s="637"/>
      <c r="KU18" s="637"/>
      <c r="KV18" s="637"/>
      <c r="KW18" s="637"/>
      <c r="KX18" s="637"/>
      <c r="KY18" s="637"/>
      <c r="KZ18" s="637"/>
      <c r="LA18" s="637"/>
      <c r="LB18" s="637"/>
      <c r="LC18" s="637"/>
      <c r="LD18" s="637"/>
      <c r="LE18" s="637"/>
      <c r="LF18" s="637"/>
      <c r="LG18" s="637"/>
      <c r="LH18" s="637"/>
      <c r="LI18" s="637"/>
      <c r="LJ18" s="637"/>
      <c r="LK18" s="637"/>
      <c r="LL18" s="637"/>
      <c r="LM18" s="637"/>
      <c r="LN18" s="637"/>
      <c r="LO18" s="637"/>
      <c r="LP18" s="637"/>
      <c r="LQ18" s="637"/>
      <c r="LR18" s="637"/>
      <c r="LS18" s="637"/>
      <c r="LT18" s="637"/>
      <c r="LU18" s="637"/>
      <c r="LV18" s="637"/>
      <c r="LW18" s="637"/>
      <c r="LX18" s="637"/>
      <c r="LY18" s="637"/>
      <c r="LZ18" s="637"/>
      <c r="MA18" s="637"/>
      <c r="MB18" s="637"/>
      <c r="MC18" s="637"/>
      <c r="MD18" s="637"/>
      <c r="ME18" s="637"/>
      <c r="MF18" s="637"/>
      <c r="MG18" s="637"/>
      <c r="MH18" s="637"/>
      <c r="MI18" s="637"/>
      <c r="MJ18" s="637"/>
      <c r="MK18" s="637"/>
      <c r="ML18" s="637"/>
      <c r="MM18" s="637"/>
      <c r="MN18" s="637"/>
      <c r="MO18" s="637"/>
      <c r="MP18" s="637"/>
      <c r="MQ18" s="637"/>
      <c r="MR18" s="637"/>
      <c r="MS18" s="637"/>
      <c r="MT18" s="637"/>
      <c r="MU18" s="637"/>
      <c r="MV18" s="637"/>
      <c r="MW18" s="637"/>
      <c r="MX18" s="637"/>
      <c r="MY18" s="637"/>
      <c r="MZ18" s="637"/>
      <c r="NA18" s="637"/>
      <c r="NB18" s="637"/>
      <c r="NC18" s="637"/>
      <c r="ND18" s="637"/>
      <c r="NE18" s="637"/>
      <c r="NF18" s="637"/>
      <c r="NG18" s="637"/>
      <c r="NH18" s="637"/>
      <c r="NI18" s="637"/>
      <c r="NJ18" s="637"/>
      <c r="NK18" s="637"/>
      <c r="NL18" s="637"/>
      <c r="NM18" s="637"/>
      <c r="NN18" s="637"/>
      <c r="NO18" s="637"/>
      <c r="NP18" s="637"/>
      <c r="NQ18" s="637"/>
      <c r="NR18" s="637"/>
      <c r="NS18" s="637"/>
      <c r="NT18" s="637"/>
      <c r="NU18" s="637"/>
      <c r="NV18" s="637"/>
      <c r="NW18" s="637"/>
      <c r="NX18" s="637"/>
      <c r="NY18" s="637"/>
      <c r="NZ18" s="637"/>
      <c r="OA18" s="637"/>
      <c r="OB18" s="637"/>
      <c r="OC18" s="637"/>
      <c r="OD18" s="637"/>
      <c r="OE18" s="637"/>
      <c r="OF18" s="637"/>
      <c r="OG18" s="637"/>
      <c r="OH18" s="637"/>
      <c r="OI18" s="637"/>
      <c r="OJ18" s="637"/>
      <c r="OK18" s="637"/>
      <c r="OL18" s="637"/>
      <c r="OM18" s="637"/>
      <c r="ON18" s="637"/>
      <c r="OO18" s="637"/>
      <c r="OP18" s="637"/>
      <c r="OQ18" s="637"/>
      <c r="OR18" s="637"/>
      <c r="OS18" s="637"/>
      <c r="OT18" s="637"/>
      <c r="OU18" s="637"/>
      <c r="OV18" s="637"/>
      <c r="OW18" s="637"/>
      <c r="OX18" s="637"/>
      <c r="OY18" s="637"/>
      <c r="OZ18" s="637"/>
      <c r="PA18" s="637"/>
      <c r="PB18" s="637"/>
      <c r="PC18" s="637"/>
      <c r="PD18" s="637"/>
      <c r="PE18" s="637"/>
      <c r="PF18" s="637"/>
      <c r="PG18" s="637"/>
      <c r="PH18" s="637"/>
      <c r="PI18" s="637"/>
      <c r="PJ18" s="637"/>
      <c r="PK18" s="637"/>
      <c r="PL18" s="637"/>
      <c r="PM18" s="637"/>
      <c r="PN18" s="637"/>
      <c r="PO18" s="637"/>
      <c r="PP18" s="637"/>
      <c r="PQ18" s="637"/>
      <c r="PR18" s="637"/>
      <c r="PS18" s="637"/>
      <c r="PT18" s="637"/>
      <c r="PU18" s="637"/>
      <c r="PV18" s="637"/>
      <c r="PW18" s="637"/>
      <c r="PX18" s="637"/>
      <c r="PY18" s="637"/>
      <c r="PZ18" s="637"/>
      <c r="QA18" s="637"/>
      <c r="QB18" s="637"/>
      <c r="QC18" s="637"/>
      <c r="QD18" s="637"/>
      <c r="QE18" s="637"/>
      <c r="QF18" s="637"/>
      <c r="QG18" s="637"/>
      <c r="QH18" s="637"/>
      <c r="QI18" s="637"/>
      <c r="QJ18" s="637"/>
      <c r="QK18" s="637"/>
      <c r="QL18" s="637"/>
      <c r="QM18" s="637"/>
      <c r="QN18" s="637"/>
      <c r="QO18" s="637"/>
      <c r="QP18" s="637"/>
      <c r="QQ18" s="637"/>
      <c r="QR18" s="637"/>
      <c r="QS18" s="637"/>
      <c r="QT18" s="637"/>
      <c r="QU18" s="637"/>
      <c r="QV18" s="637"/>
      <c r="QW18" s="637"/>
      <c r="QX18" s="637"/>
      <c r="QY18" s="637"/>
      <c r="QZ18" s="637"/>
      <c r="RA18" s="637"/>
      <c r="RB18" s="637"/>
      <c r="RC18" s="637"/>
      <c r="RD18" s="637"/>
      <c r="RE18" s="637"/>
      <c r="RF18" s="637"/>
      <c r="RG18" s="637"/>
      <c r="RH18" s="637"/>
      <c r="RI18" s="637"/>
      <c r="RJ18" s="637"/>
      <c r="RK18" s="637"/>
      <c r="RL18" s="637"/>
      <c r="RM18" s="637"/>
      <c r="RN18" s="637"/>
      <c r="RO18" s="637"/>
      <c r="RP18" s="637"/>
      <c r="RQ18" s="637"/>
      <c r="RR18" s="637"/>
      <c r="RS18" s="637"/>
      <c r="RT18" s="637"/>
      <c r="RU18" s="637"/>
      <c r="RV18" s="637"/>
      <c r="RW18" s="637"/>
      <c r="RX18" s="637"/>
      <c r="RY18" s="637"/>
      <c r="RZ18" s="637"/>
      <c r="SA18" s="637"/>
      <c r="SB18" s="637"/>
      <c r="SC18" s="637"/>
      <c r="SD18" s="637"/>
      <c r="SE18" s="637"/>
      <c r="SF18" s="637"/>
      <c r="SG18" s="637"/>
      <c r="SH18" s="637"/>
      <c r="SI18" s="637"/>
      <c r="SJ18" s="637"/>
      <c r="SK18" s="637"/>
      <c r="SL18" s="637"/>
      <c r="SM18" s="637"/>
      <c r="SN18" s="637"/>
      <c r="SO18" s="637"/>
      <c r="SP18" s="637"/>
      <c r="SQ18" s="637"/>
      <c r="SR18" s="637"/>
      <c r="SS18" s="637"/>
      <c r="ST18" s="637"/>
      <c r="SU18" s="637"/>
      <c r="SV18" s="637"/>
      <c r="SW18" s="637"/>
      <c r="SX18" s="637"/>
      <c r="SY18" s="637"/>
      <c r="SZ18" s="637"/>
      <c r="TA18" s="637"/>
      <c r="TB18" s="637"/>
      <c r="TC18" s="637"/>
      <c r="TD18" s="637"/>
      <c r="TE18" s="637"/>
      <c r="TF18" s="637"/>
      <c r="TG18" s="637"/>
      <c r="TH18" s="637"/>
      <c r="TI18" s="637"/>
      <c r="TJ18" s="637"/>
      <c r="TK18" s="637"/>
      <c r="TL18" s="637"/>
      <c r="TM18" s="637"/>
      <c r="TN18" s="637"/>
      <c r="TO18" s="637"/>
      <c r="TP18" s="637"/>
      <c r="TQ18" s="637"/>
      <c r="TR18" s="637"/>
      <c r="TS18" s="637"/>
      <c r="TT18" s="637"/>
      <c r="TU18" s="637"/>
      <c r="TV18" s="637"/>
      <c r="TW18" s="637"/>
      <c r="TX18" s="637"/>
      <c r="TY18" s="637"/>
      <c r="TZ18" s="637"/>
      <c r="UA18" s="637"/>
      <c r="UB18" s="637"/>
      <c r="UC18" s="637"/>
      <c r="UD18" s="637"/>
      <c r="UE18" s="637"/>
      <c r="UF18" s="637"/>
      <c r="UG18" s="637"/>
      <c r="UH18" s="637"/>
      <c r="UI18" s="637"/>
      <c r="UJ18" s="637"/>
      <c r="UK18" s="637"/>
      <c r="UL18" s="637"/>
      <c r="UM18" s="637"/>
      <c r="UN18" s="637"/>
      <c r="UO18" s="637"/>
      <c r="UP18" s="637"/>
      <c r="UQ18" s="637"/>
      <c r="UR18" s="637"/>
      <c r="US18" s="637"/>
      <c r="UT18" s="637"/>
      <c r="UU18" s="637"/>
      <c r="UV18" s="637"/>
      <c r="UW18" s="637"/>
      <c r="UX18" s="637"/>
      <c r="UY18" s="637"/>
      <c r="UZ18" s="637"/>
      <c r="VA18" s="637"/>
      <c r="VB18" s="637"/>
      <c r="VC18" s="637"/>
      <c r="VD18" s="637"/>
      <c r="VE18" s="637"/>
      <c r="VF18" s="637"/>
      <c r="VG18" s="637"/>
      <c r="VH18" s="637"/>
      <c r="VI18" s="637"/>
      <c r="VJ18" s="637"/>
      <c r="VK18" s="637"/>
      <c r="VL18" s="637"/>
      <c r="VM18" s="637"/>
      <c r="VN18" s="637"/>
      <c r="VO18" s="637"/>
      <c r="VP18" s="637"/>
      <c r="VQ18" s="637"/>
      <c r="VR18" s="637"/>
      <c r="VS18" s="637"/>
      <c r="VT18" s="637"/>
      <c r="VU18" s="637"/>
      <c r="VV18" s="637"/>
      <c r="VW18" s="637"/>
      <c r="VX18" s="637"/>
      <c r="VY18" s="637"/>
      <c r="VZ18" s="637"/>
      <c r="WA18" s="637"/>
      <c r="WB18" s="637"/>
      <c r="WC18" s="637"/>
      <c r="WD18" s="637"/>
      <c r="WE18" s="637"/>
      <c r="WF18" s="637"/>
      <c r="WG18" s="637"/>
      <c r="WH18" s="637"/>
      <c r="WI18" s="637"/>
      <c r="WJ18" s="637"/>
      <c r="WK18" s="637"/>
      <c r="WL18" s="637"/>
      <c r="WM18" s="637"/>
      <c r="WN18" s="637"/>
      <c r="WO18" s="637"/>
      <c r="WP18" s="637"/>
      <c r="WQ18" s="637"/>
      <c r="WR18" s="637"/>
      <c r="WS18" s="637"/>
      <c r="WT18" s="637"/>
      <c r="WU18" s="637"/>
      <c r="WV18" s="637"/>
      <c r="WW18" s="637"/>
      <c r="WX18" s="637"/>
      <c r="WY18" s="637"/>
      <c r="WZ18" s="637"/>
      <c r="XA18" s="637"/>
      <c r="XB18" s="637"/>
      <c r="XC18" s="637"/>
      <c r="XD18" s="637"/>
      <c r="XE18" s="637"/>
      <c r="XF18" s="637"/>
      <c r="XG18" s="637"/>
      <c r="XH18" s="637"/>
      <c r="XI18" s="637"/>
      <c r="XJ18" s="637"/>
      <c r="XK18" s="637"/>
      <c r="XL18" s="637"/>
      <c r="XM18" s="637"/>
      <c r="XN18" s="637"/>
      <c r="XO18" s="637"/>
      <c r="XP18" s="637"/>
      <c r="XQ18" s="637"/>
      <c r="XR18" s="637"/>
      <c r="XS18" s="637"/>
      <c r="XT18" s="637"/>
      <c r="XU18" s="637"/>
      <c r="XV18" s="637"/>
      <c r="XW18" s="637"/>
      <c r="XX18" s="637"/>
      <c r="XY18" s="637"/>
      <c r="XZ18" s="637"/>
      <c r="YA18" s="637"/>
      <c r="YB18" s="637"/>
      <c r="YC18" s="637"/>
      <c r="YD18" s="637"/>
      <c r="YE18" s="637"/>
      <c r="YF18" s="637"/>
      <c r="YG18" s="637"/>
      <c r="YH18" s="637"/>
      <c r="YI18" s="637"/>
      <c r="YJ18" s="637"/>
      <c r="YK18" s="637"/>
      <c r="YL18" s="637"/>
      <c r="YM18" s="637"/>
      <c r="YN18" s="637"/>
      <c r="YO18" s="637"/>
      <c r="YP18" s="637"/>
      <c r="YQ18" s="637"/>
      <c r="YR18" s="637"/>
      <c r="YS18" s="637"/>
      <c r="YT18" s="637"/>
      <c r="YU18" s="637"/>
      <c r="YV18" s="637"/>
      <c r="YW18" s="637"/>
      <c r="YX18" s="637"/>
      <c r="YY18" s="637"/>
      <c r="YZ18" s="637"/>
      <c r="ZA18" s="637"/>
      <c r="ZB18" s="637"/>
      <c r="ZC18" s="637"/>
      <c r="ZD18" s="637"/>
      <c r="ZE18" s="637"/>
      <c r="ZF18" s="637"/>
      <c r="ZG18" s="637"/>
      <c r="ZH18" s="637"/>
      <c r="ZI18" s="637"/>
      <c r="ZJ18" s="637"/>
      <c r="ZK18" s="637"/>
      <c r="ZL18" s="637"/>
      <c r="ZM18" s="637"/>
      <c r="ZN18" s="637"/>
      <c r="ZO18" s="637"/>
      <c r="ZP18" s="637"/>
      <c r="ZQ18" s="637"/>
      <c r="ZR18" s="637"/>
      <c r="ZS18" s="637"/>
      <c r="ZT18" s="637"/>
      <c r="ZU18" s="637"/>
      <c r="ZV18" s="637"/>
      <c r="ZW18" s="637"/>
      <c r="ZX18" s="637"/>
      <c r="ZY18" s="637"/>
      <c r="ZZ18" s="637"/>
      <c r="AAA18" s="637"/>
      <c r="AAB18" s="637"/>
      <c r="AAC18" s="637"/>
      <c r="AAD18" s="637"/>
      <c r="AAE18" s="637"/>
      <c r="AAF18" s="637"/>
      <c r="AAG18" s="637"/>
      <c r="AAH18" s="637"/>
      <c r="AAI18" s="637"/>
      <c r="AAJ18" s="637"/>
      <c r="AAK18" s="637"/>
      <c r="AAL18" s="637"/>
      <c r="AAM18" s="637"/>
      <c r="AAN18" s="637"/>
      <c r="AAO18" s="637"/>
      <c r="AAP18" s="637"/>
      <c r="AAQ18" s="637"/>
      <c r="AAR18" s="637"/>
      <c r="AAS18" s="637"/>
      <c r="AAT18" s="637"/>
      <c r="AAU18" s="637"/>
      <c r="AAV18" s="637"/>
      <c r="AAW18" s="637"/>
      <c r="AAX18" s="637"/>
      <c r="AAY18" s="637"/>
      <c r="AAZ18" s="637"/>
      <c r="ABA18" s="637"/>
      <c r="ABB18" s="637"/>
      <c r="ABC18" s="637"/>
      <c r="ABD18" s="637"/>
      <c r="ABE18" s="637"/>
      <c r="ABF18" s="637"/>
      <c r="ABG18" s="637"/>
      <c r="ABH18" s="637"/>
      <c r="ABI18" s="637"/>
      <c r="ABJ18" s="637"/>
      <c r="ABK18" s="637"/>
      <c r="ABL18" s="637"/>
      <c r="ABM18" s="637"/>
      <c r="ABN18" s="637"/>
      <c r="ABO18" s="637"/>
      <c r="ABP18" s="637"/>
      <c r="ABQ18" s="637"/>
      <c r="ABR18" s="637"/>
      <c r="ABS18" s="637"/>
      <c r="ABT18" s="637"/>
      <c r="ABU18" s="637"/>
      <c r="ABV18" s="637"/>
      <c r="ABW18" s="637"/>
      <c r="ABX18" s="637"/>
      <c r="ABY18" s="637"/>
      <c r="ABZ18" s="637"/>
      <c r="ACA18" s="637"/>
      <c r="ACB18" s="637"/>
      <c r="ACC18" s="637"/>
      <c r="ACD18" s="637"/>
      <c r="ACE18" s="637"/>
      <c r="ACF18" s="637"/>
      <c r="ACG18" s="637"/>
      <c r="ACH18" s="637"/>
      <c r="ACI18" s="637"/>
      <c r="ACJ18" s="637"/>
      <c r="ACK18" s="637"/>
      <c r="ACL18" s="637"/>
      <c r="ACM18" s="637"/>
      <c r="ACN18" s="637"/>
      <c r="ACO18" s="637"/>
      <c r="ACP18" s="637"/>
      <c r="ACQ18" s="637"/>
      <c r="ACR18" s="637"/>
      <c r="ACS18" s="637"/>
      <c r="ACT18" s="637"/>
      <c r="ACU18" s="637"/>
      <c r="ACV18" s="637"/>
      <c r="ACW18" s="637"/>
      <c r="ACX18" s="637"/>
      <c r="ACY18" s="637"/>
      <c r="ACZ18" s="637"/>
      <c r="ADA18" s="637"/>
      <c r="ADB18" s="637"/>
      <c r="ADC18" s="637"/>
      <c r="ADD18" s="637"/>
      <c r="ADE18" s="637"/>
      <c r="ADF18" s="637"/>
      <c r="ADG18" s="637"/>
      <c r="ADH18" s="637"/>
      <c r="ADI18" s="637"/>
      <c r="ADJ18" s="637"/>
      <c r="ADK18" s="637"/>
      <c r="ADL18" s="637"/>
      <c r="ADM18" s="637"/>
      <c r="ADN18" s="637"/>
      <c r="ADO18" s="637"/>
      <c r="ADP18" s="637"/>
      <c r="ADQ18" s="637"/>
      <c r="ADR18" s="637"/>
      <c r="ADS18" s="637"/>
      <c r="ADT18" s="637"/>
      <c r="ADU18" s="637"/>
      <c r="ADV18" s="637"/>
      <c r="ADW18" s="637"/>
      <c r="ADX18" s="637"/>
      <c r="ADY18" s="637"/>
      <c r="ADZ18" s="637"/>
      <c r="AEA18" s="637"/>
      <c r="AEB18" s="637"/>
      <c r="AEC18" s="637"/>
      <c r="AED18" s="637"/>
      <c r="AEE18" s="637"/>
      <c r="AEF18" s="637"/>
      <c r="AEG18" s="637"/>
      <c r="AEH18" s="637"/>
      <c r="AEI18" s="637"/>
      <c r="AEJ18" s="637"/>
      <c r="AEK18" s="637"/>
      <c r="AEL18" s="637"/>
      <c r="AEM18" s="637"/>
      <c r="AEN18" s="637"/>
      <c r="AEO18" s="637"/>
      <c r="AEP18" s="637"/>
      <c r="AEQ18" s="637"/>
      <c r="AER18" s="637"/>
      <c r="AES18" s="637"/>
      <c r="AET18" s="637"/>
      <c r="AEU18" s="637"/>
      <c r="AEV18" s="637"/>
      <c r="AEW18" s="637"/>
      <c r="AEX18" s="637"/>
      <c r="AEY18" s="637"/>
      <c r="AEZ18" s="637"/>
      <c r="AFA18" s="637"/>
      <c r="AFB18" s="637"/>
      <c r="AFC18" s="637"/>
      <c r="AFD18" s="637"/>
      <c r="AFE18" s="637"/>
      <c r="AFF18" s="637"/>
      <c r="AFG18" s="637"/>
      <c r="AFH18" s="637"/>
      <c r="AFI18" s="637"/>
      <c r="AFJ18" s="637"/>
      <c r="AFK18" s="637"/>
      <c r="AFL18" s="637"/>
      <c r="AFM18" s="637"/>
      <c r="AFN18" s="637"/>
      <c r="AFO18" s="637"/>
      <c r="AFP18" s="637"/>
      <c r="AFQ18" s="637"/>
      <c r="AFR18" s="637"/>
      <c r="AFS18" s="637"/>
      <c r="AFT18" s="637"/>
      <c r="AFU18" s="637"/>
      <c r="AFV18" s="637"/>
      <c r="AFW18" s="637"/>
      <c r="AFX18" s="637"/>
      <c r="AFY18" s="637"/>
      <c r="AFZ18" s="637"/>
      <c r="AGA18" s="637"/>
      <c r="AGB18" s="637"/>
      <c r="AGC18" s="637"/>
      <c r="AGD18" s="637"/>
      <c r="AGE18" s="637"/>
      <c r="AGF18" s="637"/>
      <c r="AGG18" s="637"/>
      <c r="AGH18" s="637"/>
      <c r="AGI18" s="637"/>
      <c r="AGJ18" s="637"/>
      <c r="AGK18" s="637"/>
      <c r="AGL18" s="637"/>
      <c r="AGM18" s="637"/>
      <c r="AGN18" s="637"/>
      <c r="AGO18" s="637"/>
      <c r="AGP18" s="637"/>
      <c r="AGQ18" s="637"/>
      <c r="AGR18" s="637"/>
      <c r="AGS18" s="637"/>
      <c r="AGT18" s="637"/>
      <c r="AGU18" s="637"/>
      <c r="AGV18" s="637"/>
      <c r="AGW18" s="637"/>
      <c r="AGX18" s="637"/>
      <c r="AGY18" s="637"/>
      <c r="AGZ18" s="637"/>
      <c r="AHA18" s="637"/>
      <c r="AHB18" s="637"/>
      <c r="AHC18" s="637"/>
      <c r="AHD18" s="637"/>
      <c r="AHE18" s="637"/>
      <c r="AHF18" s="637"/>
      <c r="AHG18" s="637"/>
      <c r="AHH18" s="637"/>
      <c r="AHI18" s="637"/>
      <c r="AHJ18" s="637"/>
      <c r="AHK18" s="637"/>
      <c r="AHL18" s="637"/>
      <c r="AHM18" s="637"/>
      <c r="AHN18" s="637"/>
      <c r="AHO18" s="637"/>
      <c r="AHP18" s="637"/>
      <c r="AHQ18" s="637"/>
      <c r="AHR18" s="637"/>
      <c r="AHS18" s="637"/>
      <c r="AHT18" s="637"/>
      <c r="AHU18" s="637"/>
      <c r="AHV18" s="637"/>
      <c r="AHW18" s="637"/>
      <c r="AHX18" s="637"/>
      <c r="AHY18" s="637"/>
      <c r="AHZ18" s="637"/>
      <c r="AIA18" s="637"/>
      <c r="AIB18" s="637"/>
      <c r="AIC18" s="637"/>
      <c r="AID18" s="637"/>
      <c r="AIE18" s="637"/>
      <c r="AIF18" s="637"/>
      <c r="AIG18" s="637"/>
      <c r="AIH18" s="637"/>
      <c r="AII18" s="637"/>
      <c r="AIJ18" s="637"/>
      <c r="AIK18" s="637"/>
      <c r="AIL18" s="637"/>
      <c r="AIM18" s="637"/>
      <c r="AIN18" s="637"/>
      <c r="AIO18" s="637"/>
      <c r="AIP18" s="637"/>
      <c r="AIQ18" s="637"/>
      <c r="AIR18" s="637"/>
      <c r="AIS18" s="637"/>
      <c r="AIT18" s="637"/>
      <c r="AIU18" s="637"/>
      <c r="AIV18" s="637"/>
      <c r="AIW18" s="637"/>
      <c r="AIX18" s="637"/>
      <c r="AIY18" s="637"/>
      <c r="AIZ18" s="637"/>
      <c r="AJA18" s="637"/>
      <c r="AJB18" s="637"/>
      <c r="AJC18" s="637"/>
      <c r="AJD18" s="637"/>
      <c r="AJE18" s="637"/>
      <c r="AJF18" s="637"/>
      <c r="AJG18" s="637"/>
      <c r="AJH18" s="637"/>
      <c r="AJI18" s="637"/>
      <c r="AJJ18" s="637"/>
      <c r="AJK18" s="637"/>
      <c r="AJL18" s="637"/>
      <c r="AJM18" s="637"/>
      <c r="AJN18" s="637"/>
      <c r="AJO18" s="637"/>
      <c r="AJP18" s="637"/>
      <c r="AJQ18" s="637"/>
      <c r="AJR18" s="637"/>
      <c r="AJS18" s="637"/>
      <c r="AJT18" s="637"/>
      <c r="AJU18" s="637"/>
      <c r="AJV18" s="637"/>
      <c r="AJW18" s="637"/>
      <c r="AJX18" s="637"/>
      <c r="AJY18" s="637"/>
      <c r="AJZ18" s="637"/>
      <c r="AKA18" s="637"/>
      <c r="AKB18" s="637"/>
      <c r="AKC18" s="637"/>
      <c r="AKD18" s="637"/>
      <c r="AKE18" s="637"/>
      <c r="AKF18" s="637"/>
      <c r="AKG18" s="637"/>
      <c r="AKH18" s="637"/>
      <c r="AKI18" s="637"/>
      <c r="AKJ18" s="637"/>
      <c r="AKK18" s="637"/>
      <c r="AKL18" s="637"/>
      <c r="AKM18" s="637"/>
      <c r="AKN18" s="637"/>
      <c r="AKO18" s="637"/>
      <c r="AKP18" s="637"/>
      <c r="AKQ18" s="637"/>
      <c r="AKR18" s="637"/>
      <c r="AKS18" s="637"/>
      <c r="AKT18" s="637"/>
      <c r="AKU18" s="637"/>
      <c r="AKV18" s="637"/>
      <c r="AKW18" s="637"/>
      <c r="AKX18" s="637"/>
      <c r="AKY18" s="637"/>
      <c r="AKZ18" s="637"/>
      <c r="ALA18" s="637"/>
      <c r="ALB18" s="637"/>
      <c r="ALC18" s="637"/>
      <c r="ALD18" s="637"/>
      <c r="ALE18" s="637"/>
      <c r="ALF18" s="637"/>
      <c r="ALG18" s="637"/>
      <c r="ALH18" s="637"/>
      <c r="ALI18" s="637"/>
      <c r="ALJ18" s="637"/>
      <c r="ALK18" s="637"/>
      <c r="ALL18" s="637"/>
      <c r="ALM18" s="637"/>
      <c r="ALN18" s="637"/>
      <c r="ALO18" s="637"/>
      <c r="ALP18" s="637"/>
      <c r="ALQ18" s="637"/>
      <c r="ALR18" s="637"/>
      <c r="ALS18" s="637"/>
      <c r="ALT18" s="637"/>
      <c r="ALU18" s="637"/>
      <c r="ALV18" s="637"/>
      <c r="ALW18" s="637"/>
      <c r="ALX18" s="637"/>
      <c r="ALY18" s="637"/>
      <c r="ALZ18" s="637"/>
      <c r="AMA18" s="637"/>
      <c r="AMB18" s="637"/>
      <c r="AMC18" s="637"/>
      <c r="AMD18" s="637"/>
      <c r="AME18" s="637"/>
      <c r="AMF18" s="637"/>
      <c r="AMG18" s="637"/>
      <c r="AMH18" s="637"/>
      <c r="AMI18" s="637"/>
      <c r="AMJ18" s="637"/>
    </row>
    <row r="19" spans="1:1024" s="638" customFormat="1" ht="12.75" hidden="1">
      <c r="A19" s="984"/>
      <c r="B19" s="985"/>
      <c r="C19" s="986"/>
      <c r="D19" s="988"/>
      <c r="E19" s="989">
        <v>3832</v>
      </c>
      <c r="F19" s="989">
        <f t="shared" si="1"/>
        <v>4943</v>
      </c>
      <c r="G19" s="990">
        <v>3426</v>
      </c>
      <c r="H19" s="990">
        <v>1002</v>
      </c>
      <c r="I19" s="992">
        <v>504</v>
      </c>
      <c r="J19" s="990">
        <v>11</v>
      </c>
      <c r="K19" s="990"/>
      <c r="L19" s="990"/>
      <c r="M19" s="990"/>
      <c r="N19" s="990"/>
      <c r="O19" s="990"/>
      <c r="P19" s="990"/>
      <c r="Q19" s="990"/>
      <c r="R19" s="991"/>
      <c r="S19" s="637"/>
      <c r="T19" s="637"/>
      <c r="U19" s="637"/>
      <c r="V19" s="637"/>
      <c r="W19" s="637"/>
      <c r="X19" s="637"/>
      <c r="Y19" s="637"/>
      <c r="Z19" s="637"/>
      <c r="AA19" s="637"/>
      <c r="AB19" s="637"/>
      <c r="AC19" s="637"/>
      <c r="AD19" s="637"/>
      <c r="AE19" s="637"/>
      <c r="AF19" s="637"/>
      <c r="AG19" s="637"/>
      <c r="AH19" s="637"/>
      <c r="AI19" s="637"/>
      <c r="AJ19" s="637"/>
      <c r="AK19" s="637"/>
      <c r="AL19" s="637"/>
      <c r="AM19" s="637"/>
      <c r="AN19" s="637"/>
      <c r="AO19" s="637"/>
      <c r="AP19" s="637"/>
      <c r="AQ19" s="637"/>
      <c r="AR19" s="637"/>
      <c r="AS19" s="637"/>
      <c r="AT19" s="637"/>
      <c r="AU19" s="637"/>
      <c r="AV19" s="637"/>
      <c r="AW19" s="637"/>
      <c r="AX19" s="637"/>
      <c r="AY19" s="637"/>
      <c r="AZ19" s="637"/>
      <c r="BA19" s="637"/>
      <c r="BB19" s="637"/>
      <c r="BC19" s="637"/>
      <c r="BD19" s="637"/>
      <c r="BE19" s="637"/>
      <c r="BF19" s="637"/>
      <c r="BG19" s="637"/>
      <c r="BH19" s="637"/>
      <c r="BI19" s="637"/>
      <c r="BJ19" s="637"/>
      <c r="BK19" s="637"/>
      <c r="BL19" s="637"/>
      <c r="BM19" s="637"/>
      <c r="BN19" s="637"/>
      <c r="BO19" s="637"/>
      <c r="BP19" s="637"/>
      <c r="BQ19" s="637"/>
      <c r="BR19" s="637"/>
      <c r="BS19" s="637"/>
      <c r="BT19" s="637"/>
      <c r="BU19" s="637"/>
      <c r="BV19" s="637"/>
      <c r="BW19" s="637"/>
      <c r="BX19" s="637"/>
      <c r="BY19" s="637"/>
      <c r="BZ19" s="637"/>
      <c r="CA19" s="637"/>
      <c r="CB19" s="637"/>
      <c r="CC19" s="637"/>
      <c r="CD19" s="637"/>
      <c r="CE19" s="637"/>
      <c r="CF19" s="637"/>
      <c r="CG19" s="637"/>
      <c r="CH19" s="637"/>
      <c r="CI19" s="637"/>
      <c r="CJ19" s="637"/>
      <c r="CK19" s="637"/>
      <c r="CL19" s="637"/>
      <c r="CM19" s="637"/>
      <c r="CN19" s="637"/>
      <c r="CO19" s="637"/>
      <c r="CP19" s="637"/>
      <c r="CQ19" s="637"/>
      <c r="CR19" s="637"/>
      <c r="CS19" s="637"/>
      <c r="CT19" s="637"/>
      <c r="CU19" s="637"/>
      <c r="CV19" s="637"/>
      <c r="CW19" s="637"/>
      <c r="CX19" s="637"/>
      <c r="CY19" s="637"/>
      <c r="CZ19" s="637"/>
      <c r="DA19" s="637"/>
      <c r="DB19" s="637"/>
      <c r="DC19" s="637"/>
      <c r="DD19" s="637"/>
      <c r="DE19" s="637"/>
      <c r="DF19" s="637"/>
      <c r="DG19" s="637"/>
      <c r="DH19" s="637"/>
      <c r="DI19" s="637"/>
      <c r="DJ19" s="637"/>
      <c r="DK19" s="637"/>
      <c r="DL19" s="637"/>
      <c r="DM19" s="637"/>
      <c r="DN19" s="637"/>
      <c r="DO19" s="637"/>
      <c r="DP19" s="637"/>
      <c r="DQ19" s="637"/>
      <c r="DR19" s="637"/>
      <c r="DS19" s="637"/>
      <c r="DT19" s="637"/>
      <c r="DU19" s="637"/>
      <c r="DV19" s="637"/>
      <c r="DW19" s="637"/>
      <c r="DX19" s="637"/>
      <c r="DY19" s="637"/>
      <c r="DZ19" s="637"/>
      <c r="EA19" s="637"/>
      <c r="EB19" s="637"/>
      <c r="EC19" s="637"/>
      <c r="ED19" s="637"/>
      <c r="EE19" s="637"/>
      <c r="EF19" s="637"/>
      <c r="EG19" s="637"/>
      <c r="EH19" s="637"/>
      <c r="EI19" s="637"/>
      <c r="EJ19" s="637"/>
      <c r="EK19" s="637"/>
      <c r="EL19" s="637"/>
      <c r="EM19" s="637"/>
      <c r="EN19" s="637"/>
      <c r="EO19" s="637"/>
      <c r="EP19" s="637"/>
      <c r="EQ19" s="637"/>
      <c r="ER19" s="637"/>
      <c r="ES19" s="637"/>
      <c r="ET19" s="637"/>
      <c r="EU19" s="637"/>
      <c r="EV19" s="637"/>
      <c r="EW19" s="637"/>
      <c r="EX19" s="637"/>
      <c r="EY19" s="637"/>
      <c r="EZ19" s="637"/>
      <c r="FA19" s="637"/>
      <c r="FB19" s="637"/>
      <c r="FC19" s="637"/>
      <c r="FD19" s="637"/>
      <c r="FE19" s="637"/>
      <c r="FF19" s="637"/>
      <c r="FG19" s="637"/>
      <c r="FH19" s="637"/>
      <c r="FI19" s="637"/>
      <c r="FJ19" s="637"/>
      <c r="FK19" s="637"/>
      <c r="FL19" s="637"/>
      <c r="FM19" s="637"/>
      <c r="FN19" s="637"/>
      <c r="FO19" s="637"/>
      <c r="FP19" s="637"/>
      <c r="FQ19" s="637"/>
      <c r="FR19" s="637"/>
      <c r="FS19" s="637"/>
      <c r="FT19" s="637"/>
      <c r="FU19" s="637"/>
      <c r="FV19" s="637"/>
      <c r="FW19" s="637"/>
      <c r="FX19" s="637"/>
      <c r="FY19" s="637"/>
      <c r="FZ19" s="637"/>
      <c r="GA19" s="637"/>
      <c r="GB19" s="637"/>
      <c r="GC19" s="637"/>
      <c r="GD19" s="637"/>
      <c r="GE19" s="637"/>
      <c r="GF19" s="637"/>
      <c r="GG19" s="637"/>
      <c r="GH19" s="637"/>
      <c r="GI19" s="637"/>
      <c r="GJ19" s="637"/>
      <c r="GK19" s="637"/>
      <c r="GL19" s="637"/>
      <c r="GM19" s="637"/>
      <c r="GN19" s="637"/>
      <c r="GO19" s="637"/>
      <c r="GP19" s="637"/>
      <c r="GQ19" s="637"/>
      <c r="GR19" s="637"/>
      <c r="GS19" s="637"/>
      <c r="GT19" s="637"/>
      <c r="GU19" s="637"/>
      <c r="GV19" s="637"/>
      <c r="GW19" s="637"/>
      <c r="GX19" s="637"/>
      <c r="GY19" s="637"/>
      <c r="GZ19" s="637"/>
      <c r="HA19" s="637"/>
      <c r="HB19" s="637"/>
      <c r="HC19" s="637"/>
      <c r="HD19" s="637"/>
      <c r="HE19" s="637"/>
      <c r="HF19" s="637"/>
      <c r="HG19" s="637"/>
      <c r="HH19" s="637"/>
      <c r="HI19" s="637"/>
      <c r="HJ19" s="637"/>
      <c r="HK19" s="637"/>
      <c r="HL19" s="637"/>
      <c r="HM19" s="637"/>
      <c r="HN19" s="637"/>
      <c r="HO19" s="637"/>
      <c r="HP19" s="637"/>
      <c r="HQ19" s="637"/>
      <c r="HR19" s="637"/>
      <c r="HS19" s="637"/>
      <c r="HT19" s="637"/>
      <c r="HU19" s="637"/>
      <c r="HV19" s="637"/>
      <c r="HW19" s="637"/>
      <c r="HX19" s="637"/>
      <c r="HY19" s="637"/>
      <c r="HZ19" s="637"/>
      <c r="IA19" s="637"/>
      <c r="IB19" s="637"/>
      <c r="IC19" s="637"/>
      <c r="ID19" s="637"/>
      <c r="IE19" s="637"/>
      <c r="IF19" s="637"/>
      <c r="IG19" s="637"/>
      <c r="IH19" s="637"/>
      <c r="II19" s="637"/>
      <c r="IJ19" s="637"/>
      <c r="IK19" s="637"/>
      <c r="IL19" s="637"/>
      <c r="IM19" s="637"/>
      <c r="IN19" s="637"/>
      <c r="IO19" s="637"/>
      <c r="IP19" s="637"/>
      <c r="IQ19" s="637"/>
      <c r="IR19" s="637"/>
      <c r="IS19" s="637"/>
      <c r="IT19" s="637"/>
      <c r="IU19" s="637"/>
      <c r="IV19" s="637"/>
      <c r="IW19" s="637"/>
      <c r="IX19" s="637"/>
      <c r="IY19" s="637"/>
      <c r="IZ19" s="637"/>
      <c r="JA19" s="637"/>
      <c r="JB19" s="637"/>
      <c r="JC19" s="637"/>
      <c r="JD19" s="637"/>
      <c r="JE19" s="637"/>
      <c r="JF19" s="637"/>
      <c r="JG19" s="637"/>
      <c r="JH19" s="637"/>
      <c r="JI19" s="637"/>
      <c r="JJ19" s="637"/>
      <c r="JK19" s="637"/>
      <c r="JL19" s="637"/>
      <c r="JM19" s="637"/>
      <c r="JN19" s="637"/>
      <c r="JO19" s="637"/>
      <c r="JP19" s="637"/>
      <c r="JQ19" s="637"/>
      <c r="JR19" s="637"/>
      <c r="JS19" s="637"/>
      <c r="JT19" s="637"/>
      <c r="JU19" s="637"/>
      <c r="JV19" s="637"/>
      <c r="JW19" s="637"/>
      <c r="JX19" s="637"/>
      <c r="JY19" s="637"/>
      <c r="JZ19" s="637"/>
      <c r="KA19" s="637"/>
      <c r="KB19" s="637"/>
      <c r="KC19" s="637"/>
      <c r="KD19" s="637"/>
      <c r="KE19" s="637"/>
      <c r="KF19" s="637"/>
      <c r="KG19" s="637"/>
      <c r="KH19" s="637"/>
      <c r="KI19" s="637"/>
      <c r="KJ19" s="637"/>
      <c r="KK19" s="637"/>
      <c r="KL19" s="637"/>
      <c r="KM19" s="637"/>
      <c r="KN19" s="637"/>
      <c r="KO19" s="637"/>
      <c r="KP19" s="637"/>
      <c r="KQ19" s="637"/>
      <c r="KR19" s="637"/>
      <c r="KS19" s="637"/>
      <c r="KT19" s="637"/>
      <c r="KU19" s="637"/>
      <c r="KV19" s="637"/>
      <c r="KW19" s="637"/>
      <c r="KX19" s="637"/>
      <c r="KY19" s="637"/>
      <c r="KZ19" s="637"/>
      <c r="LA19" s="637"/>
      <c r="LB19" s="637"/>
      <c r="LC19" s="637"/>
      <c r="LD19" s="637"/>
      <c r="LE19" s="637"/>
      <c r="LF19" s="637"/>
      <c r="LG19" s="637"/>
      <c r="LH19" s="637"/>
      <c r="LI19" s="637"/>
      <c r="LJ19" s="637"/>
      <c r="LK19" s="637"/>
      <c r="LL19" s="637"/>
      <c r="LM19" s="637"/>
      <c r="LN19" s="637"/>
      <c r="LO19" s="637"/>
      <c r="LP19" s="637"/>
      <c r="LQ19" s="637"/>
      <c r="LR19" s="637"/>
      <c r="LS19" s="637"/>
      <c r="LT19" s="637"/>
      <c r="LU19" s="637"/>
      <c r="LV19" s="637"/>
      <c r="LW19" s="637"/>
      <c r="LX19" s="637"/>
      <c r="LY19" s="637"/>
      <c r="LZ19" s="637"/>
      <c r="MA19" s="637"/>
      <c r="MB19" s="637"/>
      <c r="MC19" s="637"/>
      <c r="MD19" s="637"/>
      <c r="ME19" s="637"/>
      <c r="MF19" s="637"/>
      <c r="MG19" s="637"/>
      <c r="MH19" s="637"/>
      <c r="MI19" s="637"/>
      <c r="MJ19" s="637"/>
      <c r="MK19" s="637"/>
      <c r="ML19" s="637"/>
      <c r="MM19" s="637"/>
      <c r="MN19" s="637"/>
      <c r="MO19" s="637"/>
      <c r="MP19" s="637"/>
      <c r="MQ19" s="637"/>
      <c r="MR19" s="637"/>
      <c r="MS19" s="637"/>
      <c r="MT19" s="637"/>
      <c r="MU19" s="637"/>
      <c r="MV19" s="637"/>
      <c r="MW19" s="637"/>
      <c r="MX19" s="637"/>
      <c r="MY19" s="637"/>
      <c r="MZ19" s="637"/>
      <c r="NA19" s="637"/>
      <c r="NB19" s="637"/>
      <c r="NC19" s="637"/>
      <c r="ND19" s="637"/>
      <c r="NE19" s="637"/>
      <c r="NF19" s="637"/>
      <c r="NG19" s="637"/>
      <c r="NH19" s="637"/>
      <c r="NI19" s="637"/>
      <c r="NJ19" s="637"/>
      <c r="NK19" s="637"/>
      <c r="NL19" s="637"/>
      <c r="NM19" s="637"/>
      <c r="NN19" s="637"/>
      <c r="NO19" s="637"/>
      <c r="NP19" s="637"/>
      <c r="NQ19" s="637"/>
      <c r="NR19" s="637"/>
      <c r="NS19" s="637"/>
      <c r="NT19" s="637"/>
      <c r="NU19" s="637"/>
      <c r="NV19" s="637"/>
      <c r="NW19" s="637"/>
      <c r="NX19" s="637"/>
      <c r="NY19" s="637"/>
      <c r="NZ19" s="637"/>
      <c r="OA19" s="637"/>
      <c r="OB19" s="637"/>
      <c r="OC19" s="637"/>
      <c r="OD19" s="637"/>
      <c r="OE19" s="637"/>
      <c r="OF19" s="637"/>
      <c r="OG19" s="637"/>
      <c r="OH19" s="637"/>
      <c r="OI19" s="637"/>
      <c r="OJ19" s="637"/>
      <c r="OK19" s="637"/>
      <c r="OL19" s="637"/>
      <c r="OM19" s="637"/>
      <c r="ON19" s="637"/>
      <c r="OO19" s="637"/>
      <c r="OP19" s="637"/>
      <c r="OQ19" s="637"/>
      <c r="OR19" s="637"/>
      <c r="OS19" s="637"/>
      <c r="OT19" s="637"/>
      <c r="OU19" s="637"/>
      <c r="OV19" s="637"/>
      <c r="OW19" s="637"/>
      <c r="OX19" s="637"/>
      <c r="OY19" s="637"/>
      <c r="OZ19" s="637"/>
      <c r="PA19" s="637"/>
      <c r="PB19" s="637"/>
      <c r="PC19" s="637"/>
      <c r="PD19" s="637"/>
      <c r="PE19" s="637"/>
      <c r="PF19" s="637"/>
      <c r="PG19" s="637"/>
      <c r="PH19" s="637"/>
      <c r="PI19" s="637"/>
      <c r="PJ19" s="637"/>
      <c r="PK19" s="637"/>
      <c r="PL19" s="637"/>
      <c r="PM19" s="637"/>
      <c r="PN19" s="637"/>
      <c r="PO19" s="637"/>
      <c r="PP19" s="637"/>
      <c r="PQ19" s="637"/>
      <c r="PR19" s="637"/>
      <c r="PS19" s="637"/>
      <c r="PT19" s="637"/>
      <c r="PU19" s="637"/>
      <c r="PV19" s="637"/>
      <c r="PW19" s="637"/>
      <c r="PX19" s="637"/>
      <c r="PY19" s="637"/>
      <c r="PZ19" s="637"/>
      <c r="QA19" s="637"/>
      <c r="QB19" s="637"/>
      <c r="QC19" s="637"/>
      <c r="QD19" s="637"/>
      <c r="QE19" s="637"/>
      <c r="QF19" s="637"/>
      <c r="QG19" s="637"/>
      <c r="QH19" s="637"/>
      <c r="QI19" s="637"/>
      <c r="QJ19" s="637"/>
      <c r="QK19" s="637"/>
      <c r="QL19" s="637"/>
      <c r="QM19" s="637"/>
      <c r="QN19" s="637"/>
      <c r="QO19" s="637"/>
      <c r="QP19" s="637"/>
      <c r="QQ19" s="637"/>
      <c r="QR19" s="637"/>
      <c r="QS19" s="637"/>
      <c r="QT19" s="637"/>
      <c r="QU19" s="637"/>
      <c r="QV19" s="637"/>
      <c r="QW19" s="637"/>
      <c r="QX19" s="637"/>
      <c r="QY19" s="637"/>
      <c r="QZ19" s="637"/>
      <c r="RA19" s="637"/>
      <c r="RB19" s="637"/>
      <c r="RC19" s="637"/>
      <c r="RD19" s="637"/>
      <c r="RE19" s="637"/>
      <c r="RF19" s="637"/>
      <c r="RG19" s="637"/>
      <c r="RH19" s="637"/>
      <c r="RI19" s="637"/>
      <c r="RJ19" s="637"/>
      <c r="RK19" s="637"/>
      <c r="RL19" s="637"/>
      <c r="RM19" s="637"/>
      <c r="RN19" s="637"/>
      <c r="RO19" s="637"/>
      <c r="RP19" s="637"/>
      <c r="RQ19" s="637"/>
      <c r="RR19" s="637"/>
      <c r="RS19" s="637"/>
      <c r="RT19" s="637"/>
      <c r="RU19" s="637"/>
      <c r="RV19" s="637"/>
      <c r="RW19" s="637"/>
      <c r="RX19" s="637"/>
      <c r="RY19" s="637"/>
      <c r="RZ19" s="637"/>
      <c r="SA19" s="637"/>
      <c r="SB19" s="637"/>
      <c r="SC19" s="637"/>
      <c r="SD19" s="637"/>
      <c r="SE19" s="637"/>
      <c r="SF19" s="637"/>
      <c r="SG19" s="637"/>
      <c r="SH19" s="637"/>
      <c r="SI19" s="637"/>
      <c r="SJ19" s="637"/>
      <c r="SK19" s="637"/>
      <c r="SL19" s="637"/>
      <c r="SM19" s="637"/>
      <c r="SN19" s="637"/>
      <c r="SO19" s="637"/>
      <c r="SP19" s="637"/>
      <c r="SQ19" s="637"/>
      <c r="SR19" s="637"/>
      <c r="SS19" s="637"/>
      <c r="ST19" s="637"/>
      <c r="SU19" s="637"/>
      <c r="SV19" s="637"/>
      <c r="SW19" s="637"/>
      <c r="SX19" s="637"/>
      <c r="SY19" s="637"/>
      <c r="SZ19" s="637"/>
      <c r="TA19" s="637"/>
      <c r="TB19" s="637"/>
      <c r="TC19" s="637"/>
      <c r="TD19" s="637"/>
      <c r="TE19" s="637"/>
      <c r="TF19" s="637"/>
      <c r="TG19" s="637"/>
      <c r="TH19" s="637"/>
      <c r="TI19" s="637"/>
      <c r="TJ19" s="637"/>
      <c r="TK19" s="637"/>
      <c r="TL19" s="637"/>
      <c r="TM19" s="637"/>
      <c r="TN19" s="637"/>
      <c r="TO19" s="637"/>
      <c r="TP19" s="637"/>
      <c r="TQ19" s="637"/>
      <c r="TR19" s="637"/>
      <c r="TS19" s="637"/>
      <c r="TT19" s="637"/>
      <c r="TU19" s="637"/>
      <c r="TV19" s="637"/>
      <c r="TW19" s="637"/>
      <c r="TX19" s="637"/>
      <c r="TY19" s="637"/>
      <c r="TZ19" s="637"/>
      <c r="UA19" s="637"/>
      <c r="UB19" s="637"/>
      <c r="UC19" s="637"/>
      <c r="UD19" s="637"/>
      <c r="UE19" s="637"/>
      <c r="UF19" s="637"/>
      <c r="UG19" s="637"/>
      <c r="UH19" s="637"/>
      <c r="UI19" s="637"/>
      <c r="UJ19" s="637"/>
      <c r="UK19" s="637"/>
      <c r="UL19" s="637"/>
      <c r="UM19" s="637"/>
      <c r="UN19" s="637"/>
      <c r="UO19" s="637"/>
      <c r="UP19" s="637"/>
      <c r="UQ19" s="637"/>
      <c r="UR19" s="637"/>
      <c r="US19" s="637"/>
      <c r="UT19" s="637"/>
      <c r="UU19" s="637"/>
      <c r="UV19" s="637"/>
      <c r="UW19" s="637"/>
      <c r="UX19" s="637"/>
      <c r="UY19" s="637"/>
      <c r="UZ19" s="637"/>
      <c r="VA19" s="637"/>
      <c r="VB19" s="637"/>
      <c r="VC19" s="637"/>
      <c r="VD19" s="637"/>
      <c r="VE19" s="637"/>
      <c r="VF19" s="637"/>
      <c r="VG19" s="637"/>
      <c r="VH19" s="637"/>
      <c r="VI19" s="637"/>
      <c r="VJ19" s="637"/>
      <c r="VK19" s="637"/>
      <c r="VL19" s="637"/>
      <c r="VM19" s="637"/>
      <c r="VN19" s="637"/>
      <c r="VO19" s="637"/>
      <c r="VP19" s="637"/>
      <c r="VQ19" s="637"/>
      <c r="VR19" s="637"/>
      <c r="VS19" s="637"/>
      <c r="VT19" s="637"/>
      <c r="VU19" s="637"/>
      <c r="VV19" s="637"/>
      <c r="VW19" s="637"/>
      <c r="VX19" s="637"/>
      <c r="VY19" s="637"/>
      <c r="VZ19" s="637"/>
      <c r="WA19" s="637"/>
      <c r="WB19" s="637"/>
      <c r="WC19" s="637"/>
      <c r="WD19" s="637"/>
      <c r="WE19" s="637"/>
      <c r="WF19" s="637"/>
      <c r="WG19" s="637"/>
      <c r="WH19" s="637"/>
      <c r="WI19" s="637"/>
      <c r="WJ19" s="637"/>
      <c r="WK19" s="637"/>
      <c r="WL19" s="637"/>
      <c r="WM19" s="637"/>
      <c r="WN19" s="637"/>
      <c r="WO19" s="637"/>
      <c r="WP19" s="637"/>
      <c r="WQ19" s="637"/>
      <c r="WR19" s="637"/>
      <c r="WS19" s="637"/>
      <c r="WT19" s="637"/>
      <c r="WU19" s="637"/>
      <c r="WV19" s="637"/>
      <c r="WW19" s="637"/>
      <c r="WX19" s="637"/>
      <c r="WY19" s="637"/>
      <c r="WZ19" s="637"/>
      <c r="XA19" s="637"/>
      <c r="XB19" s="637"/>
      <c r="XC19" s="637"/>
      <c r="XD19" s="637"/>
      <c r="XE19" s="637"/>
      <c r="XF19" s="637"/>
      <c r="XG19" s="637"/>
      <c r="XH19" s="637"/>
      <c r="XI19" s="637"/>
      <c r="XJ19" s="637"/>
      <c r="XK19" s="637"/>
      <c r="XL19" s="637"/>
      <c r="XM19" s="637"/>
      <c r="XN19" s="637"/>
      <c r="XO19" s="637"/>
      <c r="XP19" s="637"/>
      <c r="XQ19" s="637"/>
      <c r="XR19" s="637"/>
      <c r="XS19" s="637"/>
      <c r="XT19" s="637"/>
      <c r="XU19" s="637"/>
      <c r="XV19" s="637"/>
      <c r="XW19" s="637"/>
      <c r="XX19" s="637"/>
      <c r="XY19" s="637"/>
      <c r="XZ19" s="637"/>
      <c r="YA19" s="637"/>
      <c r="YB19" s="637"/>
      <c r="YC19" s="637"/>
      <c r="YD19" s="637"/>
      <c r="YE19" s="637"/>
      <c r="YF19" s="637"/>
      <c r="YG19" s="637"/>
      <c r="YH19" s="637"/>
      <c r="YI19" s="637"/>
      <c r="YJ19" s="637"/>
      <c r="YK19" s="637"/>
      <c r="YL19" s="637"/>
      <c r="YM19" s="637"/>
      <c r="YN19" s="637"/>
      <c r="YO19" s="637"/>
      <c r="YP19" s="637"/>
      <c r="YQ19" s="637"/>
      <c r="YR19" s="637"/>
      <c r="YS19" s="637"/>
      <c r="YT19" s="637"/>
      <c r="YU19" s="637"/>
      <c r="YV19" s="637"/>
      <c r="YW19" s="637"/>
      <c r="YX19" s="637"/>
      <c r="YY19" s="637"/>
      <c r="YZ19" s="637"/>
      <c r="ZA19" s="637"/>
      <c r="ZB19" s="637"/>
      <c r="ZC19" s="637"/>
      <c r="ZD19" s="637"/>
      <c r="ZE19" s="637"/>
      <c r="ZF19" s="637"/>
      <c r="ZG19" s="637"/>
      <c r="ZH19" s="637"/>
      <c r="ZI19" s="637"/>
      <c r="ZJ19" s="637"/>
      <c r="ZK19" s="637"/>
      <c r="ZL19" s="637"/>
      <c r="ZM19" s="637"/>
      <c r="ZN19" s="637"/>
      <c r="ZO19" s="637"/>
      <c r="ZP19" s="637"/>
      <c r="ZQ19" s="637"/>
      <c r="ZR19" s="637"/>
      <c r="ZS19" s="637"/>
      <c r="ZT19" s="637"/>
      <c r="ZU19" s="637"/>
      <c r="ZV19" s="637"/>
      <c r="ZW19" s="637"/>
      <c r="ZX19" s="637"/>
      <c r="ZY19" s="637"/>
      <c r="ZZ19" s="637"/>
      <c r="AAA19" s="637"/>
      <c r="AAB19" s="637"/>
      <c r="AAC19" s="637"/>
      <c r="AAD19" s="637"/>
      <c r="AAE19" s="637"/>
      <c r="AAF19" s="637"/>
      <c r="AAG19" s="637"/>
      <c r="AAH19" s="637"/>
      <c r="AAI19" s="637"/>
      <c r="AAJ19" s="637"/>
      <c r="AAK19" s="637"/>
      <c r="AAL19" s="637"/>
      <c r="AAM19" s="637"/>
      <c r="AAN19" s="637"/>
      <c r="AAO19" s="637"/>
      <c r="AAP19" s="637"/>
      <c r="AAQ19" s="637"/>
      <c r="AAR19" s="637"/>
      <c r="AAS19" s="637"/>
      <c r="AAT19" s="637"/>
      <c r="AAU19" s="637"/>
      <c r="AAV19" s="637"/>
      <c r="AAW19" s="637"/>
      <c r="AAX19" s="637"/>
      <c r="AAY19" s="637"/>
      <c r="AAZ19" s="637"/>
      <c r="ABA19" s="637"/>
      <c r="ABB19" s="637"/>
      <c r="ABC19" s="637"/>
      <c r="ABD19" s="637"/>
      <c r="ABE19" s="637"/>
      <c r="ABF19" s="637"/>
      <c r="ABG19" s="637"/>
      <c r="ABH19" s="637"/>
      <c r="ABI19" s="637"/>
      <c r="ABJ19" s="637"/>
      <c r="ABK19" s="637"/>
      <c r="ABL19" s="637"/>
      <c r="ABM19" s="637"/>
      <c r="ABN19" s="637"/>
      <c r="ABO19" s="637"/>
      <c r="ABP19" s="637"/>
      <c r="ABQ19" s="637"/>
      <c r="ABR19" s="637"/>
      <c r="ABS19" s="637"/>
      <c r="ABT19" s="637"/>
      <c r="ABU19" s="637"/>
      <c r="ABV19" s="637"/>
      <c r="ABW19" s="637"/>
      <c r="ABX19" s="637"/>
      <c r="ABY19" s="637"/>
      <c r="ABZ19" s="637"/>
      <c r="ACA19" s="637"/>
      <c r="ACB19" s="637"/>
      <c r="ACC19" s="637"/>
      <c r="ACD19" s="637"/>
      <c r="ACE19" s="637"/>
      <c r="ACF19" s="637"/>
      <c r="ACG19" s="637"/>
      <c r="ACH19" s="637"/>
      <c r="ACI19" s="637"/>
      <c r="ACJ19" s="637"/>
      <c r="ACK19" s="637"/>
      <c r="ACL19" s="637"/>
      <c r="ACM19" s="637"/>
      <c r="ACN19" s="637"/>
      <c r="ACO19" s="637"/>
      <c r="ACP19" s="637"/>
      <c r="ACQ19" s="637"/>
      <c r="ACR19" s="637"/>
      <c r="ACS19" s="637"/>
      <c r="ACT19" s="637"/>
      <c r="ACU19" s="637"/>
      <c r="ACV19" s="637"/>
      <c r="ACW19" s="637"/>
      <c r="ACX19" s="637"/>
      <c r="ACY19" s="637"/>
      <c r="ACZ19" s="637"/>
      <c r="ADA19" s="637"/>
      <c r="ADB19" s="637"/>
      <c r="ADC19" s="637"/>
      <c r="ADD19" s="637"/>
      <c r="ADE19" s="637"/>
      <c r="ADF19" s="637"/>
      <c r="ADG19" s="637"/>
      <c r="ADH19" s="637"/>
      <c r="ADI19" s="637"/>
      <c r="ADJ19" s="637"/>
      <c r="ADK19" s="637"/>
      <c r="ADL19" s="637"/>
      <c r="ADM19" s="637"/>
      <c r="ADN19" s="637"/>
      <c r="ADO19" s="637"/>
      <c r="ADP19" s="637"/>
      <c r="ADQ19" s="637"/>
      <c r="ADR19" s="637"/>
      <c r="ADS19" s="637"/>
      <c r="ADT19" s="637"/>
      <c r="ADU19" s="637"/>
      <c r="ADV19" s="637"/>
      <c r="ADW19" s="637"/>
      <c r="ADX19" s="637"/>
      <c r="ADY19" s="637"/>
      <c r="ADZ19" s="637"/>
      <c r="AEA19" s="637"/>
      <c r="AEB19" s="637"/>
      <c r="AEC19" s="637"/>
      <c r="AED19" s="637"/>
      <c r="AEE19" s="637"/>
      <c r="AEF19" s="637"/>
      <c r="AEG19" s="637"/>
      <c r="AEH19" s="637"/>
      <c r="AEI19" s="637"/>
      <c r="AEJ19" s="637"/>
      <c r="AEK19" s="637"/>
      <c r="AEL19" s="637"/>
      <c r="AEM19" s="637"/>
      <c r="AEN19" s="637"/>
      <c r="AEO19" s="637"/>
      <c r="AEP19" s="637"/>
      <c r="AEQ19" s="637"/>
      <c r="AER19" s="637"/>
      <c r="AES19" s="637"/>
      <c r="AET19" s="637"/>
      <c r="AEU19" s="637"/>
      <c r="AEV19" s="637"/>
      <c r="AEW19" s="637"/>
      <c r="AEX19" s="637"/>
      <c r="AEY19" s="637"/>
      <c r="AEZ19" s="637"/>
      <c r="AFA19" s="637"/>
      <c r="AFB19" s="637"/>
      <c r="AFC19" s="637"/>
      <c r="AFD19" s="637"/>
      <c r="AFE19" s="637"/>
      <c r="AFF19" s="637"/>
      <c r="AFG19" s="637"/>
      <c r="AFH19" s="637"/>
      <c r="AFI19" s="637"/>
      <c r="AFJ19" s="637"/>
      <c r="AFK19" s="637"/>
      <c r="AFL19" s="637"/>
      <c r="AFM19" s="637"/>
      <c r="AFN19" s="637"/>
      <c r="AFO19" s="637"/>
      <c r="AFP19" s="637"/>
      <c r="AFQ19" s="637"/>
      <c r="AFR19" s="637"/>
      <c r="AFS19" s="637"/>
      <c r="AFT19" s="637"/>
      <c r="AFU19" s="637"/>
      <c r="AFV19" s="637"/>
      <c r="AFW19" s="637"/>
      <c r="AFX19" s="637"/>
      <c r="AFY19" s="637"/>
      <c r="AFZ19" s="637"/>
      <c r="AGA19" s="637"/>
      <c r="AGB19" s="637"/>
      <c r="AGC19" s="637"/>
      <c r="AGD19" s="637"/>
      <c r="AGE19" s="637"/>
      <c r="AGF19" s="637"/>
      <c r="AGG19" s="637"/>
      <c r="AGH19" s="637"/>
      <c r="AGI19" s="637"/>
      <c r="AGJ19" s="637"/>
      <c r="AGK19" s="637"/>
      <c r="AGL19" s="637"/>
      <c r="AGM19" s="637"/>
      <c r="AGN19" s="637"/>
      <c r="AGO19" s="637"/>
      <c r="AGP19" s="637"/>
      <c r="AGQ19" s="637"/>
      <c r="AGR19" s="637"/>
      <c r="AGS19" s="637"/>
      <c r="AGT19" s="637"/>
      <c r="AGU19" s="637"/>
      <c r="AGV19" s="637"/>
      <c r="AGW19" s="637"/>
      <c r="AGX19" s="637"/>
      <c r="AGY19" s="637"/>
      <c r="AGZ19" s="637"/>
      <c r="AHA19" s="637"/>
      <c r="AHB19" s="637"/>
      <c r="AHC19" s="637"/>
      <c r="AHD19" s="637"/>
      <c r="AHE19" s="637"/>
      <c r="AHF19" s="637"/>
      <c r="AHG19" s="637"/>
      <c r="AHH19" s="637"/>
      <c r="AHI19" s="637"/>
      <c r="AHJ19" s="637"/>
      <c r="AHK19" s="637"/>
      <c r="AHL19" s="637"/>
      <c r="AHM19" s="637"/>
      <c r="AHN19" s="637"/>
      <c r="AHO19" s="637"/>
      <c r="AHP19" s="637"/>
      <c r="AHQ19" s="637"/>
      <c r="AHR19" s="637"/>
      <c r="AHS19" s="637"/>
      <c r="AHT19" s="637"/>
      <c r="AHU19" s="637"/>
      <c r="AHV19" s="637"/>
      <c r="AHW19" s="637"/>
      <c r="AHX19" s="637"/>
      <c r="AHY19" s="637"/>
      <c r="AHZ19" s="637"/>
      <c r="AIA19" s="637"/>
      <c r="AIB19" s="637"/>
      <c r="AIC19" s="637"/>
      <c r="AID19" s="637"/>
      <c r="AIE19" s="637"/>
      <c r="AIF19" s="637"/>
      <c r="AIG19" s="637"/>
      <c r="AIH19" s="637"/>
      <c r="AII19" s="637"/>
      <c r="AIJ19" s="637"/>
      <c r="AIK19" s="637"/>
      <c r="AIL19" s="637"/>
      <c r="AIM19" s="637"/>
      <c r="AIN19" s="637"/>
      <c r="AIO19" s="637"/>
      <c r="AIP19" s="637"/>
      <c r="AIQ19" s="637"/>
      <c r="AIR19" s="637"/>
      <c r="AIS19" s="637"/>
      <c r="AIT19" s="637"/>
      <c r="AIU19" s="637"/>
      <c r="AIV19" s="637"/>
      <c r="AIW19" s="637"/>
      <c r="AIX19" s="637"/>
      <c r="AIY19" s="637"/>
      <c r="AIZ19" s="637"/>
      <c r="AJA19" s="637"/>
      <c r="AJB19" s="637"/>
      <c r="AJC19" s="637"/>
      <c r="AJD19" s="637"/>
      <c r="AJE19" s="637"/>
      <c r="AJF19" s="637"/>
      <c r="AJG19" s="637"/>
      <c r="AJH19" s="637"/>
      <c r="AJI19" s="637"/>
      <c r="AJJ19" s="637"/>
      <c r="AJK19" s="637"/>
      <c r="AJL19" s="637"/>
      <c r="AJM19" s="637"/>
      <c r="AJN19" s="637"/>
      <c r="AJO19" s="637"/>
      <c r="AJP19" s="637"/>
      <c r="AJQ19" s="637"/>
      <c r="AJR19" s="637"/>
      <c r="AJS19" s="637"/>
      <c r="AJT19" s="637"/>
      <c r="AJU19" s="637"/>
      <c r="AJV19" s="637"/>
      <c r="AJW19" s="637"/>
      <c r="AJX19" s="637"/>
      <c r="AJY19" s="637"/>
      <c r="AJZ19" s="637"/>
      <c r="AKA19" s="637"/>
      <c r="AKB19" s="637"/>
      <c r="AKC19" s="637"/>
      <c r="AKD19" s="637"/>
      <c r="AKE19" s="637"/>
      <c r="AKF19" s="637"/>
      <c r="AKG19" s="637"/>
      <c r="AKH19" s="637"/>
      <c r="AKI19" s="637"/>
      <c r="AKJ19" s="637"/>
      <c r="AKK19" s="637"/>
      <c r="AKL19" s="637"/>
      <c r="AKM19" s="637"/>
      <c r="AKN19" s="637"/>
      <c r="AKO19" s="637"/>
      <c r="AKP19" s="637"/>
      <c r="AKQ19" s="637"/>
      <c r="AKR19" s="637"/>
      <c r="AKS19" s="637"/>
      <c r="AKT19" s="637"/>
      <c r="AKU19" s="637"/>
      <c r="AKV19" s="637"/>
      <c r="AKW19" s="637"/>
      <c r="AKX19" s="637"/>
      <c r="AKY19" s="637"/>
      <c r="AKZ19" s="637"/>
      <c r="ALA19" s="637"/>
      <c r="ALB19" s="637"/>
      <c r="ALC19" s="637"/>
      <c r="ALD19" s="637"/>
      <c r="ALE19" s="637"/>
      <c r="ALF19" s="637"/>
      <c r="ALG19" s="637"/>
      <c r="ALH19" s="637"/>
      <c r="ALI19" s="637"/>
      <c r="ALJ19" s="637"/>
      <c r="ALK19" s="637"/>
      <c r="ALL19" s="637"/>
      <c r="ALM19" s="637"/>
      <c r="ALN19" s="637"/>
      <c r="ALO19" s="637"/>
      <c r="ALP19" s="637"/>
      <c r="ALQ19" s="637"/>
      <c r="ALR19" s="637"/>
      <c r="ALS19" s="637"/>
      <c r="ALT19" s="637"/>
      <c r="ALU19" s="637"/>
      <c r="ALV19" s="637"/>
      <c r="ALW19" s="637"/>
      <c r="ALX19" s="637"/>
      <c r="ALY19" s="637"/>
      <c r="ALZ19" s="637"/>
      <c r="AMA19" s="637"/>
      <c r="AMB19" s="637"/>
      <c r="AMC19" s="637"/>
      <c r="AMD19" s="637"/>
      <c r="AME19" s="637"/>
      <c r="AMF19" s="637"/>
      <c r="AMG19" s="637"/>
      <c r="AMH19" s="637"/>
      <c r="AMI19" s="637"/>
      <c r="AMJ19" s="637"/>
    </row>
    <row r="20" spans="1:1024" s="638" customFormat="1" ht="12.75">
      <c r="A20" s="984" t="s">
        <v>120</v>
      </c>
      <c r="B20" s="985" t="s">
        <v>135</v>
      </c>
      <c r="C20" s="986" t="s">
        <v>136</v>
      </c>
      <c r="D20" s="981" t="s">
        <v>4</v>
      </c>
      <c r="E20" s="982">
        <v>4000</v>
      </c>
      <c r="F20" s="982">
        <f t="shared" si="1"/>
        <v>12948</v>
      </c>
      <c r="G20" s="987">
        <v>9117</v>
      </c>
      <c r="H20" s="987">
        <v>2831</v>
      </c>
      <c r="I20" s="987">
        <v>1000</v>
      </c>
      <c r="J20" s="987"/>
      <c r="K20" s="987"/>
      <c r="L20" s="987"/>
      <c r="M20" s="987"/>
      <c r="N20" s="987"/>
      <c r="O20" s="987"/>
      <c r="P20" s="987"/>
      <c r="Q20" s="987"/>
      <c r="R20" s="984"/>
      <c r="S20" s="637"/>
      <c r="T20" s="637"/>
      <c r="U20" s="637"/>
      <c r="V20" s="637"/>
      <c r="W20" s="637"/>
      <c r="X20" s="637"/>
      <c r="Y20" s="637"/>
      <c r="Z20" s="637"/>
      <c r="AA20" s="637"/>
      <c r="AB20" s="637"/>
      <c r="AC20" s="637"/>
      <c r="AD20" s="637"/>
      <c r="AE20" s="637"/>
      <c r="AF20" s="637"/>
      <c r="AG20" s="637"/>
      <c r="AH20" s="637"/>
      <c r="AI20" s="637"/>
      <c r="AJ20" s="637"/>
      <c r="AK20" s="637"/>
      <c r="AL20" s="637"/>
      <c r="AM20" s="637"/>
      <c r="AN20" s="637"/>
      <c r="AO20" s="637"/>
      <c r="AP20" s="637"/>
      <c r="AQ20" s="637"/>
      <c r="AR20" s="637"/>
      <c r="AS20" s="637"/>
      <c r="AT20" s="637"/>
      <c r="AU20" s="637"/>
      <c r="AV20" s="637"/>
      <c r="AW20" s="637"/>
      <c r="AX20" s="637"/>
      <c r="AY20" s="637"/>
      <c r="AZ20" s="637"/>
      <c r="BA20" s="637"/>
      <c r="BB20" s="637"/>
      <c r="BC20" s="637"/>
      <c r="BD20" s="637"/>
      <c r="BE20" s="637"/>
      <c r="BF20" s="637"/>
      <c r="BG20" s="637"/>
      <c r="BH20" s="637"/>
      <c r="BI20" s="637"/>
      <c r="BJ20" s="637"/>
      <c r="BK20" s="637"/>
      <c r="BL20" s="637"/>
      <c r="BM20" s="637"/>
      <c r="BN20" s="637"/>
      <c r="BO20" s="637"/>
      <c r="BP20" s="637"/>
      <c r="BQ20" s="637"/>
      <c r="BR20" s="637"/>
      <c r="BS20" s="637"/>
      <c r="BT20" s="637"/>
      <c r="BU20" s="637"/>
      <c r="BV20" s="637"/>
      <c r="BW20" s="637"/>
      <c r="BX20" s="637"/>
      <c r="BY20" s="637"/>
      <c r="BZ20" s="637"/>
      <c r="CA20" s="637"/>
      <c r="CB20" s="637"/>
      <c r="CC20" s="637"/>
      <c r="CD20" s="637"/>
      <c r="CE20" s="637"/>
      <c r="CF20" s="637"/>
      <c r="CG20" s="637"/>
      <c r="CH20" s="637"/>
      <c r="CI20" s="637"/>
      <c r="CJ20" s="637"/>
      <c r="CK20" s="637"/>
      <c r="CL20" s="637"/>
      <c r="CM20" s="637"/>
      <c r="CN20" s="637"/>
      <c r="CO20" s="637"/>
      <c r="CP20" s="637"/>
      <c r="CQ20" s="637"/>
      <c r="CR20" s="637"/>
      <c r="CS20" s="637"/>
      <c r="CT20" s="637"/>
      <c r="CU20" s="637"/>
      <c r="CV20" s="637"/>
      <c r="CW20" s="637"/>
      <c r="CX20" s="637"/>
      <c r="CY20" s="637"/>
      <c r="CZ20" s="637"/>
      <c r="DA20" s="637"/>
      <c r="DB20" s="637"/>
      <c r="DC20" s="637"/>
      <c r="DD20" s="637"/>
      <c r="DE20" s="637"/>
      <c r="DF20" s="637"/>
      <c r="DG20" s="637"/>
      <c r="DH20" s="637"/>
      <c r="DI20" s="637"/>
      <c r="DJ20" s="637"/>
      <c r="DK20" s="637"/>
      <c r="DL20" s="637"/>
      <c r="DM20" s="637"/>
      <c r="DN20" s="637"/>
      <c r="DO20" s="637"/>
      <c r="DP20" s="637"/>
      <c r="DQ20" s="637"/>
      <c r="DR20" s="637"/>
      <c r="DS20" s="637"/>
      <c r="DT20" s="637"/>
      <c r="DU20" s="637"/>
      <c r="DV20" s="637"/>
      <c r="DW20" s="637"/>
      <c r="DX20" s="637"/>
      <c r="DY20" s="637"/>
      <c r="DZ20" s="637"/>
      <c r="EA20" s="637"/>
      <c r="EB20" s="637"/>
      <c r="EC20" s="637"/>
      <c r="ED20" s="637"/>
      <c r="EE20" s="637"/>
      <c r="EF20" s="637"/>
      <c r="EG20" s="637"/>
      <c r="EH20" s="637"/>
      <c r="EI20" s="637"/>
      <c r="EJ20" s="637"/>
      <c r="EK20" s="637"/>
      <c r="EL20" s="637"/>
      <c r="EM20" s="637"/>
      <c r="EN20" s="637"/>
      <c r="EO20" s="637"/>
      <c r="EP20" s="637"/>
      <c r="EQ20" s="637"/>
      <c r="ER20" s="637"/>
      <c r="ES20" s="637"/>
      <c r="ET20" s="637"/>
      <c r="EU20" s="637"/>
      <c r="EV20" s="637"/>
      <c r="EW20" s="637"/>
      <c r="EX20" s="637"/>
      <c r="EY20" s="637"/>
      <c r="EZ20" s="637"/>
      <c r="FA20" s="637"/>
      <c r="FB20" s="637"/>
      <c r="FC20" s="637"/>
      <c r="FD20" s="637"/>
      <c r="FE20" s="637"/>
      <c r="FF20" s="637"/>
      <c r="FG20" s="637"/>
      <c r="FH20" s="637"/>
      <c r="FI20" s="637"/>
      <c r="FJ20" s="637"/>
      <c r="FK20" s="637"/>
      <c r="FL20" s="637"/>
      <c r="FM20" s="637"/>
      <c r="FN20" s="637"/>
      <c r="FO20" s="637"/>
      <c r="FP20" s="637"/>
      <c r="FQ20" s="637"/>
      <c r="FR20" s="637"/>
      <c r="FS20" s="637"/>
      <c r="FT20" s="637"/>
      <c r="FU20" s="637"/>
      <c r="FV20" s="637"/>
      <c r="FW20" s="637"/>
      <c r="FX20" s="637"/>
      <c r="FY20" s="637"/>
      <c r="FZ20" s="637"/>
      <c r="GA20" s="637"/>
      <c r="GB20" s="637"/>
      <c r="GC20" s="637"/>
      <c r="GD20" s="637"/>
      <c r="GE20" s="637"/>
      <c r="GF20" s="637"/>
      <c r="GG20" s="637"/>
      <c r="GH20" s="637"/>
      <c r="GI20" s="637"/>
      <c r="GJ20" s="637"/>
      <c r="GK20" s="637"/>
      <c r="GL20" s="637"/>
      <c r="GM20" s="637"/>
      <c r="GN20" s="637"/>
      <c r="GO20" s="637"/>
      <c r="GP20" s="637"/>
      <c r="GQ20" s="637"/>
      <c r="GR20" s="637"/>
      <c r="GS20" s="637"/>
      <c r="GT20" s="637"/>
      <c r="GU20" s="637"/>
      <c r="GV20" s="637"/>
      <c r="GW20" s="637"/>
      <c r="GX20" s="637"/>
      <c r="GY20" s="637"/>
      <c r="GZ20" s="637"/>
      <c r="HA20" s="637"/>
      <c r="HB20" s="637"/>
      <c r="HC20" s="637"/>
      <c r="HD20" s="637"/>
      <c r="HE20" s="637"/>
      <c r="HF20" s="637"/>
      <c r="HG20" s="637"/>
      <c r="HH20" s="637"/>
      <c r="HI20" s="637"/>
      <c r="HJ20" s="637"/>
      <c r="HK20" s="637"/>
      <c r="HL20" s="637"/>
      <c r="HM20" s="637"/>
      <c r="HN20" s="637"/>
      <c r="HO20" s="637"/>
      <c r="HP20" s="637"/>
      <c r="HQ20" s="637"/>
      <c r="HR20" s="637"/>
      <c r="HS20" s="637"/>
      <c r="HT20" s="637"/>
      <c r="HU20" s="637"/>
      <c r="HV20" s="637"/>
      <c r="HW20" s="637"/>
      <c r="HX20" s="637"/>
      <c r="HY20" s="637"/>
      <c r="HZ20" s="637"/>
      <c r="IA20" s="637"/>
      <c r="IB20" s="637"/>
      <c r="IC20" s="637"/>
      <c r="ID20" s="637"/>
      <c r="IE20" s="637"/>
      <c r="IF20" s="637"/>
      <c r="IG20" s="637"/>
      <c r="IH20" s="637"/>
      <c r="II20" s="637"/>
      <c r="IJ20" s="637"/>
      <c r="IK20" s="637"/>
      <c r="IL20" s="637"/>
      <c r="IM20" s="637"/>
      <c r="IN20" s="637"/>
      <c r="IO20" s="637"/>
      <c r="IP20" s="637"/>
      <c r="IQ20" s="637"/>
      <c r="IR20" s="637"/>
      <c r="IS20" s="637"/>
      <c r="IT20" s="637"/>
      <c r="IU20" s="637"/>
      <c r="IV20" s="637"/>
      <c r="IW20" s="637"/>
      <c r="IX20" s="637"/>
      <c r="IY20" s="637"/>
      <c r="IZ20" s="637"/>
      <c r="JA20" s="637"/>
      <c r="JB20" s="637"/>
      <c r="JC20" s="637"/>
      <c r="JD20" s="637"/>
      <c r="JE20" s="637"/>
      <c r="JF20" s="637"/>
      <c r="JG20" s="637"/>
      <c r="JH20" s="637"/>
      <c r="JI20" s="637"/>
      <c r="JJ20" s="637"/>
      <c r="JK20" s="637"/>
      <c r="JL20" s="637"/>
      <c r="JM20" s="637"/>
      <c r="JN20" s="637"/>
      <c r="JO20" s="637"/>
      <c r="JP20" s="637"/>
      <c r="JQ20" s="637"/>
      <c r="JR20" s="637"/>
      <c r="JS20" s="637"/>
      <c r="JT20" s="637"/>
      <c r="JU20" s="637"/>
      <c r="JV20" s="637"/>
      <c r="JW20" s="637"/>
      <c r="JX20" s="637"/>
      <c r="JY20" s="637"/>
      <c r="JZ20" s="637"/>
      <c r="KA20" s="637"/>
      <c r="KB20" s="637"/>
      <c r="KC20" s="637"/>
      <c r="KD20" s="637"/>
      <c r="KE20" s="637"/>
      <c r="KF20" s="637"/>
      <c r="KG20" s="637"/>
      <c r="KH20" s="637"/>
      <c r="KI20" s="637"/>
      <c r="KJ20" s="637"/>
      <c r="KK20" s="637"/>
      <c r="KL20" s="637"/>
      <c r="KM20" s="637"/>
      <c r="KN20" s="637"/>
      <c r="KO20" s="637"/>
      <c r="KP20" s="637"/>
      <c r="KQ20" s="637"/>
      <c r="KR20" s="637"/>
      <c r="KS20" s="637"/>
      <c r="KT20" s="637"/>
      <c r="KU20" s="637"/>
      <c r="KV20" s="637"/>
      <c r="KW20" s="637"/>
      <c r="KX20" s="637"/>
      <c r="KY20" s="637"/>
      <c r="KZ20" s="637"/>
      <c r="LA20" s="637"/>
      <c r="LB20" s="637"/>
      <c r="LC20" s="637"/>
      <c r="LD20" s="637"/>
      <c r="LE20" s="637"/>
      <c r="LF20" s="637"/>
      <c r="LG20" s="637"/>
      <c r="LH20" s="637"/>
      <c r="LI20" s="637"/>
      <c r="LJ20" s="637"/>
      <c r="LK20" s="637"/>
      <c r="LL20" s="637"/>
      <c r="LM20" s="637"/>
      <c r="LN20" s="637"/>
      <c r="LO20" s="637"/>
      <c r="LP20" s="637"/>
      <c r="LQ20" s="637"/>
      <c r="LR20" s="637"/>
      <c r="LS20" s="637"/>
      <c r="LT20" s="637"/>
      <c r="LU20" s="637"/>
      <c r="LV20" s="637"/>
      <c r="LW20" s="637"/>
      <c r="LX20" s="637"/>
      <c r="LY20" s="637"/>
      <c r="LZ20" s="637"/>
      <c r="MA20" s="637"/>
      <c r="MB20" s="637"/>
      <c r="MC20" s="637"/>
      <c r="MD20" s="637"/>
      <c r="ME20" s="637"/>
      <c r="MF20" s="637"/>
      <c r="MG20" s="637"/>
      <c r="MH20" s="637"/>
      <c r="MI20" s="637"/>
      <c r="MJ20" s="637"/>
      <c r="MK20" s="637"/>
      <c r="ML20" s="637"/>
      <c r="MM20" s="637"/>
      <c r="MN20" s="637"/>
      <c r="MO20" s="637"/>
      <c r="MP20" s="637"/>
      <c r="MQ20" s="637"/>
      <c r="MR20" s="637"/>
      <c r="MS20" s="637"/>
      <c r="MT20" s="637"/>
      <c r="MU20" s="637"/>
      <c r="MV20" s="637"/>
      <c r="MW20" s="637"/>
      <c r="MX20" s="637"/>
      <c r="MY20" s="637"/>
      <c r="MZ20" s="637"/>
      <c r="NA20" s="637"/>
      <c r="NB20" s="637"/>
      <c r="NC20" s="637"/>
      <c r="ND20" s="637"/>
      <c r="NE20" s="637"/>
      <c r="NF20" s="637"/>
      <c r="NG20" s="637"/>
      <c r="NH20" s="637"/>
      <c r="NI20" s="637"/>
      <c r="NJ20" s="637"/>
      <c r="NK20" s="637"/>
      <c r="NL20" s="637"/>
      <c r="NM20" s="637"/>
      <c r="NN20" s="637"/>
      <c r="NO20" s="637"/>
      <c r="NP20" s="637"/>
      <c r="NQ20" s="637"/>
      <c r="NR20" s="637"/>
      <c r="NS20" s="637"/>
      <c r="NT20" s="637"/>
      <c r="NU20" s="637"/>
      <c r="NV20" s="637"/>
      <c r="NW20" s="637"/>
      <c r="NX20" s="637"/>
      <c r="NY20" s="637"/>
      <c r="NZ20" s="637"/>
      <c r="OA20" s="637"/>
      <c r="OB20" s="637"/>
      <c r="OC20" s="637"/>
      <c r="OD20" s="637"/>
      <c r="OE20" s="637"/>
      <c r="OF20" s="637"/>
      <c r="OG20" s="637"/>
      <c r="OH20" s="637"/>
      <c r="OI20" s="637"/>
      <c r="OJ20" s="637"/>
      <c r="OK20" s="637"/>
      <c r="OL20" s="637"/>
      <c r="OM20" s="637"/>
      <c r="ON20" s="637"/>
      <c r="OO20" s="637"/>
      <c r="OP20" s="637"/>
      <c r="OQ20" s="637"/>
      <c r="OR20" s="637"/>
      <c r="OS20" s="637"/>
      <c r="OT20" s="637"/>
      <c r="OU20" s="637"/>
      <c r="OV20" s="637"/>
      <c r="OW20" s="637"/>
      <c r="OX20" s="637"/>
      <c r="OY20" s="637"/>
      <c r="OZ20" s="637"/>
      <c r="PA20" s="637"/>
      <c r="PB20" s="637"/>
      <c r="PC20" s="637"/>
      <c r="PD20" s="637"/>
      <c r="PE20" s="637"/>
      <c r="PF20" s="637"/>
      <c r="PG20" s="637"/>
      <c r="PH20" s="637"/>
      <c r="PI20" s="637"/>
      <c r="PJ20" s="637"/>
      <c r="PK20" s="637"/>
      <c r="PL20" s="637"/>
      <c r="PM20" s="637"/>
      <c r="PN20" s="637"/>
      <c r="PO20" s="637"/>
      <c r="PP20" s="637"/>
      <c r="PQ20" s="637"/>
      <c r="PR20" s="637"/>
      <c r="PS20" s="637"/>
      <c r="PT20" s="637"/>
      <c r="PU20" s="637"/>
      <c r="PV20" s="637"/>
      <c r="PW20" s="637"/>
      <c r="PX20" s="637"/>
      <c r="PY20" s="637"/>
      <c r="PZ20" s="637"/>
      <c r="QA20" s="637"/>
      <c r="QB20" s="637"/>
      <c r="QC20" s="637"/>
      <c r="QD20" s="637"/>
      <c r="QE20" s="637"/>
      <c r="QF20" s="637"/>
      <c r="QG20" s="637"/>
      <c r="QH20" s="637"/>
      <c r="QI20" s="637"/>
      <c r="QJ20" s="637"/>
      <c r="QK20" s="637"/>
      <c r="QL20" s="637"/>
      <c r="QM20" s="637"/>
      <c r="QN20" s="637"/>
      <c r="QO20" s="637"/>
      <c r="QP20" s="637"/>
      <c r="QQ20" s="637"/>
      <c r="QR20" s="637"/>
      <c r="QS20" s="637"/>
      <c r="QT20" s="637"/>
      <c r="QU20" s="637"/>
      <c r="QV20" s="637"/>
      <c r="QW20" s="637"/>
      <c r="QX20" s="637"/>
      <c r="QY20" s="637"/>
      <c r="QZ20" s="637"/>
      <c r="RA20" s="637"/>
      <c r="RB20" s="637"/>
      <c r="RC20" s="637"/>
      <c r="RD20" s="637"/>
      <c r="RE20" s="637"/>
      <c r="RF20" s="637"/>
      <c r="RG20" s="637"/>
      <c r="RH20" s="637"/>
      <c r="RI20" s="637"/>
      <c r="RJ20" s="637"/>
      <c r="RK20" s="637"/>
      <c r="RL20" s="637"/>
      <c r="RM20" s="637"/>
      <c r="RN20" s="637"/>
      <c r="RO20" s="637"/>
      <c r="RP20" s="637"/>
      <c r="RQ20" s="637"/>
      <c r="RR20" s="637"/>
      <c r="RS20" s="637"/>
      <c r="RT20" s="637"/>
      <c r="RU20" s="637"/>
      <c r="RV20" s="637"/>
      <c r="RW20" s="637"/>
      <c r="RX20" s="637"/>
      <c r="RY20" s="637"/>
      <c r="RZ20" s="637"/>
      <c r="SA20" s="637"/>
      <c r="SB20" s="637"/>
      <c r="SC20" s="637"/>
      <c r="SD20" s="637"/>
      <c r="SE20" s="637"/>
      <c r="SF20" s="637"/>
      <c r="SG20" s="637"/>
      <c r="SH20" s="637"/>
      <c r="SI20" s="637"/>
      <c r="SJ20" s="637"/>
      <c r="SK20" s="637"/>
      <c r="SL20" s="637"/>
      <c r="SM20" s="637"/>
      <c r="SN20" s="637"/>
      <c r="SO20" s="637"/>
      <c r="SP20" s="637"/>
      <c r="SQ20" s="637"/>
      <c r="SR20" s="637"/>
      <c r="SS20" s="637"/>
      <c r="ST20" s="637"/>
      <c r="SU20" s="637"/>
      <c r="SV20" s="637"/>
      <c r="SW20" s="637"/>
      <c r="SX20" s="637"/>
      <c r="SY20" s="637"/>
      <c r="SZ20" s="637"/>
      <c r="TA20" s="637"/>
      <c r="TB20" s="637"/>
      <c r="TC20" s="637"/>
      <c r="TD20" s="637"/>
      <c r="TE20" s="637"/>
      <c r="TF20" s="637"/>
      <c r="TG20" s="637"/>
      <c r="TH20" s="637"/>
      <c r="TI20" s="637"/>
      <c r="TJ20" s="637"/>
      <c r="TK20" s="637"/>
      <c r="TL20" s="637"/>
      <c r="TM20" s="637"/>
      <c r="TN20" s="637"/>
      <c r="TO20" s="637"/>
      <c r="TP20" s="637"/>
      <c r="TQ20" s="637"/>
      <c r="TR20" s="637"/>
      <c r="TS20" s="637"/>
      <c r="TT20" s="637"/>
      <c r="TU20" s="637"/>
      <c r="TV20" s="637"/>
      <c r="TW20" s="637"/>
      <c r="TX20" s="637"/>
      <c r="TY20" s="637"/>
      <c r="TZ20" s="637"/>
      <c r="UA20" s="637"/>
      <c r="UB20" s="637"/>
      <c r="UC20" s="637"/>
      <c r="UD20" s="637"/>
      <c r="UE20" s="637"/>
      <c r="UF20" s="637"/>
      <c r="UG20" s="637"/>
      <c r="UH20" s="637"/>
      <c r="UI20" s="637"/>
      <c r="UJ20" s="637"/>
      <c r="UK20" s="637"/>
      <c r="UL20" s="637"/>
      <c r="UM20" s="637"/>
      <c r="UN20" s="637"/>
      <c r="UO20" s="637"/>
      <c r="UP20" s="637"/>
      <c r="UQ20" s="637"/>
      <c r="UR20" s="637"/>
      <c r="US20" s="637"/>
      <c r="UT20" s="637"/>
      <c r="UU20" s="637"/>
      <c r="UV20" s="637"/>
      <c r="UW20" s="637"/>
      <c r="UX20" s="637"/>
      <c r="UY20" s="637"/>
      <c r="UZ20" s="637"/>
      <c r="VA20" s="637"/>
      <c r="VB20" s="637"/>
      <c r="VC20" s="637"/>
      <c r="VD20" s="637"/>
      <c r="VE20" s="637"/>
      <c r="VF20" s="637"/>
      <c r="VG20" s="637"/>
      <c r="VH20" s="637"/>
      <c r="VI20" s="637"/>
      <c r="VJ20" s="637"/>
      <c r="VK20" s="637"/>
      <c r="VL20" s="637"/>
      <c r="VM20" s="637"/>
      <c r="VN20" s="637"/>
      <c r="VO20" s="637"/>
      <c r="VP20" s="637"/>
      <c r="VQ20" s="637"/>
      <c r="VR20" s="637"/>
      <c r="VS20" s="637"/>
      <c r="VT20" s="637"/>
      <c r="VU20" s="637"/>
      <c r="VV20" s="637"/>
      <c r="VW20" s="637"/>
      <c r="VX20" s="637"/>
      <c r="VY20" s="637"/>
      <c r="VZ20" s="637"/>
      <c r="WA20" s="637"/>
      <c r="WB20" s="637"/>
      <c r="WC20" s="637"/>
      <c r="WD20" s="637"/>
      <c r="WE20" s="637"/>
      <c r="WF20" s="637"/>
      <c r="WG20" s="637"/>
      <c r="WH20" s="637"/>
      <c r="WI20" s="637"/>
      <c r="WJ20" s="637"/>
      <c r="WK20" s="637"/>
      <c r="WL20" s="637"/>
      <c r="WM20" s="637"/>
      <c r="WN20" s="637"/>
      <c r="WO20" s="637"/>
      <c r="WP20" s="637"/>
      <c r="WQ20" s="637"/>
      <c r="WR20" s="637"/>
      <c r="WS20" s="637"/>
      <c r="WT20" s="637"/>
      <c r="WU20" s="637"/>
      <c r="WV20" s="637"/>
      <c r="WW20" s="637"/>
      <c r="WX20" s="637"/>
      <c r="WY20" s="637"/>
      <c r="WZ20" s="637"/>
      <c r="XA20" s="637"/>
      <c r="XB20" s="637"/>
      <c r="XC20" s="637"/>
      <c r="XD20" s="637"/>
      <c r="XE20" s="637"/>
      <c r="XF20" s="637"/>
      <c r="XG20" s="637"/>
      <c r="XH20" s="637"/>
      <c r="XI20" s="637"/>
      <c r="XJ20" s="637"/>
      <c r="XK20" s="637"/>
      <c r="XL20" s="637"/>
      <c r="XM20" s="637"/>
      <c r="XN20" s="637"/>
      <c r="XO20" s="637"/>
      <c r="XP20" s="637"/>
      <c r="XQ20" s="637"/>
      <c r="XR20" s="637"/>
      <c r="XS20" s="637"/>
      <c r="XT20" s="637"/>
      <c r="XU20" s="637"/>
      <c r="XV20" s="637"/>
      <c r="XW20" s="637"/>
      <c r="XX20" s="637"/>
      <c r="XY20" s="637"/>
      <c r="XZ20" s="637"/>
      <c r="YA20" s="637"/>
      <c r="YB20" s="637"/>
      <c r="YC20" s="637"/>
      <c r="YD20" s="637"/>
      <c r="YE20" s="637"/>
      <c r="YF20" s="637"/>
      <c r="YG20" s="637"/>
      <c r="YH20" s="637"/>
      <c r="YI20" s="637"/>
      <c r="YJ20" s="637"/>
      <c r="YK20" s="637"/>
      <c r="YL20" s="637"/>
      <c r="YM20" s="637"/>
      <c r="YN20" s="637"/>
      <c r="YO20" s="637"/>
      <c r="YP20" s="637"/>
      <c r="YQ20" s="637"/>
      <c r="YR20" s="637"/>
      <c r="YS20" s="637"/>
      <c r="YT20" s="637"/>
      <c r="YU20" s="637"/>
      <c r="YV20" s="637"/>
      <c r="YW20" s="637"/>
      <c r="YX20" s="637"/>
      <c r="YY20" s="637"/>
      <c r="YZ20" s="637"/>
      <c r="ZA20" s="637"/>
      <c r="ZB20" s="637"/>
      <c r="ZC20" s="637"/>
      <c r="ZD20" s="637"/>
      <c r="ZE20" s="637"/>
      <c r="ZF20" s="637"/>
      <c r="ZG20" s="637"/>
      <c r="ZH20" s="637"/>
      <c r="ZI20" s="637"/>
      <c r="ZJ20" s="637"/>
      <c r="ZK20" s="637"/>
      <c r="ZL20" s="637"/>
      <c r="ZM20" s="637"/>
      <c r="ZN20" s="637"/>
      <c r="ZO20" s="637"/>
      <c r="ZP20" s="637"/>
      <c r="ZQ20" s="637"/>
      <c r="ZR20" s="637"/>
      <c r="ZS20" s="637"/>
      <c r="ZT20" s="637"/>
      <c r="ZU20" s="637"/>
      <c r="ZV20" s="637"/>
      <c r="ZW20" s="637"/>
      <c r="ZX20" s="637"/>
      <c r="ZY20" s="637"/>
      <c r="ZZ20" s="637"/>
      <c r="AAA20" s="637"/>
      <c r="AAB20" s="637"/>
      <c r="AAC20" s="637"/>
      <c r="AAD20" s="637"/>
      <c r="AAE20" s="637"/>
      <c r="AAF20" s="637"/>
      <c r="AAG20" s="637"/>
      <c r="AAH20" s="637"/>
      <c r="AAI20" s="637"/>
      <c r="AAJ20" s="637"/>
      <c r="AAK20" s="637"/>
      <c r="AAL20" s="637"/>
      <c r="AAM20" s="637"/>
      <c r="AAN20" s="637"/>
      <c r="AAO20" s="637"/>
      <c r="AAP20" s="637"/>
      <c r="AAQ20" s="637"/>
      <c r="AAR20" s="637"/>
      <c r="AAS20" s="637"/>
      <c r="AAT20" s="637"/>
      <c r="AAU20" s="637"/>
      <c r="AAV20" s="637"/>
      <c r="AAW20" s="637"/>
      <c r="AAX20" s="637"/>
      <c r="AAY20" s="637"/>
      <c r="AAZ20" s="637"/>
      <c r="ABA20" s="637"/>
      <c r="ABB20" s="637"/>
      <c r="ABC20" s="637"/>
      <c r="ABD20" s="637"/>
      <c r="ABE20" s="637"/>
      <c r="ABF20" s="637"/>
      <c r="ABG20" s="637"/>
      <c r="ABH20" s="637"/>
      <c r="ABI20" s="637"/>
      <c r="ABJ20" s="637"/>
      <c r="ABK20" s="637"/>
      <c r="ABL20" s="637"/>
      <c r="ABM20" s="637"/>
      <c r="ABN20" s="637"/>
      <c r="ABO20" s="637"/>
      <c r="ABP20" s="637"/>
      <c r="ABQ20" s="637"/>
      <c r="ABR20" s="637"/>
      <c r="ABS20" s="637"/>
      <c r="ABT20" s="637"/>
      <c r="ABU20" s="637"/>
      <c r="ABV20" s="637"/>
      <c r="ABW20" s="637"/>
      <c r="ABX20" s="637"/>
      <c r="ABY20" s="637"/>
      <c r="ABZ20" s="637"/>
      <c r="ACA20" s="637"/>
      <c r="ACB20" s="637"/>
      <c r="ACC20" s="637"/>
      <c r="ACD20" s="637"/>
      <c r="ACE20" s="637"/>
      <c r="ACF20" s="637"/>
      <c r="ACG20" s="637"/>
      <c r="ACH20" s="637"/>
      <c r="ACI20" s="637"/>
      <c r="ACJ20" s="637"/>
      <c r="ACK20" s="637"/>
      <c r="ACL20" s="637"/>
      <c r="ACM20" s="637"/>
      <c r="ACN20" s="637"/>
      <c r="ACO20" s="637"/>
      <c r="ACP20" s="637"/>
      <c r="ACQ20" s="637"/>
      <c r="ACR20" s="637"/>
      <c r="ACS20" s="637"/>
      <c r="ACT20" s="637"/>
      <c r="ACU20" s="637"/>
      <c r="ACV20" s="637"/>
      <c r="ACW20" s="637"/>
      <c r="ACX20" s="637"/>
      <c r="ACY20" s="637"/>
      <c r="ACZ20" s="637"/>
      <c r="ADA20" s="637"/>
      <c r="ADB20" s="637"/>
      <c r="ADC20" s="637"/>
      <c r="ADD20" s="637"/>
      <c r="ADE20" s="637"/>
      <c r="ADF20" s="637"/>
      <c r="ADG20" s="637"/>
      <c r="ADH20" s="637"/>
      <c r="ADI20" s="637"/>
      <c r="ADJ20" s="637"/>
      <c r="ADK20" s="637"/>
      <c r="ADL20" s="637"/>
      <c r="ADM20" s="637"/>
      <c r="ADN20" s="637"/>
      <c r="ADO20" s="637"/>
      <c r="ADP20" s="637"/>
      <c r="ADQ20" s="637"/>
      <c r="ADR20" s="637"/>
      <c r="ADS20" s="637"/>
      <c r="ADT20" s="637"/>
      <c r="ADU20" s="637"/>
      <c r="ADV20" s="637"/>
      <c r="ADW20" s="637"/>
      <c r="ADX20" s="637"/>
      <c r="ADY20" s="637"/>
      <c r="ADZ20" s="637"/>
      <c r="AEA20" s="637"/>
      <c r="AEB20" s="637"/>
      <c r="AEC20" s="637"/>
      <c r="AED20" s="637"/>
      <c r="AEE20" s="637"/>
      <c r="AEF20" s="637"/>
      <c r="AEG20" s="637"/>
      <c r="AEH20" s="637"/>
      <c r="AEI20" s="637"/>
      <c r="AEJ20" s="637"/>
      <c r="AEK20" s="637"/>
      <c r="AEL20" s="637"/>
      <c r="AEM20" s="637"/>
      <c r="AEN20" s="637"/>
      <c r="AEO20" s="637"/>
      <c r="AEP20" s="637"/>
      <c r="AEQ20" s="637"/>
      <c r="AER20" s="637"/>
      <c r="AES20" s="637"/>
      <c r="AET20" s="637"/>
      <c r="AEU20" s="637"/>
      <c r="AEV20" s="637"/>
      <c r="AEW20" s="637"/>
      <c r="AEX20" s="637"/>
      <c r="AEY20" s="637"/>
      <c r="AEZ20" s="637"/>
      <c r="AFA20" s="637"/>
      <c r="AFB20" s="637"/>
      <c r="AFC20" s="637"/>
      <c r="AFD20" s="637"/>
      <c r="AFE20" s="637"/>
      <c r="AFF20" s="637"/>
      <c r="AFG20" s="637"/>
      <c r="AFH20" s="637"/>
      <c r="AFI20" s="637"/>
      <c r="AFJ20" s="637"/>
      <c r="AFK20" s="637"/>
      <c r="AFL20" s="637"/>
      <c r="AFM20" s="637"/>
      <c r="AFN20" s="637"/>
      <c r="AFO20" s="637"/>
      <c r="AFP20" s="637"/>
      <c r="AFQ20" s="637"/>
      <c r="AFR20" s="637"/>
      <c r="AFS20" s="637"/>
      <c r="AFT20" s="637"/>
      <c r="AFU20" s="637"/>
      <c r="AFV20" s="637"/>
      <c r="AFW20" s="637"/>
      <c r="AFX20" s="637"/>
      <c r="AFY20" s="637"/>
      <c r="AFZ20" s="637"/>
      <c r="AGA20" s="637"/>
      <c r="AGB20" s="637"/>
      <c r="AGC20" s="637"/>
      <c r="AGD20" s="637"/>
      <c r="AGE20" s="637"/>
      <c r="AGF20" s="637"/>
      <c r="AGG20" s="637"/>
      <c r="AGH20" s="637"/>
      <c r="AGI20" s="637"/>
      <c r="AGJ20" s="637"/>
      <c r="AGK20" s="637"/>
      <c r="AGL20" s="637"/>
      <c r="AGM20" s="637"/>
      <c r="AGN20" s="637"/>
      <c r="AGO20" s="637"/>
      <c r="AGP20" s="637"/>
      <c r="AGQ20" s="637"/>
      <c r="AGR20" s="637"/>
      <c r="AGS20" s="637"/>
      <c r="AGT20" s="637"/>
      <c r="AGU20" s="637"/>
      <c r="AGV20" s="637"/>
      <c r="AGW20" s="637"/>
      <c r="AGX20" s="637"/>
      <c r="AGY20" s="637"/>
      <c r="AGZ20" s="637"/>
      <c r="AHA20" s="637"/>
      <c r="AHB20" s="637"/>
      <c r="AHC20" s="637"/>
      <c r="AHD20" s="637"/>
      <c r="AHE20" s="637"/>
      <c r="AHF20" s="637"/>
      <c r="AHG20" s="637"/>
      <c r="AHH20" s="637"/>
      <c r="AHI20" s="637"/>
      <c r="AHJ20" s="637"/>
      <c r="AHK20" s="637"/>
      <c r="AHL20" s="637"/>
      <c r="AHM20" s="637"/>
      <c r="AHN20" s="637"/>
      <c r="AHO20" s="637"/>
      <c r="AHP20" s="637"/>
      <c r="AHQ20" s="637"/>
      <c r="AHR20" s="637"/>
      <c r="AHS20" s="637"/>
      <c r="AHT20" s="637"/>
      <c r="AHU20" s="637"/>
      <c r="AHV20" s="637"/>
      <c r="AHW20" s="637"/>
      <c r="AHX20" s="637"/>
      <c r="AHY20" s="637"/>
      <c r="AHZ20" s="637"/>
      <c r="AIA20" s="637"/>
      <c r="AIB20" s="637"/>
      <c r="AIC20" s="637"/>
      <c r="AID20" s="637"/>
      <c r="AIE20" s="637"/>
      <c r="AIF20" s="637"/>
      <c r="AIG20" s="637"/>
      <c r="AIH20" s="637"/>
      <c r="AII20" s="637"/>
      <c r="AIJ20" s="637"/>
      <c r="AIK20" s="637"/>
      <c r="AIL20" s="637"/>
      <c r="AIM20" s="637"/>
      <c r="AIN20" s="637"/>
      <c r="AIO20" s="637"/>
      <c r="AIP20" s="637"/>
      <c r="AIQ20" s="637"/>
      <c r="AIR20" s="637"/>
      <c r="AIS20" s="637"/>
      <c r="AIT20" s="637"/>
      <c r="AIU20" s="637"/>
      <c r="AIV20" s="637"/>
      <c r="AIW20" s="637"/>
      <c r="AIX20" s="637"/>
      <c r="AIY20" s="637"/>
      <c r="AIZ20" s="637"/>
      <c r="AJA20" s="637"/>
      <c r="AJB20" s="637"/>
      <c r="AJC20" s="637"/>
      <c r="AJD20" s="637"/>
      <c r="AJE20" s="637"/>
      <c r="AJF20" s="637"/>
      <c r="AJG20" s="637"/>
      <c r="AJH20" s="637"/>
      <c r="AJI20" s="637"/>
      <c r="AJJ20" s="637"/>
      <c r="AJK20" s="637"/>
      <c r="AJL20" s="637"/>
      <c r="AJM20" s="637"/>
      <c r="AJN20" s="637"/>
      <c r="AJO20" s="637"/>
      <c r="AJP20" s="637"/>
      <c r="AJQ20" s="637"/>
      <c r="AJR20" s="637"/>
      <c r="AJS20" s="637"/>
      <c r="AJT20" s="637"/>
      <c r="AJU20" s="637"/>
      <c r="AJV20" s="637"/>
      <c r="AJW20" s="637"/>
      <c r="AJX20" s="637"/>
      <c r="AJY20" s="637"/>
      <c r="AJZ20" s="637"/>
      <c r="AKA20" s="637"/>
      <c r="AKB20" s="637"/>
      <c r="AKC20" s="637"/>
      <c r="AKD20" s="637"/>
      <c r="AKE20" s="637"/>
      <c r="AKF20" s="637"/>
      <c r="AKG20" s="637"/>
      <c r="AKH20" s="637"/>
      <c r="AKI20" s="637"/>
      <c r="AKJ20" s="637"/>
      <c r="AKK20" s="637"/>
      <c r="AKL20" s="637"/>
      <c r="AKM20" s="637"/>
      <c r="AKN20" s="637"/>
      <c r="AKO20" s="637"/>
      <c r="AKP20" s="637"/>
      <c r="AKQ20" s="637"/>
      <c r="AKR20" s="637"/>
      <c r="AKS20" s="637"/>
      <c r="AKT20" s="637"/>
      <c r="AKU20" s="637"/>
      <c r="AKV20" s="637"/>
      <c r="AKW20" s="637"/>
      <c r="AKX20" s="637"/>
      <c r="AKY20" s="637"/>
      <c r="AKZ20" s="637"/>
      <c r="ALA20" s="637"/>
      <c r="ALB20" s="637"/>
      <c r="ALC20" s="637"/>
      <c r="ALD20" s="637"/>
      <c r="ALE20" s="637"/>
      <c r="ALF20" s="637"/>
      <c r="ALG20" s="637"/>
      <c r="ALH20" s="637"/>
      <c r="ALI20" s="637"/>
      <c r="ALJ20" s="637"/>
      <c r="ALK20" s="637"/>
      <c r="ALL20" s="637"/>
      <c r="ALM20" s="637"/>
      <c r="ALN20" s="637"/>
      <c r="ALO20" s="637"/>
      <c r="ALP20" s="637"/>
      <c r="ALQ20" s="637"/>
      <c r="ALR20" s="637"/>
      <c r="ALS20" s="637"/>
      <c r="ALT20" s="637"/>
      <c r="ALU20" s="637"/>
      <c r="ALV20" s="637"/>
      <c r="ALW20" s="637"/>
      <c r="ALX20" s="637"/>
      <c r="ALY20" s="637"/>
      <c r="ALZ20" s="637"/>
      <c r="AMA20" s="637"/>
      <c r="AMB20" s="637"/>
      <c r="AMC20" s="637"/>
      <c r="AMD20" s="637"/>
      <c r="AME20" s="637"/>
      <c r="AMF20" s="637"/>
      <c r="AMG20" s="637"/>
      <c r="AMH20" s="637"/>
      <c r="AMI20" s="637"/>
      <c r="AMJ20" s="637"/>
    </row>
    <row r="21" spans="1:1024" s="638" customFormat="1" ht="12.75">
      <c r="A21" s="984"/>
      <c r="B21" s="985"/>
      <c r="C21" s="986"/>
      <c r="D21" s="981" t="s">
        <v>861</v>
      </c>
      <c r="E21" s="982">
        <v>4000</v>
      </c>
      <c r="F21" s="982">
        <f t="shared" si="1"/>
        <v>15488</v>
      </c>
      <c r="G21" s="987">
        <f>9117+1944</f>
        <v>11061</v>
      </c>
      <c r="H21" s="987">
        <f>2831+540</f>
        <v>3371</v>
      </c>
      <c r="I21" s="987">
        <v>1027</v>
      </c>
      <c r="J21" s="987"/>
      <c r="K21" s="987"/>
      <c r="L21" s="987"/>
      <c r="M21" s="987"/>
      <c r="N21" s="987">
        <v>29</v>
      </c>
      <c r="O21" s="987"/>
      <c r="P21" s="987"/>
      <c r="Q21" s="987"/>
      <c r="R21" s="984"/>
      <c r="S21" s="637"/>
      <c r="T21" s="637"/>
      <c r="U21" s="637"/>
      <c r="V21" s="637"/>
      <c r="W21" s="637"/>
      <c r="X21" s="637"/>
      <c r="Y21" s="637"/>
      <c r="Z21" s="637"/>
      <c r="AA21" s="637"/>
      <c r="AB21" s="637"/>
      <c r="AC21" s="637"/>
      <c r="AD21" s="637"/>
      <c r="AE21" s="637"/>
      <c r="AF21" s="637"/>
      <c r="AG21" s="637"/>
      <c r="AH21" s="637"/>
      <c r="AI21" s="637"/>
      <c r="AJ21" s="637"/>
      <c r="AK21" s="637"/>
      <c r="AL21" s="637"/>
      <c r="AM21" s="637"/>
      <c r="AN21" s="637"/>
      <c r="AO21" s="637"/>
      <c r="AP21" s="637"/>
      <c r="AQ21" s="637"/>
      <c r="AR21" s="637"/>
      <c r="AS21" s="637"/>
      <c r="AT21" s="637"/>
      <c r="AU21" s="637"/>
      <c r="AV21" s="637"/>
      <c r="AW21" s="637"/>
      <c r="AX21" s="637"/>
      <c r="AY21" s="637"/>
      <c r="AZ21" s="637"/>
      <c r="BA21" s="637"/>
      <c r="BB21" s="637"/>
      <c r="BC21" s="637"/>
      <c r="BD21" s="637"/>
      <c r="BE21" s="637"/>
      <c r="BF21" s="637"/>
      <c r="BG21" s="637"/>
      <c r="BH21" s="637"/>
      <c r="BI21" s="637"/>
      <c r="BJ21" s="637"/>
      <c r="BK21" s="637"/>
      <c r="BL21" s="637"/>
      <c r="BM21" s="637"/>
      <c r="BN21" s="637"/>
      <c r="BO21" s="637"/>
      <c r="BP21" s="637"/>
      <c r="BQ21" s="637"/>
      <c r="BR21" s="637"/>
      <c r="BS21" s="637"/>
      <c r="BT21" s="637"/>
      <c r="BU21" s="637"/>
      <c r="BV21" s="637"/>
      <c r="BW21" s="637"/>
      <c r="BX21" s="637"/>
      <c r="BY21" s="637"/>
      <c r="BZ21" s="637"/>
      <c r="CA21" s="637"/>
      <c r="CB21" s="637"/>
      <c r="CC21" s="637"/>
      <c r="CD21" s="637"/>
      <c r="CE21" s="637"/>
      <c r="CF21" s="637"/>
      <c r="CG21" s="637"/>
      <c r="CH21" s="637"/>
      <c r="CI21" s="637"/>
      <c r="CJ21" s="637"/>
      <c r="CK21" s="637"/>
      <c r="CL21" s="637"/>
      <c r="CM21" s="637"/>
      <c r="CN21" s="637"/>
      <c r="CO21" s="637"/>
      <c r="CP21" s="637"/>
      <c r="CQ21" s="637"/>
      <c r="CR21" s="637"/>
      <c r="CS21" s="637"/>
      <c r="CT21" s="637"/>
      <c r="CU21" s="637"/>
      <c r="CV21" s="637"/>
      <c r="CW21" s="637"/>
      <c r="CX21" s="637"/>
      <c r="CY21" s="637"/>
      <c r="CZ21" s="637"/>
      <c r="DA21" s="637"/>
      <c r="DB21" s="637"/>
      <c r="DC21" s="637"/>
      <c r="DD21" s="637"/>
      <c r="DE21" s="637"/>
      <c r="DF21" s="637"/>
      <c r="DG21" s="637"/>
      <c r="DH21" s="637"/>
      <c r="DI21" s="637"/>
      <c r="DJ21" s="637"/>
      <c r="DK21" s="637"/>
      <c r="DL21" s="637"/>
      <c r="DM21" s="637"/>
      <c r="DN21" s="637"/>
      <c r="DO21" s="637"/>
      <c r="DP21" s="637"/>
      <c r="DQ21" s="637"/>
      <c r="DR21" s="637"/>
      <c r="DS21" s="637"/>
      <c r="DT21" s="637"/>
      <c r="DU21" s="637"/>
      <c r="DV21" s="637"/>
      <c r="DW21" s="637"/>
      <c r="DX21" s="637"/>
      <c r="DY21" s="637"/>
      <c r="DZ21" s="637"/>
      <c r="EA21" s="637"/>
      <c r="EB21" s="637"/>
      <c r="EC21" s="637"/>
      <c r="ED21" s="637"/>
      <c r="EE21" s="637"/>
      <c r="EF21" s="637"/>
      <c r="EG21" s="637"/>
      <c r="EH21" s="637"/>
      <c r="EI21" s="637"/>
      <c r="EJ21" s="637"/>
      <c r="EK21" s="637"/>
      <c r="EL21" s="637"/>
      <c r="EM21" s="637"/>
      <c r="EN21" s="637"/>
      <c r="EO21" s="637"/>
      <c r="EP21" s="637"/>
      <c r="EQ21" s="637"/>
      <c r="ER21" s="637"/>
      <c r="ES21" s="637"/>
      <c r="ET21" s="637"/>
      <c r="EU21" s="637"/>
      <c r="EV21" s="637"/>
      <c r="EW21" s="637"/>
      <c r="EX21" s="637"/>
      <c r="EY21" s="637"/>
      <c r="EZ21" s="637"/>
      <c r="FA21" s="637"/>
      <c r="FB21" s="637"/>
      <c r="FC21" s="637"/>
      <c r="FD21" s="637"/>
      <c r="FE21" s="637"/>
      <c r="FF21" s="637"/>
      <c r="FG21" s="637"/>
      <c r="FH21" s="637"/>
      <c r="FI21" s="637"/>
      <c r="FJ21" s="637"/>
      <c r="FK21" s="637"/>
      <c r="FL21" s="637"/>
      <c r="FM21" s="637"/>
      <c r="FN21" s="637"/>
      <c r="FO21" s="637"/>
      <c r="FP21" s="637"/>
      <c r="FQ21" s="637"/>
      <c r="FR21" s="637"/>
      <c r="FS21" s="637"/>
      <c r="FT21" s="637"/>
      <c r="FU21" s="637"/>
      <c r="FV21" s="637"/>
      <c r="FW21" s="637"/>
      <c r="FX21" s="637"/>
      <c r="FY21" s="637"/>
      <c r="FZ21" s="637"/>
      <c r="GA21" s="637"/>
      <c r="GB21" s="637"/>
      <c r="GC21" s="637"/>
      <c r="GD21" s="637"/>
      <c r="GE21" s="637"/>
      <c r="GF21" s="637"/>
      <c r="GG21" s="637"/>
      <c r="GH21" s="637"/>
      <c r="GI21" s="637"/>
      <c r="GJ21" s="637"/>
      <c r="GK21" s="637"/>
      <c r="GL21" s="637"/>
      <c r="GM21" s="637"/>
      <c r="GN21" s="637"/>
      <c r="GO21" s="637"/>
      <c r="GP21" s="637"/>
      <c r="GQ21" s="637"/>
      <c r="GR21" s="637"/>
      <c r="GS21" s="637"/>
      <c r="GT21" s="637"/>
      <c r="GU21" s="637"/>
      <c r="GV21" s="637"/>
      <c r="GW21" s="637"/>
      <c r="GX21" s="637"/>
      <c r="GY21" s="637"/>
      <c r="GZ21" s="637"/>
      <c r="HA21" s="637"/>
      <c r="HB21" s="637"/>
      <c r="HC21" s="637"/>
      <c r="HD21" s="637"/>
      <c r="HE21" s="637"/>
      <c r="HF21" s="637"/>
      <c r="HG21" s="637"/>
      <c r="HH21" s="637"/>
      <c r="HI21" s="637"/>
      <c r="HJ21" s="637"/>
      <c r="HK21" s="637"/>
      <c r="HL21" s="637"/>
      <c r="HM21" s="637"/>
      <c r="HN21" s="637"/>
      <c r="HO21" s="637"/>
      <c r="HP21" s="637"/>
      <c r="HQ21" s="637"/>
      <c r="HR21" s="637"/>
      <c r="HS21" s="637"/>
      <c r="HT21" s="637"/>
      <c r="HU21" s="637"/>
      <c r="HV21" s="637"/>
      <c r="HW21" s="637"/>
      <c r="HX21" s="637"/>
      <c r="HY21" s="637"/>
      <c r="HZ21" s="637"/>
      <c r="IA21" s="637"/>
      <c r="IB21" s="637"/>
      <c r="IC21" s="637"/>
      <c r="ID21" s="637"/>
      <c r="IE21" s="637"/>
      <c r="IF21" s="637"/>
      <c r="IG21" s="637"/>
      <c r="IH21" s="637"/>
      <c r="II21" s="637"/>
      <c r="IJ21" s="637"/>
      <c r="IK21" s="637"/>
      <c r="IL21" s="637"/>
      <c r="IM21" s="637"/>
      <c r="IN21" s="637"/>
      <c r="IO21" s="637"/>
      <c r="IP21" s="637"/>
      <c r="IQ21" s="637"/>
      <c r="IR21" s="637"/>
      <c r="IS21" s="637"/>
      <c r="IT21" s="637"/>
      <c r="IU21" s="637"/>
      <c r="IV21" s="637"/>
      <c r="IW21" s="637"/>
      <c r="IX21" s="637"/>
      <c r="IY21" s="637"/>
      <c r="IZ21" s="637"/>
      <c r="JA21" s="637"/>
      <c r="JB21" s="637"/>
      <c r="JC21" s="637"/>
      <c r="JD21" s="637"/>
      <c r="JE21" s="637"/>
      <c r="JF21" s="637"/>
      <c r="JG21" s="637"/>
      <c r="JH21" s="637"/>
      <c r="JI21" s="637"/>
      <c r="JJ21" s="637"/>
      <c r="JK21" s="637"/>
      <c r="JL21" s="637"/>
      <c r="JM21" s="637"/>
      <c r="JN21" s="637"/>
      <c r="JO21" s="637"/>
      <c r="JP21" s="637"/>
      <c r="JQ21" s="637"/>
      <c r="JR21" s="637"/>
      <c r="JS21" s="637"/>
      <c r="JT21" s="637"/>
      <c r="JU21" s="637"/>
      <c r="JV21" s="637"/>
      <c r="JW21" s="637"/>
      <c r="JX21" s="637"/>
      <c r="JY21" s="637"/>
      <c r="JZ21" s="637"/>
      <c r="KA21" s="637"/>
      <c r="KB21" s="637"/>
      <c r="KC21" s="637"/>
      <c r="KD21" s="637"/>
      <c r="KE21" s="637"/>
      <c r="KF21" s="637"/>
      <c r="KG21" s="637"/>
      <c r="KH21" s="637"/>
      <c r="KI21" s="637"/>
      <c r="KJ21" s="637"/>
      <c r="KK21" s="637"/>
      <c r="KL21" s="637"/>
      <c r="KM21" s="637"/>
      <c r="KN21" s="637"/>
      <c r="KO21" s="637"/>
      <c r="KP21" s="637"/>
      <c r="KQ21" s="637"/>
      <c r="KR21" s="637"/>
      <c r="KS21" s="637"/>
      <c r="KT21" s="637"/>
      <c r="KU21" s="637"/>
      <c r="KV21" s="637"/>
      <c r="KW21" s="637"/>
      <c r="KX21" s="637"/>
      <c r="KY21" s="637"/>
      <c r="KZ21" s="637"/>
      <c r="LA21" s="637"/>
      <c r="LB21" s="637"/>
      <c r="LC21" s="637"/>
      <c r="LD21" s="637"/>
      <c r="LE21" s="637"/>
      <c r="LF21" s="637"/>
      <c r="LG21" s="637"/>
      <c r="LH21" s="637"/>
      <c r="LI21" s="637"/>
      <c r="LJ21" s="637"/>
      <c r="LK21" s="637"/>
      <c r="LL21" s="637"/>
      <c r="LM21" s="637"/>
      <c r="LN21" s="637"/>
      <c r="LO21" s="637"/>
      <c r="LP21" s="637"/>
      <c r="LQ21" s="637"/>
      <c r="LR21" s="637"/>
      <c r="LS21" s="637"/>
      <c r="LT21" s="637"/>
      <c r="LU21" s="637"/>
      <c r="LV21" s="637"/>
      <c r="LW21" s="637"/>
      <c r="LX21" s="637"/>
      <c r="LY21" s="637"/>
      <c r="LZ21" s="637"/>
      <c r="MA21" s="637"/>
      <c r="MB21" s="637"/>
      <c r="MC21" s="637"/>
      <c r="MD21" s="637"/>
      <c r="ME21" s="637"/>
      <c r="MF21" s="637"/>
      <c r="MG21" s="637"/>
      <c r="MH21" s="637"/>
      <c r="MI21" s="637"/>
      <c r="MJ21" s="637"/>
      <c r="MK21" s="637"/>
      <c r="ML21" s="637"/>
      <c r="MM21" s="637"/>
      <c r="MN21" s="637"/>
      <c r="MO21" s="637"/>
      <c r="MP21" s="637"/>
      <c r="MQ21" s="637"/>
      <c r="MR21" s="637"/>
      <c r="MS21" s="637"/>
      <c r="MT21" s="637"/>
      <c r="MU21" s="637"/>
      <c r="MV21" s="637"/>
      <c r="MW21" s="637"/>
      <c r="MX21" s="637"/>
      <c r="MY21" s="637"/>
      <c r="MZ21" s="637"/>
      <c r="NA21" s="637"/>
      <c r="NB21" s="637"/>
      <c r="NC21" s="637"/>
      <c r="ND21" s="637"/>
      <c r="NE21" s="637"/>
      <c r="NF21" s="637"/>
      <c r="NG21" s="637"/>
      <c r="NH21" s="637"/>
      <c r="NI21" s="637"/>
      <c r="NJ21" s="637"/>
      <c r="NK21" s="637"/>
      <c r="NL21" s="637"/>
      <c r="NM21" s="637"/>
      <c r="NN21" s="637"/>
      <c r="NO21" s="637"/>
      <c r="NP21" s="637"/>
      <c r="NQ21" s="637"/>
      <c r="NR21" s="637"/>
      <c r="NS21" s="637"/>
      <c r="NT21" s="637"/>
      <c r="NU21" s="637"/>
      <c r="NV21" s="637"/>
      <c r="NW21" s="637"/>
      <c r="NX21" s="637"/>
      <c r="NY21" s="637"/>
      <c r="NZ21" s="637"/>
      <c r="OA21" s="637"/>
      <c r="OB21" s="637"/>
      <c r="OC21" s="637"/>
      <c r="OD21" s="637"/>
      <c r="OE21" s="637"/>
      <c r="OF21" s="637"/>
      <c r="OG21" s="637"/>
      <c r="OH21" s="637"/>
      <c r="OI21" s="637"/>
      <c r="OJ21" s="637"/>
      <c r="OK21" s="637"/>
      <c r="OL21" s="637"/>
      <c r="OM21" s="637"/>
      <c r="ON21" s="637"/>
      <c r="OO21" s="637"/>
      <c r="OP21" s="637"/>
      <c r="OQ21" s="637"/>
      <c r="OR21" s="637"/>
      <c r="OS21" s="637"/>
      <c r="OT21" s="637"/>
      <c r="OU21" s="637"/>
      <c r="OV21" s="637"/>
      <c r="OW21" s="637"/>
      <c r="OX21" s="637"/>
      <c r="OY21" s="637"/>
      <c r="OZ21" s="637"/>
      <c r="PA21" s="637"/>
      <c r="PB21" s="637"/>
      <c r="PC21" s="637"/>
      <c r="PD21" s="637"/>
      <c r="PE21" s="637"/>
      <c r="PF21" s="637"/>
      <c r="PG21" s="637"/>
      <c r="PH21" s="637"/>
      <c r="PI21" s="637"/>
      <c r="PJ21" s="637"/>
      <c r="PK21" s="637"/>
      <c r="PL21" s="637"/>
      <c r="PM21" s="637"/>
      <c r="PN21" s="637"/>
      <c r="PO21" s="637"/>
      <c r="PP21" s="637"/>
      <c r="PQ21" s="637"/>
      <c r="PR21" s="637"/>
      <c r="PS21" s="637"/>
      <c r="PT21" s="637"/>
      <c r="PU21" s="637"/>
      <c r="PV21" s="637"/>
      <c r="PW21" s="637"/>
      <c r="PX21" s="637"/>
      <c r="PY21" s="637"/>
      <c r="PZ21" s="637"/>
      <c r="QA21" s="637"/>
      <c r="QB21" s="637"/>
      <c r="QC21" s="637"/>
      <c r="QD21" s="637"/>
      <c r="QE21" s="637"/>
      <c r="QF21" s="637"/>
      <c r="QG21" s="637"/>
      <c r="QH21" s="637"/>
      <c r="QI21" s="637"/>
      <c r="QJ21" s="637"/>
      <c r="QK21" s="637"/>
      <c r="QL21" s="637"/>
      <c r="QM21" s="637"/>
      <c r="QN21" s="637"/>
      <c r="QO21" s="637"/>
      <c r="QP21" s="637"/>
      <c r="QQ21" s="637"/>
      <c r="QR21" s="637"/>
      <c r="QS21" s="637"/>
      <c r="QT21" s="637"/>
      <c r="QU21" s="637"/>
      <c r="QV21" s="637"/>
      <c r="QW21" s="637"/>
      <c r="QX21" s="637"/>
      <c r="QY21" s="637"/>
      <c r="QZ21" s="637"/>
      <c r="RA21" s="637"/>
      <c r="RB21" s="637"/>
      <c r="RC21" s="637"/>
      <c r="RD21" s="637"/>
      <c r="RE21" s="637"/>
      <c r="RF21" s="637"/>
      <c r="RG21" s="637"/>
      <c r="RH21" s="637"/>
      <c r="RI21" s="637"/>
      <c r="RJ21" s="637"/>
      <c r="RK21" s="637"/>
      <c r="RL21" s="637"/>
      <c r="RM21" s="637"/>
      <c r="RN21" s="637"/>
      <c r="RO21" s="637"/>
      <c r="RP21" s="637"/>
      <c r="RQ21" s="637"/>
      <c r="RR21" s="637"/>
      <c r="RS21" s="637"/>
      <c r="RT21" s="637"/>
      <c r="RU21" s="637"/>
      <c r="RV21" s="637"/>
      <c r="RW21" s="637"/>
      <c r="RX21" s="637"/>
      <c r="RY21" s="637"/>
      <c r="RZ21" s="637"/>
      <c r="SA21" s="637"/>
      <c r="SB21" s="637"/>
      <c r="SC21" s="637"/>
      <c r="SD21" s="637"/>
      <c r="SE21" s="637"/>
      <c r="SF21" s="637"/>
      <c r="SG21" s="637"/>
      <c r="SH21" s="637"/>
      <c r="SI21" s="637"/>
      <c r="SJ21" s="637"/>
      <c r="SK21" s="637"/>
      <c r="SL21" s="637"/>
      <c r="SM21" s="637"/>
      <c r="SN21" s="637"/>
      <c r="SO21" s="637"/>
      <c r="SP21" s="637"/>
      <c r="SQ21" s="637"/>
      <c r="SR21" s="637"/>
      <c r="SS21" s="637"/>
      <c r="ST21" s="637"/>
      <c r="SU21" s="637"/>
      <c r="SV21" s="637"/>
      <c r="SW21" s="637"/>
      <c r="SX21" s="637"/>
      <c r="SY21" s="637"/>
      <c r="SZ21" s="637"/>
      <c r="TA21" s="637"/>
      <c r="TB21" s="637"/>
      <c r="TC21" s="637"/>
      <c r="TD21" s="637"/>
      <c r="TE21" s="637"/>
      <c r="TF21" s="637"/>
      <c r="TG21" s="637"/>
      <c r="TH21" s="637"/>
      <c r="TI21" s="637"/>
      <c r="TJ21" s="637"/>
      <c r="TK21" s="637"/>
      <c r="TL21" s="637"/>
      <c r="TM21" s="637"/>
      <c r="TN21" s="637"/>
      <c r="TO21" s="637"/>
      <c r="TP21" s="637"/>
      <c r="TQ21" s="637"/>
      <c r="TR21" s="637"/>
      <c r="TS21" s="637"/>
      <c r="TT21" s="637"/>
      <c r="TU21" s="637"/>
      <c r="TV21" s="637"/>
      <c r="TW21" s="637"/>
      <c r="TX21" s="637"/>
      <c r="TY21" s="637"/>
      <c r="TZ21" s="637"/>
      <c r="UA21" s="637"/>
      <c r="UB21" s="637"/>
      <c r="UC21" s="637"/>
      <c r="UD21" s="637"/>
      <c r="UE21" s="637"/>
      <c r="UF21" s="637"/>
      <c r="UG21" s="637"/>
      <c r="UH21" s="637"/>
      <c r="UI21" s="637"/>
      <c r="UJ21" s="637"/>
      <c r="UK21" s="637"/>
      <c r="UL21" s="637"/>
      <c r="UM21" s="637"/>
      <c r="UN21" s="637"/>
      <c r="UO21" s="637"/>
      <c r="UP21" s="637"/>
      <c r="UQ21" s="637"/>
      <c r="UR21" s="637"/>
      <c r="US21" s="637"/>
      <c r="UT21" s="637"/>
      <c r="UU21" s="637"/>
      <c r="UV21" s="637"/>
      <c r="UW21" s="637"/>
      <c r="UX21" s="637"/>
      <c r="UY21" s="637"/>
      <c r="UZ21" s="637"/>
      <c r="VA21" s="637"/>
      <c r="VB21" s="637"/>
      <c r="VC21" s="637"/>
      <c r="VD21" s="637"/>
      <c r="VE21" s="637"/>
      <c r="VF21" s="637"/>
      <c r="VG21" s="637"/>
      <c r="VH21" s="637"/>
      <c r="VI21" s="637"/>
      <c r="VJ21" s="637"/>
      <c r="VK21" s="637"/>
      <c r="VL21" s="637"/>
      <c r="VM21" s="637"/>
      <c r="VN21" s="637"/>
      <c r="VO21" s="637"/>
      <c r="VP21" s="637"/>
      <c r="VQ21" s="637"/>
      <c r="VR21" s="637"/>
      <c r="VS21" s="637"/>
      <c r="VT21" s="637"/>
      <c r="VU21" s="637"/>
      <c r="VV21" s="637"/>
      <c r="VW21" s="637"/>
      <c r="VX21" s="637"/>
      <c r="VY21" s="637"/>
      <c r="VZ21" s="637"/>
      <c r="WA21" s="637"/>
      <c r="WB21" s="637"/>
      <c r="WC21" s="637"/>
      <c r="WD21" s="637"/>
      <c r="WE21" s="637"/>
      <c r="WF21" s="637"/>
      <c r="WG21" s="637"/>
      <c r="WH21" s="637"/>
      <c r="WI21" s="637"/>
      <c r="WJ21" s="637"/>
      <c r="WK21" s="637"/>
      <c r="WL21" s="637"/>
      <c r="WM21" s="637"/>
      <c r="WN21" s="637"/>
      <c r="WO21" s="637"/>
      <c r="WP21" s="637"/>
      <c r="WQ21" s="637"/>
      <c r="WR21" s="637"/>
      <c r="WS21" s="637"/>
      <c r="WT21" s="637"/>
      <c r="WU21" s="637"/>
      <c r="WV21" s="637"/>
      <c r="WW21" s="637"/>
      <c r="WX21" s="637"/>
      <c r="WY21" s="637"/>
      <c r="WZ21" s="637"/>
      <c r="XA21" s="637"/>
      <c r="XB21" s="637"/>
      <c r="XC21" s="637"/>
      <c r="XD21" s="637"/>
      <c r="XE21" s="637"/>
      <c r="XF21" s="637"/>
      <c r="XG21" s="637"/>
      <c r="XH21" s="637"/>
      <c r="XI21" s="637"/>
      <c r="XJ21" s="637"/>
      <c r="XK21" s="637"/>
      <c r="XL21" s="637"/>
      <c r="XM21" s="637"/>
      <c r="XN21" s="637"/>
      <c r="XO21" s="637"/>
      <c r="XP21" s="637"/>
      <c r="XQ21" s="637"/>
      <c r="XR21" s="637"/>
      <c r="XS21" s="637"/>
      <c r="XT21" s="637"/>
      <c r="XU21" s="637"/>
      <c r="XV21" s="637"/>
      <c r="XW21" s="637"/>
      <c r="XX21" s="637"/>
      <c r="XY21" s="637"/>
      <c r="XZ21" s="637"/>
      <c r="YA21" s="637"/>
      <c r="YB21" s="637"/>
      <c r="YC21" s="637"/>
      <c r="YD21" s="637"/>
      <c r="YE21" s="637"/>
      <c r="YF21" s="637"/>
      <c r="YG21" s="637"/>
      <c r="YH21" s="637"/>
      <c r="YI21" s="637"/>
      <c r="YJ21" s="637"/>
      <c r="YK21" s="637"/>
      <c r="YL21" s="637"/>
      <c r="YM21" s="637"/>
      <c r="YN21" s="637"/>
      <c r="YO21" s="637"/>
      <c r="YP21" s="637"/>
      <c r="YQ21" s="637"/>
      <c r="YR21" s="637"/>
      <c r="YS21" s="637"/>
      <c r="YT21" s="637"/>
      <c r="YU21" s="637"/>
      <c r="YV21" s="637"/>
      <c r="YW21" s="637"/>
      <c r="YX21" s="637"/>
      <c r="YY21" s="637"/>
      <c r="YZ21" s="637"/>
      <c r="ZA21" s="637"/>
      <c r="ZB21" s="637"/>
      <c r="ZC21" s="637"/>
      <c r="ZD21" s="637"/>
      <c r="ZE21" s="637"/>
      <c r="ZF21" s="637"/>
      <c r="ZG21" s="637"/>
      <c r="ZH21" s="637"/>
      <c r="ZI21" s="637"/>
      <c r="ZJ21" s="637"/>
      <c r="ZK21" s="637"/>
      <c r="ZL21" s="637"/>
      <c r="ZM21" s="637"/>
      <c r="ZN21" s="637"/>
      <c r="ZO21" s="637"/>
      <c r="ZP21" s="637"/>
      <c r="ZQ21" s="637"/>
      <c r="ZR21" s="637"/>
      <c r="ZS21" s="637"/>
      <c r="ZT21" s="637"/>
      <c r="ZU21" s="637"/>
      <c r="ZV21" s="637"/>
      <c r="ZW21" s="637"/>
      <c r="ZX21" s="637"/>
      <c r="ZY21" s="637"/>
      <c r="ZZ21" s="637"/>
      <c r="AAA21" s="637"/>
      <c r="AAB21" s="637"/>
      <c r="AAC21" s="637"/>
      <c r="AAD21" s="637"/>
      <c r="AAE21" s="637"/>
      <c r="AAF21" s="637"/>
      <c r="AAG21" s="637"/>
      <c r="AAH21" s="637"/>
      <c r="AAI21" s="637"/>
      <c r="AAJ21" s="637"/>
      <c r="AAK21" s="637"/>
      <c r="AAL21" s="637"/>
      <c r="AAM21" s="637"/>
      <c r="AAN21" s="637"/>
      <c r="AAO21" s="637"/>
      <c r="AAP21" s="637"/>
      <c r="AAQ21" s="637"/>
      <c r="AAR21" s="637"/>
      <c r="AAS21" s="637"/>
      <c r="AAT21" s="637"/>
      <c r="AAU21" s="637"/>
      <c r="AAV21" s="637"/>
      <c r="AAW21" s="637"/>
      <c r="AAX21" s="637"/>
      <c r="AAY21" s="637"/>
      <c r="AAZ21" s="637"/>
      <c r="ABA21" s="637"/>
      <c r="ABB21" s="637"/>
      <c r="ABC21" s="637"/>
      <c r="ABD21" s="637"/>
      <c r="ABE21" s="637"/>
      <c r="ABF21" s="637"/>
      <c r="ABG21" s="637"/>
      <c r="ABH21" s="637"/>
      <c r="ABI21" s="637"/>
      <c r="ABJ21" s="637"/>
      <c r="ABK21" s="637"/>
      <c r="ABL21" s="637"/>
      <c r="ABM21" s="637"/>
      <c r="ABN21" s="637"/>
      <c r="ABO21" s="637"/>
      <c r="ABP21" s="637"/>
      <c r="ABQ21" s="637"/>
      <c r="ABR21" s="637"/>
      <c r="ABS21" s="637"/>
      <c r="ABT21" s="637"/>
      <c r="ABU21" s="637"/>
      <c r="ABV21" s="637"/>
      <c r="ABW21" s="637"/>
      <c r="ABX21" s="637"/>
      <c r="ABY21" s="637"/>
      <c r="ABZ21" s="637"/>
      <c r="ACA21" s="637"/>
      <c r="ACB21" s="637"/>
      <c r="ACC21" s="637"/>
      <c r="ACD21" s="637"/>
      <c r="ACE21" s="637"/>
      <c r="ACF21" s="637"/>
      <c r="ACG21" s="637"/>
      <c r="ACH21" s="637"/>
      <c r="ACI21" s="637"/>
      <c r="ACJ21" s="637"/>
      <c r="ACK21" s="637"/>
      <c r="ACL21" s="637"/>
      <c r="ACM21" s="637"/>
      <c r="ACN21" s="637"/>
      <c r="ACO21" s="637"/>
      <c r="ACP21" s="637"/>
      <c r="ACQ21" s="637"/>
      <c r="ACR21" s="637"/>
      <c r="ACS21" s="637"/>
      <c r="ACT21" s="637"/>
      <c r="ACU21" s="637"/>
      <c r="ACV21" s="637"/>
      <c r="ACW21" s="637"/>
      <c r="ACX21" s="637"/>
      <c r="ACY21" s="637"/>
      <c r="ACZ21" s="637"/>
      <c r="ADA21" s="637"/>
      <c r="ADB21" s="637"/>
      <c r="ADC21" s="637"/>
      <c r="ADD21" s="637"/>
      <c r="ADE21" s="637"/>
      <c r="ADF21" s="637"/>
      <c r="ADG21" s="637"/>
      <c r="ADH21" s="637"/>
      <c r="ADI21" s="637"/>
      <c r="ADJ21" s="637"/>
      <c r="ADK21" s="637"/>
      <c r="ADL21" s="637"/>
      <c r="ADM21" s="637"/>
      <c r="ADN21" s="637"/>
      <c r="ADO21" s="637"/>
      <c r="ADP21" s="637"/>
      <c r="ADQ21" s="637"/>
      <c r="ADR21" s="637"/>
      <c r="ADS21" s="637"/>
      <c r="ADT21" s="637"/>
      <c r="ADU21" s="637"/>
      <c r="ADV21" s="637"/>
      <c r="ADW21" s="637"/>
      <c r="ADX21" s="637"/>
      <c r="ADY21" s="637"/>
      <c r="ADZ21" s="637"/>
      <c r="AEA21" s="637"/>
      <c r="AEB21" s="637"/>
      <c r="AEC21" s="637"/>
      <c r="AED21" s="637"/>
      <c r="AEE21" s="637"/>
      <c r="AEF21" s="637"/>
      <c r="AEG21" s="637"/>
      <c r="AEH21" s="637"/>
      <c r="AEI21" s="637"/>
      <c r="AEJ21" s="637"/>
      <c r="AEK21" s="637"/>
      <c r="AEL21" s="637"/>
      <c r="AEM21" s="637"/>
      <c r="AEN21" s="637"/>
      <c r="AEO21" s="637"/>
      <c r="AEP21" s="637"/>
      <c r="AEQ21" s="637"/>
      <c r="AER21" s="637"/>
      <c r="AES21" s="637"/>
      <c r="AET21" s="637"/>
      <c r="AEU21" s="637"/>
      <c r="AEV21" s="637"/>
      <c r="AEW21" s="637"/>
      <c r="AEX21" s="637"/>
      <c r="AEY21" s="637"/>
      <c r="AEZ21" s="637"/>
      <c r="AFA21" s="637"/>
      <c r="AFB21" s="637"/>
      <c r="AFC21" s="637"/>
      <c r="AFD21" s="637"/>
      <c r="AFE21" s="637"/>
      <c r="AFF21" s="637"/>
      <c r="AFG21" s="637"/>
      <c r="AFH21" s="637"/>
      <c r="AFI21" s="637"/>
      <c r="AFJ21" s="637"/>
      <c r="AFK21" s="637"/>
      <c r="AFL21" s="637"/>
      <c r="AFM21" s="637"/>
      <c r="AFN21" s="637"/>
      <c r="AFO21" s="637"/>
      <c r="AFP21" s="637"/>
      <c r="AFQ21" s="637"/>
      <c r="AFR21" s="637"/>
      <c r="AFS21" s="637"/>
      <c r="AFT21" s="637"/>
      <c r="AFU21" s="637"/>
      <c r="AFV21" s="637"/>
      <c r="AFW21" s="637"/>
      <c r="AFX21" s="637"/>
      <c r="AFY21" s="637"/>
      <c r="AFZ21" s="637"/>
      <c r="AGA21" s="637"/>
      <c r="AGB21" s="637"/>
      <c r="AGC21" s="637"/>
      <c r="AGD21" s="637"/>
      <c r="AGE21" s="637"/>
      <c r="AGF21" s="637"/>
      <c r="AGG21" s="637"/>
      <c r="AGH21" s="637"/>
      <c r="AGI21" s="637"/>
      <c r="AGJ21" s="637"/>
      <c r="AGK21" s="637"/>
      <c r="AGL21" s="637"/>
      <c r="AGM21" s="637"/>
      <c r="AGN21" s="637"/>
      <c r="AGO21" s="637"/>
      <c r="AGP21" s="637"/>
      <c r="AGQ21" s="637"/>
      <c r="AGR21" s="637"/>
      <c r="AGS21" s="637"/>
      <c r="AGT21" s="637"/>
      <c r="AGU21" s="637"/>
      <c r="AGV21" s="637"/>
      <c r="AGW21" s="637"/>
      <c r="AGX21" s="637"/>
      <c r="AGY21" s="637"/>
      <c r="AGZ21" s="637"/>
      <c r="AHA21" s="637"/>
      <c r="AHB21" s="637"/>
      <c r="AHC21" s="637"/>
      <c r="AHD21" s="637"/>
      <c r="AHE21" s="637"/>
      <c r="AHF21" s="637"/>
      <c r="AHG21" s="637"/>
      <c r="AHH21" s="637"/>
      <c r="AHI21" s="637"/>
      <c r="AHJ21" s="637"/>
      <c r="AHK21" s="637"/>
      <c r="AHL21" s="637"/>
      <c r="AHM21" s="637"/>
      <c r="AHN21" s="637"/>
      <c r="AHO21" s="637"/>
      <c r="AHP21" s="637"/>
      <c r="AHQ21" s="637"/>
      <c r="AHR21" s="637"/>
      <c r="AHS21" s="637"/>
      <c r="AHT21" s="637"/>
      <c r="AHU21" s="637"/>
      <c r="AHV21" s="637"/>
      <c r="AHW21" s="637"/>
      <c r="AHX21" s="637"/>
      <c r="AHY21" s="637"/>
      <c r="AHZ21" s="637"/>
      <c r="AIA21" s="637"/>
      <c r="AIB21" s="637"/>
      <c r="AIC21" s="637"/>
      <c r="AID21" s="637"/>
      <c r="AIE21" s="637"/>
      <c r="AIF21" s="637"/>
      <c r="AIG21" s="637"/>
      <c r="AIH21" s="637"/>
      <c r="AII21" s="637"/>
      <c r="AIJ21" s="637"/>
      <c r="AIK21" s="637"/>
      <c r="AIL21" s="637"/>
      <c r="AIM21" s="637"/>
      <c r="AIN21" s="637"/>
      <c r="AIO21" s="637"/>
      <c r="AIP21" s="637"/>
      <c r="AIQ21" s="637"/>
      <c r="AIR21" s="637"/>
      <c r="AIS21" s="637"/>
      <c r="AIT21" s="637"/>
      <c r="AIU21" s="637"/>
      <c r="AIV21" s="637"/>
      <c r="AIW21" s="637"/>
      <c r="AIX21" s="637"/>
      <c r="AIY21" s="637"/>
      <c r="AIZ21" s="637"/>
      <c r="AJA21" s="637"/>
      <c r="AJB21" s="637"/>
      <c r="AJC21" s="637"/>
      <c r="AJD21" s="637"/>
      <c r="AJE21" s="637"/>
      <c r="AJF21" s="637"/>
      <c r="AJG21" s="637"/>
      <c r="AJH21" s="637"/>
      <c r="AJI21" s="637"/>
      <c r="AJJ21" s="637"/>
      <c r="AJK21" s="637"/>
      <c r="AJL21" s="637"/>
      <c r="AJM21" s="637"/>
      <c r="AJN21" s="637"/>
      <c r="AJO21" s="637"/>
      <c r="AJP21" s="637"/>
      <c r="AJQ21" s="637"/>
      <c r="AJR21" s="637"/>
      <c r="AJS21" s="637"/>
      <c r="AJT21" s="637"/>
      <c r="AJU21" s="637"/>
      <c r="AJV21" s="637"/>
      <c r="AJW21" s="637"/>
      <c r="AJX21" s="637"/>
      <c r="AJY21" s="637"/>
      <c r="AJZ21" s="637"/>
      <c r="AKA21" s="637"/>
      <c r="AKB21" s="637"/>
      <c r="AKC21" s="637"/>
      <c r="AKD21" s="637"/>
      <c r="AKE21" s="637"/>
      <c r="AKF21" s="637"/>
      <c r="AKG21" s="637"/>
      <c r="AKH21" s="637"/>
      <c r="AKI21" s="637"/>
      <c r="AKJ21" s="637"/>
      <c r="AKK21" s="637"/>
      <c r="AKL21" s="637"/>
      <c r="AKM21" s="637"/>
      <c r="AKN21" s="637"/>
      <c r="AKO21" s="637"/>
      <c r="AKP21" s="637"/>
      <c r="AKQ21" s="637"/>
      <c r="AKR21" s="637"/>
      <c r="AKS21" s="637"/>
      <c r="AKT21" s="637"/>
      <c r="AKU21" s="637"/>
      <c r="AKV21" s="637"/>
      <c r="AKW21" s="637"/>
      <c r="AKX21" s="637"/>
      <c r="AKY21" s="637"/>
      <c r="AKZ21" s="637"/>
      <c r="ALA21" s="637"/>
      <c r="ALB21" s="637"/>
      <c r="ALC21" s="637"/>
      <c r="ALD21" s="637"/>
      <c r="ALE21" s="637"/>
      <c r="ALF21" s="637"/>
      <c r="ALG21" s="637"/>
      <c r="ALH21" s="637"/>
      <c r="ALI21" s="637"/>
      <c r="ALJ21" s="637"/>
      <c r="ALK21" s="637"/>
      <c r="ALL21" s="637"/>
      <c r="ALM21" s="637"/>
      <c r="ALN21" s="637"/>
      <c r="ALO21" s="637"/>
      <c r="ALP21" s="637"/>
      <c r="ALQ21" s="637"/>
      <c r="ALR21" s="637"/>
      <c r="ALS21" s="637"/>
      <c r="ALT21" s="637"/>
      <c r="ALU21" s="637"/>
      <c r="ALV21" s="637"/>
      <c r="ALW21" s="637"/>
      <c r="ALX21" s="637"/>
      <c r="ALY21" s="637"/>
      <c r="ALZ21" s="637"/>
      <c r="AMA21" s="637"/>
      <c r="AMB21" s="637"/>
      <c r="AMC21" s="637"/>
      <c r="AMD21" s="637"/>
      <c r="AME21" s="637"/>
      <c r="AMF21" s="637"/>
      <c r="AMG21" s="637"/>
      <c r="AMH21" s="637"/>
      <c r="AMI21" s="637"/>
      <c r="AMJ21" s="637"/>
    </row>
    <row r="22" spans="1:1024" s="638" customFormat="1" ht="12.75">
      <c r="A22" s="984"/>
      <c r="B22" s="985"/>
      <c r="C22" s="986"/>
      <c r="D22" s="981" t="s">
        <v>1041</v>
      </c>
      <c r="E22" s="982">
        <v>6800</v>
      </c>
      <c r="F22" s="982">
        <f t="shared" si="1"/>
        <v>12708</v>
      </c>
      <c r="G22" s="987">
        <f>9117+1944-2000</f>
        <v>9061</v>
      </c>
      <c r="H22" s="987">
        <f>2831+540-780</f>
        <v>2591</v>
      </c>
      <c r="I22" s="987">
        <v>1027</v>
      </c>
      <c r="J22" s="987"/>
      <c r="K22" s="987"/>
      <c r="L22" s="987"/>
      <c r="M22" s="987"/>
      <c r="N22" s="987">
        <v>29</v>
      </c>
      <c r="O22" s="987"/>
      <c r="P22" s="987"/>
      <c r="Q22" s="987"/>
      <c r="R22" s="984"/>
      <c r="S22" s="637"/>
      <c r="T22" s="637"/>
      <c r="U22" s="637"/>
      <c r="V22" s="637"/>
      <c r="W22" s="637"/>
      <c r="X22" s="637"/>
      <c r="Y22" s="637"/>
      <c r="Z22" s="637"/>
      <c r="AA22" s="637"/>
      <c r="AB22" s="637"/>
      <c r="AC22" s="637"/>
      <c r="AD22" s="637"/>
      <c r="AE22" s="637"/>
      <c r="AF22" s="637"/>
      <c r="AG22" s="637"/>
      <c r="AH22" s="637"/>
      <c r="AI22" s="637"/>
      <c r="AJ22" s="637"/>
      <c r="AK22" s="637"/>
      <c r="AL22" s="637"/>
      <c r="AM22" s="637"/>
      <c r="AN22" s="637"/>
      <c r="AO22" s="637"/>
      <c r="AP22" s="637"/>
      <c r="AQ22" s="637"/>
      <c r="AR22" s="637"/>
      <c r="AS22" s="637"/>
      <c r="AT22" s="637"/>
      <c r="AU22" s="637"/>
      <c r="AV22" s="637"/>
      <c r="AW22" s="637"/>
      <c r="AX22" s="637"/>
      <c r="AY22" s="637"/>
      <c r="AZ22" s="637"/>
      <c r="BA22" s="637"/>
      <c r="BB22" s="637"/>
      <c r="BC22" s="637"/>
      <c r="BD22" s="637"/>
      <c r="BE22" s="637"/>
      <c r="BF22" s="637"/>
      <c r="BG22" s="637"/>
      <c r="BH22" s="637"/>
      <c r="BI22" s="637"/>
      <c r="BJ22" s="637"/>
      <c r="BK22" s="637"/>
      <c r="BL22" s="637"/>
      <c r="BM22" s="637"/>
      <c r="BN22" s="637"/>
      <c r="BO22" s="637"/>
      <c r="BP22" s="637"/>
      <c r="BQ22" s="637"/>
      <c r="BR22" s="637"/>
      <c r="BS22" s="637"/>
      <c r="BT22" s="637"/>
      <c r="BU22" s="637"/>
      <c r="BV22" s="637"/>
      <c r="BW22" s="637"/>
      <c r="BX22" s="637"/>
      <c r="BY22" s="637"/>
      <c r="BZ22" s="637"/>
      <c r="CA22" s="637"/>
      <c r="CB22" s="637"/>
      <c r="CC22" s="637"/>
      <c r="CD22" s="637"/>
      <c r="CE22" s="637"/>
      <c r="CF22" s="637"/>
      <c r="CG22" s="637"/>
      <c r="CH22" s="637"/>
      <c r="CI22" s="637"/>
      <c r="CJ22" s="637"/>
      <c r="CK22" s="637"/>
      <c r="CL22" s="637"/>
      <c r="CM22" s="637"/>
      <c r="CN22" s="637"/>
      <c r="CO22" s="637"/>
      <c r="CP22" s="637"/>
      <c r="CQ22" s="637"/>
      <c r="CR22" s="637"/>
      <c r="CS22" s="637"/>
      <c r="CT22" s="637"/>
      <c r="CU22" s="637"/>
      <c r="CV22" s="637"/>
      <c r="CW22" s="637"/>
      <c r="CX22" s="637"/>
      <c r="CY22" s="637"/>
      <c r="CZ22" s="637"/>
      <c r="DA22" s="637"/>
      <c r="DB22" s="637"/>
      <c r="DC22" s="637"/>
      <c r="DD22" s="637"/>
      <c r="DE22" s="637"/>
      <c r="DF22" s="637"/>
      <c r="DG22" s="637"/>
      <c r="DH22" s="637"/>
      <c r="DI22" s="637"/>
      <c r="DJ22" s="637"/>
      <c r="DK22" s="637"/>
      <c r="DL22" s="637"/>
      <c r="DM22" s="637"/>
      <c r="DN22" s="637"/>
      <c r="DO22" s="637"/>
      <c r="DP22" s="637"/>
      <c r="DQ22" s="637"/>
      <c r="DR22" s="637"/>
      <c r="DS22" s="637"/>
      <c r="DT22" s="637"/>
      <c r="DU22" s="637"/>
      <c r="DV22" s="637"/>
      <c r="DW22" s="637"/>
      <c r="DX22" s="637"/>
      <c r="DY22" s="637"/>
      <c r="DZ22" s="637"/>
      <c r="EA22" s="637"/>
      <c r="EB22" s="637"/>
      <c r="EC22" s="637"/>
      <c r="ED22" s="637"/>
      <c r="EE22" s="637"/>
      <c r="EF22" s="637"/>
      <c r="EG22" s="637"/>
      <c r="EH22" s="637"/>
      <c r="EI22" s="637"/>
      <c r="EJ22" s="637"/>
      <c r="EK22" s="637"/>
      <c r="EL22" s="637"/>
      <c r="EM22" s="637"/>
      <c r="EN22" s="637"/>
      <c r="EO22" s="637"/>
      <c r="EP22" s="637"/>
      <c r="EQ22" s="637"/>
      <c r="ER22" s="637"/>
      <c r="ES22" s="637"/>
      <c r="ET22" s="637"/>
      <c r="EU22" s="637"/>
      <c r="EV22" s="637"/>
      <c r="EW22" s="637"/>
      <c r="EX22" s="637"/>
      <c r="EY22" s="637"/>
      <c r="EZ22" s="637"/>
      <c r="FA22" s="637"/>
      <c r="FB22" s="637"/>
      <c r="FC22" s="637"/>
      <c r="FD22" s="637"/>
      <c r="FE22" s="637"/>
      <c r="FF22" s="637"/>
      <c r="FG22" s="637"/>
      <c r="FH22" s="637"/>
      <c r="FI22" s="637"/>
      <c r="FJ22" s="637"/>
      <c r="FK22" s="637"/>
      <c r="FL22" s="637"/>
      <c r="FM22" s="637"/>
      <c r="FN22" s="637"/>
      <c r="FO22" s="637"/>
      <c r="FP22" s="637"/>
      <c r="FQ22" s="637"/>
      <c r="FR22" s="637"/>
      <c r="FS22" s="637"/>
      <c r="FT22" s="637"/>
      <c r="FU22" s="637"/>
      <c r="FV22" s="637"/>
      <c r="FW22" s="637"/>
      <c r="FX22" s="637"/>
      <c r="FY22" s="637"/>
      <c r="FZ22" s="637"/>
      <c r="GA22" s="637"/>
      <c r="GB22" s="637"/>
      <c r="GC22" s="637"/>
      <c r="GD22" s="637"/>
      <c r="GE22" s="637"/>
      <c r="GF22" s="637"/>
      <c r="GG22" s="637"/>
      <c r="GH22" s="637"/>
      <c r="GI22" s="637"/>
      <c r="GJ22" s="637"/>
      <c r="GK22" s="637"/>
      <c r="GL22" s="637"/>
      <c r="GM22" s="637"/>
      <c r="GN22" s="637"/>
      <c r="GO22" s="637"/>
      <c r="GP22" s="637"/>
      <c r="GQ22" s="637"/>
      <c r="GR22" s="637"/>
      <c r="GS22" s="637"/>
      <c r="GT22" s="637"/>
      <c r="GU22" s="637"/>
      <c r="GV22" s="637"/>
      <c r="GW22" s="637"/>
      <c r="GX22" s="637"/>
      <c r="GY22" s="637"/>
      <c r="GZ22" s="637"/>
      <c r="HA22" s="637"/>
      <c r="HB22" s="637"/>
      <c r="HC22" s="637"/>
      <c r="HD22" s="637"/>
      <c r="HE22" s="637"/>
      <c r="HF22" s="637"/>
      <c r="HG22" s="637"/>
      <c r="HH22" s="637"/>
      <c r="HI22" s="637"/>
      <c r="HJ22" s="637"/>
      <c r="HK22" s="637"/>
      <c r="HL22" s="637"/>
      <c r="HM22" s="637"/>
      <c r="HN22" s="637"/>
      <c r="HO22" s="637"/>
      <c r="HP22" s="637"/>
      <c r="HQ22" s="637"/>
      <c r="HR22" s="637"/>
      <c r="HS22" s="637"/>
      <c r="HT22" s="637"/>
      <c r="HU22" s="637"/>
      <c r="HV22" s="637"/>
      <c r="HW22" s="637"/>
      <c r="HX22" s="637"/>
      <c r="HY22" s="637"/>
      <c r="HZ22" s="637"/>
      <c r="IA22" s="637"/>
      <c r="IB22" s="637"/>
      <c r="IC22" s="637"/>
      <c r="ID22" s="637"/>
      <c r="IE22" s="637"/>
      <c r="IF22" s="637"/>
      <c r="IG22" s="637"/>
      <c r="IH22" s="637"/>
      <c r="II22" s="637"/>
      <c r="IJ22" s="637"/>
      <c r="IK22" s="637"/>
      <c r="IL22" s="637"/>
      <c r="IM22" s="637"/>
      <c r="IN22" s="637"/>
      <c r="IO22" s="637"/>
      <c r="IP22" s="637"/>
      <c r="IQ22" s="637"/>
      <c r="IR22" s="637"/>
      <c r="IS22" s="637"/>
      <c r="IT22" s="637"/>
      <c r="IU22" s="637"/>
      <c r="IV22" s="637"/>
      <c r="IW22" s="637"/>
      <c r="IX22" s="637"/>
      <c r="IY22" s="637"/>
      <c r="IZ22" s="637"/>
      <c r="JA22" s="637"/>
      <c r="JB22" s="637"/>
      <c r="JC22" s="637"/>
      <c r="JD22" s="637"/>
      <c r="JE22" s="637"/>
      <c r="JF22" s="637"/>
      <c r="JG22" s="637"/>
      <c r="JH22" s="637"/>
      <c r="JI22" s="637"/>
      <c r="JJ22" s="637"/>
      <c r="JK22" s="637"/>
      <c r="JL22" s="637"/>
      <c r="JM22" s="637"/>
      <c r="JN22" s="637"/>
      <c r="JO22" s="637"/>
      <c r="JP22" s="637"/>
      <c r="JQ22" s="637"/>
      <c r="JR22" s="637"/>
      <c r="JS22" s="637"/>
      <c r="JT22" s="637"/>
      <c r="JU22" s="637"/>
      <c r="JV22" s="637"/>
      <c r="JW22" s="637"/>
      <c r="JX22" s="637"/>
      <c r="JY22" s="637"/>
      <c r="JZ22" s="637"/>
      <c r="KA22" s="637"/>
      <c r="KB22" s="637"/>
      <c r="KC22" s="637"/>
      <c r="KD22" s="637"/>
      <c r="KE22" s="637"/>
      <c r="KF22" s="637"/>
      <c r="KG22" s="637"/>
      <c r="KH22" s="637"/>
      <c r="KI22" s="637"/>
      <c r="KJ22" s="637"/>
      <c r="KK22" s="637"/>
      <c r="KL22" s="637"/>
      <c r="KM22" s="637"/>
      <c r="KN22" s="637"/>
      <c r="KO22" s="637"/>
      <c r="KP22" s="637"/>
      <c r="KQ22" s="637"/>
      <c r="KR22" s="637"/>
      <c r="KS22" s="637"/>
      <c r="KT22" s="637"/>
      <c r="KU22" s="637"/>
      <c r="KV22" s="637"/>
      <c r="KW22" s="637"/>
      <c r="KX22" s="637"/>
      <c r="KY22" s="637"/>
      <c r="KZ22" s="637"/>
      <c r="LA22" s="637"/>
      <c r="LB22" s="637"/>
      <c r="LC22" s="637"/>
      <c r="LD22" s="637"/>
      <c r="LE22" s="637"/>
      <c r="LF22" s="637"/>
      <c r="LG22" s="637"/>
      <c r="LH22" s="637"/>
      <c r="LI22" s="637"/>
      <c r="LJ22" s="637"/>
      <c r="LK22" s="637"/>
      <c r="LL22" s="637"/>
      <c r="LM22" s="637"/>
      <c r="LN22" s="637"/>
      <c r="LO22" s="637"/>
      <c r="LP22" s="637"/>
      <c r="LQ22" s="637"/>
      <c r="LR22" s="637"/>
      <c r="LS22" s="637"/>
      <c r="LT22" s="637"/>
      <c r="LU22" s="637"/>
      <c r="LV22" s="637"/>
      <c r="LW22" s="637"/>
      <c r="LX22" s="637"/>
      <c r="LY22" s="637"/>
      <c r="LZ22" s="637"/>
      <c r="MA22" s="637"/>
      <c r="MB22" s="637"/>
      <c r="MC22" s="637"/>
      <c r="MD22" s="637"/>
      <c r="ME22" s="637"/>
      <c r="MF22" s="637"/>
      <c r="MG22" s="637"/>
      <c r="MH22" s="637"/>
      <c r="MI22" s="637"/>
      <c r="MJ22" s="637"/>
      <c r="MK22" s="637"/>
      <c r="ML22" s="637"/>
      <c r="MM22" s="637"/>
      <c r="MN22" s="637"/>
      <c r="MO22" s="637"/>
      <c r="MP22" s="637"/>
      <c r="MQ22" s="637"/>
      <c r="MR22" s="637"/>
      <c r="MS22" s="637"/>
      <c r="MT22" s="637"/>
      <c r="MU22" s="637"/>
      <c r="MV22" s="637"/>
      <c r="MW22" s="637"/>
      <c r="MX22" s="637"/>
      <c r="MY22" s="637"/>
      <c r="MZ22" s="637"/>
      <c r="NA22" s="637"/>
      <c r="NB22" s="637"/>
      <c r="NC22" s="637"/>
      <c r="ND22" s="637"/>
      <c r="NE22" s="637"/>
      <c r="NF22" s="637"/>
      <c r="NG22" s="637"/>
      <c r="NH22" s="637"/>
      <c r="NI22" s="637"/>
      <c r="NJ22" s="637"/>
      <c r="NK22" s="637"/>
      <c r="NL22" s="637"/>
      <c r="NM22" s="637"/>
      <c r="NN22" s="637"/>
      <c r="NO22" s="637"/>
      <c r="NP22" s="637"/>
      <c r="NQ22" s="637"/>
      <c r="NR22" s="637"/>
      <c r="NS22" s="637"/>
      <c r="NT22" s="637"/>
      <c r="NU22" s="637"/>
      <c r="NV22" s="637"/>
      <c r="NW22" s="637"/>
      <c r="NX22" s="637"/>
      <c r="NY22" s="637"/>
      <c r="NZ22" s="637"/>
      <c r="OA22" s="637"/>
      <c r="OB22" s="637"/>
      <c r="OC22" s="637"/>
      <c r="OD22" s="637"/>
      <c r="OE22" s="637"/>
      <c r="OF22" s="637"/>
      <c r="OG22" s="637"/>
      <c r="OH22" s="637"/>
      <c r="OI22" s="637"/>
      <c r="OJ22" s="637"/>
      <c r="OK22" s="637"/>
      <c r="OL22" s="637"/>
      <c r="OM22" s="637"/>
      <c r="ON22" s="637"/>
      <c r="OO22" s="637"/>
      <c r="OP22" s="637"/>
      <c r="OQ22" s="637"/>
      <c r="OR22" s="637"/>
      <c r="OS22" s="637"/>
      <c r="OT22" s="637"/>
      <c r="OU22" s="637"/>
      <c r="OV22" s="637"/>
      <c r="OW22" s="637"/>
      <c r="OX22" s="637"/>
      <c r="OY22" s="637"/>
      <c r="OZ22" s="637"/>
      <c r="PA22" s="637"/>
      <c r="PB22" s="637"/>
      <c r="PC22" s="637"/>
      <c r="PD22" s="637"/>
      <c r="PE22" s="637"/>
      <c r="PF22" s="637"/>
      <c r="PG22" s="637"/>
      <c r="PH22" s="637"/>
      <c r="PI22" s="637"/>
      <c r="PJ22" s="637"/>
      <c r="PK22" s="637"/>
      <c r="PL22" s="637"/>
      <c r="PM22" s="637"/>
      <c r="PN22" s="637"/>
      <c r="PO22" s="637"/>
      <c r="PP22" s="637"/>
      <c r="PQ22" s="637"/>
      <c r="PR22" s="637"/>
      <c r="PS22" s="637"/>
      <c r="PT22" s="637"/>
      <c r="PU22" s="637"/>
      <c r="PV22" s="637"/>
      <c r="PW22" s="637"/>
      <c r="PX22" s="637"/>
      <c r="PY22" s="637"/>
      <c r="PZ22" s="637"/>
      <c r="QA22" s="637"/>
      <c r="QB22" s="637"/>
      <c r="QC22" s="637"/>
      <c r="QD22" s="637"/>
      <c r="QE22" s="637"/>
      <c r="QF22" s="637"/>
      <c r="QG22" s="637"/>
      <c r="QH22" s="637"/>
      <c r="QI22" s="637"/>
      <c r="QJ22" s="637"/>
      <c r="QK22" s="637"/>
      <c r="QL22" s="637"/>
      <c r="QM22" s="637"/>
      <c r="QN22" s="637"/>
      <c r="QO22" s="637"/>
      <c r="QP22" s="637"/>
      <c r="QQ22" s="637"/>
      <c r="QR22" s="637"/>
      <c r="QS22" s="637"/>
      <c r="QT22" s="637"/>
      <c r="QU22" s="637"/>
      <c r="QV22" s="637"/>
      <c r="QW22" s="637"/>
      <c r="QX22" s="637"/>
      <c r="QY22" s="637"/>
      <c r="QZ22" s="637"/>
      <c r="RA22" s="637"/>
      <c r="RB22" s="637"/>
      <c r="RC22" s="637"/>
      <c r="RD22" s="637"/>
      <c r="RE22" s="637"/>
      <c r="RF22" s="637"/>
      <c r="RG22" s="637"/>
      <c r="RH22" s="637"/>
      <c r="RI22" s="637"/>
      <c r="RJ22" s="637"/>
      <c r="RK22" s="637"/>
      <c r="RL22" s="637"/>
      <c r="RM22" s="637"/>
      <c r="RN22" s="637"/>
      <c r="RO22" s="637"/>
      <c r="RP22" s="637"/>
      <c r="RQ22" s="637"/>
      <c r="RR22" s="637"/>
      <c r="RS22" s="637"/>
      <c r="RT22" s="637"/>
      <c r="RU22" s="637"/>
      <c r="RV22" s="637"/>
      <c r="RW22" s="637"/>
      <c r="RX22" s="637"/>
      <c r="RY22" s="637"/>
      <c r="RZ22" s="637"/>
      <c r="SA22" s="637"/>
      <c r="SB22" s="637"/>
      <c r="SC22" s="637"/>
      <c r="SD22" s="637"/>
      <c r="SE22" s="637"/>
      <c r="SF22" s="637"/>
      <c r="SG22" s="637"/>
      <c r="SH22" s="637"/>
      <c r="SI22" s="637"/>
      <c r="SJ22" s="637"/>
      <c r="SK22" s="637"/>
      <c r="SL22" s="637"/>
      <c r="SM22" s="637"/>
      <c r="SN22" s="637"/>
      <c r="SO22" s="637"/>
      <c r="SP22" s="637"/>
      <c r="SQ22" s="637"/>
      <c r="SR22" s="637"/>
      <c r="SS22" s="637"/>
      <c r="ST22" s="637"/>
      <c r="SU22" s="637"/>
      <c r="SV22" s="637"/>
      <c r="SW22" s="637"/>
      <c r="SX22" s="637"/>
      <c r="SY22" s="637"/>
      <c r="SZ22" s="637"/>
      <c r="TA22" s="637"/>
      <c r="TB22" s="637"/>
      <c r="TC22" s="637"/>
      <c r="TD22" s="637"/>
      <c r="TE22" s="637"/>
      <c r="TF22" s="637"/>
      <c r="TG22" s="637"/>
      <c r="TH22" s="637"/>
      <c r="TI22" s="637"/>
      <c r="TJ22" s="637"/>
      <c r="TK22" s="637"/>
      <c r="TL22" s="637"/>
      <c r="TM22" s="637"/>
      <c r="TN22" s="637"/>
      <c r="TO22" s="637"/>
      <c r="TP22" s="637"/>
      <c r="TQ22" s="637"/>
      <c r="TR22" s="637"/>
      <c r="TS22" s="637"/>
      <c r="TT22" s="637"/>
      <c r="TU22" s="637"/>
      <c r="TV22" s="637"/>
      <c r="TW22" s="637"/>
      <c r="TX22" s="637"/>
      <c r="TY22" s="637"/>
      <c r="TZ22" s="637"/>
      <c r="UA22" s="637"/>
      <c r="UB22" s="637"/>
      <c r="UC22" s="637"/>
      <c r="UD22" s="637"/>
      <c r="UE22" s="637"/>
      <c r="UF22" s="637"/>
      <c r="UG22" s="637"/>
      <c r="UH22" s="637"/>
      <c r="UI22" s="637"/>
      <c r="UJ22" s="637"/>
      <c r="UK22" s="637"/>
      <c r="UL22" s="637"/>
      <c r="UM22" s="637"/>
      <c r="UN22" s="637"/>
      <c r="UO22" s="637"/>
      <c r="UP22" s="637"/>
      <c r="UQ22" s="637"/>
      <c r="UR22" s="637"/>
      <c r="US22" s="637"/>
      <c r="UT22" s="637"/>
      <c r="UU22" s="637"/>
      <c r="UV22" s="637"/>
      <c r="UW22" s="637"/>
      <c r="UX22" s="637"/>
      <c r="UY22" s="637"/>
      <c r="UZ22" s="637"/>
      <c r="VA22" s="637"/>
      <c r="VB22" s="637"/>
      <c r="VC22" s="637"/>
      <c r="VD22" s="637"/>
      <c r="VE22" s="637"/>
      <c r="VF22" s="637"/>
      <c r="VG22" s="637"/>
      <c r="VH22" s="637"/>
      <c r="VI22" s="637"/>
      <c r="VJ22" s="637"/>
      <c r="VK22" s="637"/>
      <c r="VL22" s="637"/>
      <c r="VM22" s="637"/>
      <c r="VN22" s="637"/>
      <c r="VO22" s="637"/>
      <c r="VP22" s="637"/>
      <c r="VQ22" s="637"/>
      <c r="VR22" s="637"/>
      <c r="VS22" s="637"/>
      <c r="VT22" s="637"/>
      <c r="VU22" s="637"/>
      <c r="VV22" s="637"/>
      <c r="VW22" s="637"/>
      <c r="VX22" s="637"/>
      <c r="VY22" s="637"/>
      <c r="VZ22" s="637"/>
      <c r="WA22" s="637"/>
      <c r="WB22" s="637"/>
      <c r="WC22" s="637"/>
      <c r="WD22" s="637"/>
      <c r="WE22" s="637"/>
      <c r="WF22" s="637"/>
      <c r="WG22" s="637"/>
      <c r="WH22" s="637"/>
      <c r="WI22" s="637"/>
      <c r="WJ22" s="637"/>
      <c r="WK22" s="637"/>
      <c r="WL22" s="637"/>
      <c r="WM22" s="637"/>
      <c r="WN22" s="637"/>
      <c r="WO22" s="637"/>
      <c r="WP22" s="637"/>
      <c r="WQ22" s="637"/>
      <c r="WR22" s="637"/>
      <c r="WS22" s="637"/>
      <c r="WT22" s="637"/>
      <c r="WU22" s="637"/>
      <c r="WV22" s="637"/>
      <c r="WW22" s="637"/>
      <c r="WX22" s="637"/>
      <c r="WY22" s="637"/>
      <c r="WZ22" s="637"/>
      <c r="XA22" s="637"/>
      <c r="XB22" s="637"/>
      <c r="XC22" s="637"/>
      <c r="XD22" s="637"/>
      <c r="XE22" s="637"/>
      <c r="XF22" s="637"/>
      <c r="XG22" s="637"/>
      <c r="XH22" s="637"/>
      <c r="XI22" s="637"/>
      <c r="XJ22" s="637"/>
      <c r="XK22" s="637"/>
      <c r="XL22" s="637"/>
      <c r="XM22" s="637"/>
      <c r="XN22" s="637"/>
      <c r="XO22" s="637"/>
      <c r="XP22" s="637"/>
      <c r="XQ22" s="637"/>
      <c r="XR22" s="637"/>
      <c r="XS22" s="637"/>
      <c r="XT22" s="637"/>
      <c r="XU22" s="637"/>
      <c r="XV22" s="637"/>
      <c r="XW22" s="637"/>
      <c r="XX22" s="637"/>
      <c r="XY22" s="637"/>
      <c r="XZ22" s="637"/>
      <c r="YA22" s="637"/>
      <c r="YB22" s="637"/>
      <c r="YC22" s="637"/>
      <c r="YD22" s="637"/>
      <c r="YE22" s="637"/>
      <c r="YF22" s="637"/>
      <c r="YG22" s="637"/>
      <c r="YH22" s="637"/>
      <c r="YI22" s="637"/>
      <c r="YJ22" s="637"/>
      <c r="YK22" s="637"/>
      <c r="YL22" s="637"/>
      <c r="YM22" s="637"/>
      <c r="YN22" s="637"/>
      <c r="YO22" s="637"/>
      <c r="YP22" s="637"/>
      <c r="YQ22" s="637"/>
      <c r="YR22" s="637"/>
      <c r="YS22" s="637"/>
      <c r="YT22" s="637"/>
      <c r="YU22" s="637"/>
      <c r="YV22" s="637"/>
      <c r="YW22" s="637"/>
      <c r="YX22" s="637"/>
      <c r="YY22" s="637"/>
      <c r="YZ22" s="637"/>
      <c r="ZA22" s="637"/>
      <c r="ZB22" s="637"/>
      <c r="ZC22" s="637"/>
      <c r="ZD22" s="637"/>
      <c r="ZE22" s="637"/>
      <c r="ZF22" s="637"/>
      <c r="ZG22" s="637"/>
      <c r="ZH22" s="637"/>
      <c r="ZI22" s="637"/>
      <c r="ZJ22" s="637"/>
      <c r="ZK22" s="637"/>
      <c r="ZL22" s="637"/>
      <c r="ZM22" s="637"/>
      <c r="ZN22" s="637"/>
      <c r="ZO22" s="637"/>
      <c r="ZP22" s="637"/>
      <c r="ZQ22" s="637"/>
      <c r="ZR22" s="637"/>
      <c r="ZS22" s="637"/>
      <c r="ZT22" s="637"/>
      <c r="ZU22" s="637"/>
      <c r="ZV22" s="637"/>
      <c r="ZW22" s="637"/>
      <c r="ZX22" s="637"/>
      <c r="ZY22" s="637"/>
      <c r="ZZ22" s="637"/>
      <c r="AAA22" s="637"/>
      <c r="AAB22" s="637"/>
      <c r="AAC22" s="637"/>
      <c r="AAD22" s="637"/>
      <c r="AAE22" s="637"/>
      <c r="AAF22" s="637"/>
      <c r="AAG22" s="637"/>
      <c r="AAH22" s="637"/>
      <c r="AAI22" s="637"/>
      <c r="AAJ22" s="637"/>
      <c r="AAK22" s="637"/>
      <c r="AAL22" s="637"/>
      <c r="AAM22" s="637"/>
      <c r="AAN22" s="637"/>
      <c r="AAO22" s="637"/>
      <c r="AAP22" s="637"/>
      <c r="AAQ22" s="637"/>
      <c r="AAR22" s="637"/>
      <c r="AAS22" s="637"/>
      <c r="AAT22" s="637"/>
      <c r="AAU22" s="637"/>
      <c r="AAV22" s="637"/>
      <c r="AAW22" s="637"/>
      <c r="AAX22" s="637"/>
      <c r="AAY22" s="637"/>
      <c r="AAZ22" s="637"/>
      <c r="ABA22" s="637"/>
      <c r="ABB22" s="637"/>
      <c r="ABC22" s="637"/>
      <c r="ABD22" s="637"/>
      <c r="ABE22" s="637"/>
      <c r="ABF22" s="637"/>
      <c r="ABG22" s="637"/>
      <c r="ABH22" s="637"/>
      <c r="ABI22" s="637"/>
      <c r="ABJ22" s="637"/>
      <c r="ABK22" s="637"/>
      <c r="ABL22" s="637"/>
      <c r="ABM22" s="637"/>
      <c r="ABN22" s="637"/>
      <c r="ABO22" s="637"/>
      <c r="ABP22" s="637"/>
      <c r="ABQ22" s="637"/>
      <c r="ABR22" s="637"/>
      <c r="ABS22" s="637"/>
      <c r="ABT22" s="637"/>
      <c r="ABU22" s="637"/>
      <c r="ABV22" s="637"/>
      <c r="ABW22" s="637"/>
      <c r="ABX22" s="637"/>
      <c r="ABY22" s="637"/>
      <c r="ABZ22" s="637"/>
      <c r="ACA22" s="637"/>
      <c r="ACB22" s="637"/>
      <c r="ACC22" s="637"/>
      <c r="ACD22" s="637"/>
      <c r="ACE22" s="637"/>
      <c r="ACF22" s="637"/>
      <c r="ACG22" s="637"/>
      <c r="ACH22" s="637"/>
      <c r="ACI22" s="637"/>
      <c r="ACJ22" s="637"/>
      <c r="ACK22" s="637"/>
      <c r="ACL22" s="637"/>
      <c r="ACM22" s="637"/>
      <c r="ACN22" s="637"/>
      <c r="ACO22" s="637"/>
      <c r="ACP22" s="637"/>
      <c r="ACQ22" s="637"/>
      <c r="ACR22" s="637"/>
      <c r="ACS22" s="637"/>
      <c r="ACT22" s="637"/>
      <c r="ACU22" s="637"/>
      <c r="ACV22" s="637"/>
      <c r="ACW22" s="637"/>
      <c r="ACX22" s="637"/>
      <c r="ACY22" s="637"/>
      <c r="ACZ22" s="637"/>
      <c r="ADA22" s="637"/>
      <c r="ADB22" s="637"/>
      <c r="ADC22" s="637"/>
      <c r="ADD22" s="637"/>
      <c r="ADE22" s="637"/>
      <c r="ADF22" s="637"/>
      <c r="ADG22" s="637"/>
      <c r="ADH22" s="637"/>
      <c r="ADI22" s="637"/>
      <c r="ADJ22" s="637"/>
      <c r="ADK22" s="637"/>
      <c r="ADL22" s="637"/>
      <c r="ADM22" s="637"/>
      <c r="ADN22" s="637"/>
      <c r="ADO22" s="637"/>
      <c r="ADP22" s="637"/>
      <c r="ADQ22" s="637"/>
      <c r="ADR22" s="637"/>
      <c r="ADS22" s="637"/>
      <c r="ADT22" s="637"/>
      <c r="ADU22" s="637"/>
      <c r="ADV22" s="637"/>
      <c r="ADW22" s="637"/>
      <c r="ADX22" s="637"/>
      <c r="ADY22" s="637"/>
      <c r="ADZ22" s="637"/>
      <c r="AEA22" s="637"/>
      <c r="AEB22" s="637"/>
      <c r="AEC22" s="637"/>
      <c r="AED22" s="637"/>
      <c r="AEE22" s="637"/>
      <c r="AEF22" s="637"/>
      <c r="AEG22" s="637"/>
      <c r="AEH22" s="637"/>
      <c r="AEI22" s="637"/>
      <c r="AEJ22" s="637"/>
      <c r="AEK22" s="637"/>
      <c r="AEL22" s="637"/>
      <c r="AEM22" s="637"/>
      <c r="AEN22" s="637"/>
      <c r="AEO22" s="637"/>
      <c r="AEP22" s="637"/>
      <c r="AEQ22" s="637"/>
      <c r="AER22" s="637"/>
      <c r="AES22" s="637"/>
      <c r="AET22" s="637"/>
      <c r="AEU22" s="637"/>
      <c r="AEV22" s="637"/>
      <c r="AEW22" s="637"/>
      <c r="AEX22" s="637"/>
      <c r="AEY22" s="637"/>
      <c r="AEZ22" s="637"/>
      <c r="AFA22" s="637"/>
      <c r="AFB22" s="637"/>
      <c r="AFC22" s="637"/>
      <c r="AFD22" s="637"/>
      <c r="AFE22" s="637"/>
      <c r="AFF22" s="637"/>
      <c r="AFG22" s="637"/>
      <c r="AFH22" s="637"/>
      <c r="AFI22" s="637"/>
      <c r="AFJ22" s="637"/>
      <c r="AFK22" s="637"/>
      <c r="AFL22" s="637"/>
      <c r="AFM22" s="637"/>
      <c r="AFN22" s="637"/>
      <c r="AFO22" s="637"/>
      <c r="AFP22" s="637"/>
      <c r="AFQ22" s="637"/>
      <c r="AFR22" s="637"/>
      <c r="AFS22" s="637"/>
      <c r="AFT22" s="637"/>
      <c r="AFU22" s="637"/>
      <c r="AFV22" s="637"/>
      <c r="AFW22" s="637"/>
      <c r="AFX22" s="637"/>
      <c r="AFY22" s="637"/>
      <c r="AFZ22" s="637"/>
      <c r="AGA22" s="637"/>
      <c r="AGB22" s="637"/>
      <c r="AGC22" s="637"/>
      <c r="AGD22" s="637"/>
      <c r="AGE22" s="637"/>
      <c r="AGF22" s="637"/>
      <c r="AGG22" s="637"/>
      <c r="AGH22" s="637"/>
      <c r="AGI22" s="637"/>
      <c r="AGJ22" s="637"/>
      <c r="AGK22" s="637"/>
      <c r="AGL22" s="637"/>
      <c r="AGM22" s="637"/>
      <c r="AGN22" s="637"/>
      <c r="AGO22" s="637"/>
      <c r="AGP22" s="637"/>
      <c r="AGQ22" s="637"/>
      <c r="AGR22" s="637"/>
      <c r="AGS22" s="637"/>
      <c r="AGT22" s="637"/>
      <c r="AGU22" s="637"/>
      <c r="AGV22" s="637"/>
      <c r="AGW22" s="637"/>
      <c r="AGX22" s="637"/>
      <c r="AGY22" s="637"/>
      <c r="AGZ22" s="637"/>
      <c r="AHA22" s="637"/>
      <c r="AHB22" s="637"/>
      <c r="AHC22" s="637"/>
      <c r="AHD22" s="637"/>
      <c r="AHE22" s="637"/>
      <c r="AHF22" s="637"/>
      <c r="AHG22" s="637"/>
      <c r="AHH22" s="637"/>
      <c r="AHI22" s="637"/>
      <c r="AHJ22" s="637"/>
      <c r="AHK22" s="637"/>
      <c r="AHL22" s="637"/>
      <c r="AHM22" s="637"/>
      <c r="AHN22" s="637"/>
      <c r="AHO22" s="637"/>
      <c r="AHP22" s="637"/>
      <c r="AHQ22" s="637"/>
      <c r="AHR22" s="637"/>
      <c r="AHS22" s="637"/>
      <c r="AHT22" s="637"/>
      <c r="AHU22" s="637"/>
      <c r="AHV22" s="637"/>
      <c r="AHW22" s="637"/>
      <c r="AHX22" s="637"/>
      <c r="AHY22" s="637"/>
      <c r="AHZ22" s="637"/>
      <c r="AIA22" s="637"/>
      <c r="AIB22" s="637"/>
      <c r="AIC22" s="637"/>
      <c r="AID22" s="637"/>
      <c r="AIE22" s="637"/>
      <c r="AIF22" s="637"/>
      <c r="AIG22" s="637"/>
      <c r="AIH22" s="637"/>
      <c r="AII22" s="637"/>
      <c r="AIJ22" s="637"/>
      <c r="AIK22" s="637"/>
      <c r="AIL22" s="637"/>
      <c r="AIM22" s="637"/>
      <c r="AIN22" s="637"/>
      <c r="AIO22" s="637"/>
      <c r="AIP22" s="637"/>
      <c r="AIQ22" s="637"/>
      <c r="AIR22" s="637"/>
      <c r="AIS22" s="637"/>
      <c r="AIT22" s="637"/>
      <c r="AIU22" s="637"/>
      <c r="AIV22" s="637"/>
      <c r="AIW22" s="637"/>
      <c r="AIX22" s="637"/>
      <c r="AIY22" s="637"/>
      <c r="AIZ22" s="637"/>
      <c r="AJA22" s="637"/>
      <c r="AJB22" s="637"/>
      <c r="AJC22" s="637"/>
      <c r="AJD22" s="637"/>
      <c r="AJE22" s="637"/>
      <c r="AJF22" s="637"/>
      <c r="AJG22" s="637"/>
      <c r="AJH22" s="637"/>
      <c r="AJI22" s="637"/>
      <c r="AJJ22" s="637"/>
      <c r="AJK22" s="637"/>
      <c r="AJL22" s="637"/>
      <c r="AJM22" s="637"/>
      <c r="AJN22" s="637"/>
      <c r="AJO22" s="637"/>
      <c r="AJP22" s="637"/>
      <c r="AJQ22" s="637"/>
      <c r="AJR22" s="637"/>
      <c r="AJS22" s="637"/>
      <c r="AJT22" s="637"/>
      <c r="AJU22" s="637"/>
      <c r="AJV22" s="637"/>
      <c r="AJW22" s="637"/>
      <c r="AJX22" s="637"/>
      <c r="AJY22" s="637"/>
      <c r="AJZ22" s="637"/>
      <c r="AKA22" s="637"/>
      <c r="AKB22" s="637"/>
      <c r="AKC22" s="637"/>
      <c r="AKD22" s="637"/>
      <c r="AKE22" s="637"/>
      <c r="AKF22" s="637"/>
      <c r="AKG22" s="637"/>
      <c r="AKH22" s="637"/>
      <c r="AKI22" s="637"/>
      <c r="AKJ22" s="637"/>
      <c r="AKK22" s="637"/>
      <c r="AKL22" s="637"/>
      <c r="AKM22" s="637"/>
      <c r="AKN22" s="637"/>
      <c r="AKO22" s="637"/>
      <c r="AKP22" s="637"/>
      <c r="AKQ22" s="637"/>
      <c r="AKR22" s="637"/>
      <c r="AKS22" s="637"/>
      <c r="AKT22" s="637"/>
      <c r="AKU22" s="637"/>
      <c r="AKV22" s="637"/>
      <c r="AKW22" s="637"/>
      <c r="AKX22" s="637"/>
      <c r="AKY22" s="637"/>
      <c r="AKZ22" s="637"/>
      <c r="ALA22" s="637"/>
      <c r="ALB22" s="637"/>
      <c r="ALC22" s="637"/>
      <c r="ALD22" s="637"/>
      <c r="ALE22" s="637"/>
      <c r="ALF22" s="637"/>
      <c r="ALG22" s="637"/>
      <c r="ALH22" s="637"/>
      <c r="ALI22" s="637"/>
      <c r="ALJ22" s="637"/>
      <c r="ALK22" s="637"/>
      <c r="ALL22" s="637"/>
      <c r="ALM22" s="637"/>
      <c r="ALN22" s="637"/>
      <c r="ALO22" s="637"/>
      <c r="ALP22" s="637"/>
      <c r="ALQ22" s="637"/>
      <c r="ALR22" s="637"/>
      <c r="ALS22" s="637"/>
      <c r="ALT22" s="637"/>
      <c r="ALU22" s="637"/>
      <c r="ALV22" s="637"/>
      <c r="ALW22" s="637"/>
      <c r="ALX22" s="637"/>
      <c r="ALY22" s="637"/>
      <c r="ALZ22" s="637"/>
      <c r="AMA22" s="637"/>
      <c r="AMB22" s="637"/>
      <c r="AMC22" s="637"/>
      <c r="AMD22" s="637"/>
      <c r="AME22" s="637"/>
      <c r="AMF22" s="637"/>
      <c r="AMG22" s="637"/>
      <c r="AMH22" s="637"/>
      <c r="AMI22" s="637"/>
      <c r="AMJ22" s="637"/>
    </row>
    <row r="23" spans="1:1024" s="638" customFormat="1" ht="12.75" hidden="1">
      <c r="A23" s="984"/>
      <c r="B23" s="985"/>
      <c r="C23" s="986"/>
      <c r="D23" s="988"/>
      <c r="E23" s="989">
        <v>6804</v>
      </c>
      <c r="F23" s="989">
        <f t="shared" si="1"/>
        <v>11989</v>
      </c>
      <c r="G23" s="990">
        <v>8850</v>
      </c>
      <c r="H23" s="990">
        <v>2590</v>
      </c>
      <c r="I23" s="990">
        <v>520</v>
      </c>
      <c r="J23" s="990"/>
      <c r="K23" s="990"/>
      <c r="L23" s="990"/>
      <c r="M23" s="990"/>
      <c r="N23" s="990">
        <v>29</v>
      </c>
      <c r="O23" s="990"/>
      <c r="P23" s="990"/>
      <c r="Q23" s="990"/>
      <c r="R23" s="991"/>
      <c r="S23" s="637"/>
      <c r="T23" s="637"/>
      <c r="U23" s="637"/>
      <c r="V23" s="637"/>
      <c r="W23" s="637"/>
      <c r="X23" s="637"/>
      <c r="Y23" s="637"/>
      <c r="Z23" s="637"/>
      <c r="AA23" s="637"/>
      <c r="AB23" s="637"/>
      <c r="AC23" s="637"/>
      <c r="AD23" s="637"/>
      <c r="AE23" s="637"/>
      <c r="AF23" s="637"/>
      <c r="AG23" s="637"/>
      <c r="AH23" s="637"/>
      <c r="AI23" s="637"/>
      <c r="AJ23" s="637"/>
      <c r="AK23" s="637"/>
      <c r="AL23" s="637"/>
      <c r="AM23" s="637"/>
      <c r="AN23" s="637"/>
      <c r="AO23" s="637"/>
      <c r="AP23" s="637"/>
      <c r="AQ23" s="637"/>
      <c r="AR23" s="637"/>
      <c r="AS23" s="637"/>
      <c r="AT23" s="637"/>
      <c r="AU23" s="637"/>
      <c r="AV23" s="637"/>
      <c r="AW23" s="637"/>
      <c r="AX23" s="637"/>
      <c r="AY23" s="637"/>
      <c r="AZ23" s="637"/>
      <c r="BA23" s="637"/>
      <c r="BB23" s="637"/>
      <c r="BC23" s="637"/>
      <c r="BD23" s="637"/>
      <c r="BE23" s="637"/>
      <c r="BF23" s="637"/>
      <c r="BG23" s="637"/>
      <c r="BH23" s="637"/>
      <c r="BI23" s="637"/>
      <c r="BJ23" s="637"/>
      <c r="BK23" s="637"/>
      <c r="BL23" s="637"/>
      <c r="BM23" s="637"/>
      <c r="BN23" s="637"/>
      <c r="BO23" s="637"/>
      <c r="BP23" s="637"/>
      <c r="BQ23" s="637"/>
      <c r="BR23" s="637"/>
      <c r="BS23" s="637"/>
      <c r="BT23" s="637"/>
      <c r="BU23" s="637"/>
      <c r="BV23" s="637"/>
      <c r="BW23" s="637"/>
      <c r="BX23" s="637"/>
      <c r="BY23" s="637"/>
      <c r="BZ23" s="637"/>
      <c r="CA23" s="637"/>
      <c r="CB23" s="637"/>
      <c r="CC23" s="637"/>
      <c r="CD23" s="637"/>
      <c r="CE23" s="637"/>
      <c r="CF23" s="637"/>
      <c r="CG23" s="637"/>
      <c r="CH23" s="637"/>
      <c r="CI23" s="637"/>
      <c r="CJ23" s="637"/>
      <c r="CK23" s="637"/>
      <c r="CL23" s="637"/>
      <c r="CM23" s="637"/>
      <c r="CN23" s="637"/>
      <c r="CO23" s="637"/>
      <c r="CP23" s="637"/>
      <c r="CQ23" s="637"/>
      <c r="CR23" s="637"/>
      <c r="CS23" s="637"/>
      <c r="CT23" s="637"/>
      <c r="CU23" s="637"/>
      <c r="CV23" s="637"/>
      <c r="CW23" s="637"/>
      <c r="CX23" s="637"/>
      <c r="CY23" s="637"/>
      <c r="CZ23" s="637"/>
      <c r="DA23" s="637"/>
      <c r="DB23" s="637"/>
      <c r="DC23" s="637"/>
      <c r="DD23" s="637"/>
      <c r="DE23" s="637"/>
      <c r="DF23" s="637"/>
      <c r="DG23" s="637"/>
      <c r="DH23" s="637"/>
      <c r="DI23" s="637"/>
      <c r="DJ23" s="637"/>
      <c r="DK23" s="637"/>
      <c r="DL23" s="637"/>
      <c r="DM23" s="637"/>
      <c r="DN23" s="637"/>
      <c r="DO23" s="637"/>
      <c r="DP23" s="637"/>
      <c r="DQ23" s="637"/>
      <c r="DR23" s="637"/>
      <c r="DS23" s="637"/>
      <c r="DT23" s="637"/>
      <c r="DU23" s="637"/>
      <c r="DV23" s="637"/>
      <c r="DW23" s="637"/>
      <c r="DX23" s="637"/>
      <c r="DY23" s="637"/>
      <c r="DZ23" s="637"/>
      <c r="EA23" s="637"/>
      <c r="EB23" s="637"/>
      <c r="EC23" s="637"/>
      <c r="ED23" s="637"/>
      <c r="EE23" s="637"/>
      <c r="EF23" s="637"/>
      <c r="EG23" s="637"/>
      <c r="EH23" s="637"/>
      <c r="EI23" s="637"/>
      <c r="EJ23" s="637"/>
      <c r="EK23" s="637"/>
      <c r="EL23" s="637"/>
      <c r="EM23" s="637"/>
      <c r="EN23" s="637"/>
      <c r="EO23" s="637"/>
      <c r="EP23" s="637"/>
      <c r="EQ23" s="637"/>
      <c r="ER23" s="637"/>
      <c r="ES23" s="637"/>
      <c r="ET23" s="637"/>
      <c r="EU23" s="637"/>
      <c r="EV23" s="637"/>
      <c r="EW23" s="637"/>
      <c r="EX23" s="637"/>
      <c r="EY23" s="637"/>
      <c r="EZ23" s="637"/>
      <c r="FA23" s="637"/>
      <c r="FB23" s="637"/>
      <c r="FC23" s="637"/>
      <c r="FD23" s="637"/>
      <c r="FE23" s="637"/>
      <c r="FF23" s="637"/>
      <c r="FG23" s="637"/>
      <c r="FH23" s="637"/>
      <c r="FI23" s="637"/>
      <c r="FJ23" s="637"/>
      <c r="FK23" s="637"/>
      <c r="FL23" s="637"/>
      <c r="FM23" s="637"/>
      <c r="FN23" s="637"/>
      <c r="FO23" s="637"/>
      <c r="FP23" s="637"/>
      <c r="FQ23" s="637"/>
      <c r="FR23" s="637"/>
      <c r="FS23" s="637"/>
      <c r="FT23" s="637"/>
      <c r="FU23" s="637"/>
      <c r="FV23" s="637"/>
      <c r="FW23" s="637"/>
      <c r="FX23" s="637"/>
      <c r="FY23" s="637"/>
      <c r="FZ23" s="637"/>
      <c r="GA23" s="637"/>
      <c r="GB23" s="637"/>
      <c r="GC23" s="637"/>
      <c r="GD23" s="637"/>
      <c r="GE23" s="637"/>
      <c r="GF23" s="637"/>
      <c r="GG23" s="637"/>
      <c r="GH23" s="637"/>
      <c r="GI23" s="637"/>
      <c r="GJ23" s="637"/>
      <c r="GK23" s="637"/>
      <c r="GL23" s="637"/>
      <c r="GM23" s="637"/>
      <c r="GN23" s="637"/>
      <c r="GO23" s="637"/>
      <c r="GP23" s="637"/>
      <c r="GQ23" s="637"/>
      <c r="GR23" s="637"/>
      <c r="GS23" s="637"/>
      <c r="GT23" s="637"/>
      <c r="GU23" s="637"/>
      <c r="GV23" s="637"/>
      <c r="GW23" s="637"/>
      <c r="GX23" s="637"/>
      <c r="GY23" s="637"/>
      <c r="GZ23" s="637"/>
      <c r="HA23" s="637"/>
      <c r="HB23" s="637"/>
      <c r="HC23" s="637"/>
      <c r="HD23" s="637"/>
      <c r="HE23" s="637"/>
      <c r="HF23" s="637"/>
      <c r="HG23" s="637"/>
      <c r="HH23" s="637"/>
      <c r="HI23" s="637"/>
      <c r="HJ23" s="637"/>
      <c r="HK23" s="637"/>
      <c r="HL23" s="637"/>
      <c r="HM23" s="637"/>
      <c r="HN23" s="637"/>
      <c r="HO23" s="637"/>
      <c r="HP23" s="637"/>
      <c r="HQ23" s="637"/>
      <c r="HR23" s="637"/>
      <c r="HS23" s="637"/>
      <c r="HT23" s="637"/>
      <c r="HU23" s="637"/>
      <c r="HV23" s="637"/>
      <c r="HW23" s="637"/>
      <c r="HX23" s="637"/>
      <c r="HY23" s="637"/>
      <c r="HZ23" s="637"/>
      <c r="IA23" s="637"/>
      <c r="IB23" s="637"/>
      <c r="IC23" s="637"/>
      <c r="ID23" s="637"/>
      <c r="IE23" s="637"/>
      <c r="IF23" s="637"/>
      <c r="IG23" s="637"/>
      <c r="IH23" s="637"/>
      <c r="II23" s="637"/>
      <c r="IJ23" s="637"/>
      <c r="IK23" s="637"/>
      <c r="IL23" s="637"/>
      <c r="IM23" s="637"/>
      <c r="IN23" s="637"/>
      <c r="IO23" s="637"/>
      <c r="IP23" s="637"/>
      <c r="IQ23" s="637"/>
      <c r="IR23" s="637"/>
      <c r="IS23" s="637"/>
      <c r="IT23" s="637"/>
      <c r="IU23" s="637"/>
      <c r="IV23" s="637"/>
      <c r="IW23" s="637"/>
      <c r="IX23" s="637"/>
      <c r="IY23" s="637"/>
      <c r="IZ23" s="637"/>
      <c r="JA23" s="637"/>
      <c r="JB23" s="637"/>
      <c r="JC23" s="637"/>
      <c r="JD23" s="637"/>
      <c r="JE23" s="637"/>
      <c r="JF23" s="637"/>
      <c r="JG23" s="637"/>
      <c r="JH23" s="637"/>
      <c r="JI23" s="637"/>
      <c r="JJ23" s="637"/>
      <c r="JK23" s="637"/>
      <c r="JL23" s="637"/>
      <c r="JM23" s="637"/>
      <c r="JN23" s="637"/>
      <c r="JO23" s="637"/>
      <c r="JP23" s="637"/>
      <c r="JQ23" s="637"/>
      <c r="JR23" s="637"/>
      <c r="JS23" s="637"/>
      <c r="JT23" s="637"/>
      <c r="JU23" s="637"/>
      <c r="JV23" s="637"/>
      <c r="JW23" s="637"/>
      <c r="JX23" s="637"/>
      <c r="JY23" s="637"/>
      <c r="JZ23" s="637"/>
      <c r="KA23" s="637"/>
      <c r="KB23" s="637"/>
      <c r="KC23" s="637"/>
      <c r="KD23" s="637"/>
      <c r="KE23" s="637"/>
      <c r="KF23" s="637"/>
      <c r="KG23" s="637"/>
      <c r="KH23" s="637"/>
      <c r="KI23" s="637"/>
      <c r="KJ23" s="637"/>
      <c r="KK23" s="637"/>
      <c r="KL23" s="637"/>
      <c r="KM23" s="637"/>
      <c r="KN23" s="637"/>
      <c r="KO23" s="637"/>
      <c r="KP23" s="637"/>
      <c r="KQ23" s="637"/>
      <c r="KR23" s="637"/>
      <c r="KS23" s="637"/>
      <c r="KT23" s="637"/>
      <c r="KU23" s="637"/>
      <c r="KV23" s="637"/>
      <c r="KW23" s="637"/>
      <c r="KX23" s="637"/>
      <c r="KY23" s="637"/>
      <c r="KZ23" s="637"/>
      <c r="LA23" s="637"/>
      <c r="LB23" s="637"/>
      <c r="LC23" s="637"/>
      <c r="LD23" s="637"/>
      <c r="LE23" s="637"/>
      <c r="LF23" s="637"/>
      <c r="LG23" s="637"/>
      <c r="LH23" s="637"/>
      <c r="LI23" s="637"/>
      <c r="LJ23" s="637"/>
      <c r="LK23" s="637"/>
      <c r="LL23" s="637"/>
      <c r="LM23" s="637"/>
      <c r="LN23" s="637"/>
      <c r="LO23" s="637"/>
      <c r="LP23" s="637"/>
      <c r="LQ23" s="637"/>
      <c r="LR23" s="637"/>
      <c r="LS23" s="637"/>
      <c r="LT23" s="637"/>
      <c r="LU23" s="637"/>
      <c r="LV23" s="637"/>
      <c r="LW23" s="637"/>
      <c r="LX23" s="637"/>
      <c r="LY23" s="637"/>
      <c r="LZ23" s="637"/>
      <c r="MA23" s="637"/>
      <c r="MB23" s="637"/>
      <c r="MC23" s="637"/>
      <c r="MD23" s="637"/>
      <c r="ME23" s="637"/>
      <c r="MF23" s="637"/>
      <c r="MG23" s="637"/>
      <c r="MH23" s="637"/>
      <c r="MI23" s="637"/>
      <c r="MJ23" s="637"/>
      <c r="MK23" s="637"/>
      <c r="ML23" s="637"/>
      <c r="MM23" s="637"/>
      <c r="MN23" s="637"/>
      <c r="MO23" s="637"/>
      <c r="MP23" s="637"/>
      <c r="MQ23" s="637"/>
      <c r="MR23" s="637"/>
      <c r="MS23" s="637"/>
      <c r="MT23" s="637"/>
      <c r="MU23" s="637"/>
      <c r="MV23" s="637"/>
      <c r="MW23" s="637"/>
      <c r="MX23" s="637"/>
      <c r="MY23" s="637"/>
      <c r="MZ23" s="637"/>
      <c r="NA23" s="637"/>
      <c r="NB23" s="637"/>
      <c r="NC23" s="637"/>
      <c r="ND23" s="637"/>
      <c r="NE23" s="637"/>
      <c r="NF23" s="637"/>
      <c r="NG23" s="637"/>
      <c r="NH23" s="637"/>
      <c r="NI23" s="637"/>
      <c r="NJ23" s="637"/>
      <c r="NK23" s="637"/>
      <c r="NL23" s="637"/>
      <c r="NM23" s="637"/>
      <c r="NN23" s="637"/>
      <c r="NO23" s="637"/>
      <c r="NP23" s="637"/>
      <c r="NQ23" s="637"/>
      <c r="NR23" s="637"/>
      <c r="NS23" s="637"/>
      <c r="NT23" s="637"/>
      <c r="NU23" s="637"/>
      <c r="NV23" s="637"/>
      <c r="NW23" s="637"/>
      <c r="NX23" s="637"/>
      <c r="NY23" s="637"/>
      <c r="NZ23" s="637"/>
      <c r="OA23" s="637"/>
      <c r="OB23" s="637"/>
      <c r="OC23" s="637"/>
      <c r="OD23" s="637"/>
      <c r="OE23" s="637"/>
      <c r="OF23" s="637"/>
      <c r="OG23" s="637"/>
      <c r="OH23" s="637"/>
      <c r="OI23" s="637"/>
      <c r="OJ23" s="637"/>
      <c r="OK23" s="637"/>
      <c r="OL23" s="637"/>
      <c r="OM23" s="637"/>
      <c r="ON23" s="637"/>
      <c r="OO23" s="637"/>
      <c r="OP23" s="637"/>
      <c r="OQ23" s="637"/>
      <c r="OR23" s="637"/>
      <c r="OS23" s="637"/>
      <c r="OT23" s="637"/>
      <c r="OU23" s="637"/>
      <c r="OV23" s="637"/>
      <c r="OW23" s="637"/>
      <c r="OX23" s="637"/>
      <c r="OY23" s="637"/>
      <c r="OZ23" s="637"/>
      <c r="PA23" s="637"/>
      <c r="PB23" s="637"/>
      <c r="PC23" s="637"/>
      <c r="PD23" s="637"/>
      <c r="PE23" s="637"/>
      <c r="PF23" s="637"/>
      <c r="PG23" s="637"/>
      <c r="PH23" s="637"/>
      <c r="PI23" s="637"/>
      <c r="PJ23" s="637"/>
      <c r="PK23" s="637"/>
      <c r="PL23" s="637"/>
      <c r="PM23" s="637"/>
      <c r="PN23" s="637"/>
      <c r="PO23" s="637"/>
      <c r="PP23" s="637"/>
      <c r="PQ23" s="637"/>
      <c r="PR23" s="637"/>
      <c r="PS23" s="637"/>
      <c r="PT23" s="637"/>
      <c r="PU23" s="637"/>
      <c r="PV23" s="637"/>
      <c r="PW23" s="637"/>
      <c r="PX23" s="637"/>
      <c r="PY23" s="637"/>
      <c r="PZ23" s="637"/>
      <c r="QA23" s="637"/>
      <c r="QB23" s="637"/>
      <c r="QC23" s="637"/>
      <c r="QD23" s="637"/>
      <c r="QE23" s="637"/>
      <c r="QF23" s="637"/>
      <c r="QG23" s="637"/>
      <c r="QH23" s="637"/>
      <c r="QI23" s="637"/>
      <c r="QJ23" s="637"/>
      <c r="QK23" s="637"/>
      <c r="QL23" s="637"/>
      <c r="QM23" s="637"/>
      <c r="QN23" s="637"/>
      <c r="QO23" s="637"/>
      <c r="QP23" s="637"/>
      <c r="QQ23" s="637"/>
      <c r="QR23" s="637"/>
      <c r="QS23" s="637"/>
      <c r="QT23" s="637"/>
      <c r="QU23" s="637"/>
      <c r="QV23" s="637"/>
      <c r="QW23" s="637"/>
      <c r="QX23" s="637"/>
      <c r="QY23" s="637"/>
      <c r="QZ23" s="637"/>
      <c r="RA23" s="637"/>
      <c r="RB23" s="637"/>
      <c r="RC23" s="637"/>
      <c r="RD23" s="637"/>
      <c r="RE23" s="637"/>
      <c r="RF23" s="637"/>
      <c r="RG23" s="637"/>
      <c r="RH23" s="637"/>
      <c r="RI23" s="637"/>
      <c r="RJ23" s="637"/>
      <c r="RK23" s="637"/>
      <c r="RL23" s="637"/>
      <c r="RM23" s="637"/>
      <c r="RN23" s="637"/>
      <c r="RO23" s="637"/>
      <c r="RP23" s="637"/>
      <c r="RQ23" s="637"/>
      <c r="RR23" s="637"/>
      <c r="RS23" s="637"/>
      <c r="RT23" s="637"/>
      <c r="RU23" s="637"/>
      <c r="RV23" s="637"/>
      <c r="RW23" s="637"/>
      <c r="RX23" s="637"/>
      <c r="RY23" s="637"/>
      <c r="RZ23" s="637"/>
      <c r="SA23" s="637"/>
      <c r="SB23" s="637"/>
      <c r="SC23" s="637"/>
      <c r="SD23" s="637"/>
      <c r="SE23" s="637"/>
      <c r="SF23" s="637"/>
      <c r="SG23" s="637"/>
      <c r="SH23" s="637"/>
      <c r="SI23" s="637"/>
      <c r="SJ23" s="637"/>
      <c r="SK23" s="637"/>
      <c r="SL23" s="637"/>
      <c r="SM23" s="637"/>
      <c r="SN23" s="637"/>
      <c r="SO23" s="637"/>
      <c r="SP23" s="637"/>
      <c r="SQ23" s="637"/>
      <c r="SR23" s="637"/>
      <c r="SS23" s="637"/>
      <c r="ST23" s="637"/>
      <c r="SU23" s="637"/>
      <c r="SV23" s="637"/>
      <c r="SW23" s="637"/>
      <c r="SX23" s="637"/>
      <c r="SY23" s="637"/>
      <c r="SZ23" s="637"/>
      <c r="TA23" s="637"/>
      <c r="TB23" s="637"/>
      <c r="TC23" s="637"/>
      <c r="TD23" s="637"/>
      <c r="TE23" s="637"/>
      <c r="TF23" s="637"/>
      <c r="TG23" s="637"/>
      <c r="TH23" s="637"/>
      <c r="TI23" s="637"/>
      <c r="TJ23" s="637"/>
      <c r="TK23" s="637"/>
      <c r="TL23" s="637"/>
      <c r="TM23" s="637"/>
      <c r="TN23" s="637"/>
      <c r="TO23" s="637"/>
      <c r="TP23" s="637"/>
      <c r="TQ23" s="637"/>
      <c r="TR23" s="637"/>
      <c r="TS23" s="637"/>
      <c r="TT23" s="637"/>
      <c r="TU23" s="637"/>
      <c r="TV23" s="637"/>
      <c r="TW23" s="637"/>
      <c r="TX23" s="637"/>
      <c r="TY23" s="637"/>
      <c r="TZ23" s="637"/>
      <c r="UA23" s="637"/>
      <c r="UB23" s="637"/>
      <c r="UC23" s="637"/>
      <c r="UD23" s="637"/>
      <c r="UE23" s="637"/>
      <c r="UF23" s="637"/>
      <c r="UG23" s="637"/>
      <c r="UH23" s="637"/>
      <c r="UI23" s="637"/>
      <c r="UJ23" s="637"/>
      <c r="UK23" s="637"/>
      <c r="UL23" s="637"/>
      <c r="UM23" s="637"/>
      <c r="UN23" s="637"/>
      <c r="UO23" s="637"/>
      <c r="UP23" s="637"/>
      <c r="UQ23" s="637"/>
      <c r="UR23" s="637"/>
      <c r="US23" s="637"/>
      <c r="UT23" s="637"/>
      <c r="UU23" s="637"/>
      <c r="UV23" s="637"/>
      <c r="UW23" s="637"/>
      <c r="UX23" s="637"/>
      <c r="UY23" s="637"/>
      <c r="UZ23" s="637"/>
      <c r="VA23" s="637"/>
      <c r="VB23" s="637"/>
      <c r="VC23" s="637"/>
      <c r="VD23" s="637"/>
      <c r="VE23" s="637"/>
      <c r="VF23" s="637"/>
      <c r="VG23" s="637"/>
      <c r="VH23" s="637"/>
      <c r="VI23" s="637"/>
      <c r="VJ23" s="637"/>
      <c r="VK23" s="637"/>
      <c r="VL23" s="637"/>
      <c r="VM23" s="637"/>
      <c r="VN23" s="637"/>
      <c r="VO23" s="637"/>
      <c r="VP23" s="637"/>
      <c r="VQ23" s="637"/>
      <c r="VR23" s="637"/>
      <c r="VS23" s="637"/>
      <c r="VT23" s="637"/>
      <c r="VU23" s="637"/>
      <c r="VV23" s="637"/>
      <c r="VW23" s="637"/>
      <c r="VX23" s="637"/>
      <c r="VY23" s="637"/>
      <c r="VZ23" s="637"/>
      <c r="WA23" s="637"/>
      <c r="WB23" s="637"/>
      <c r="WC23" s="637"/>
      <c r="WD23" s="637"/>
      <c r="WE23" s="637"/>
      <c r="WF23" s="637"/>
      <c r="WG23" s="637"/>
      <c r="WH23" s="637"/>
      <c r="WI23" s="637"/>
      <c r="WJ23" s="637"/>
      <c r="WK23" s="637"/>
      <c r="WL23" s="637"/>
      <c r="WM23" s="637"/>
      <c r="WN23" s="637"/>
      <c r="WO23" s="637"/>
      <c r="WP23" s="637"/>
      <c r="WQ23" s="637"/>
      <c r="WR23" s="637"/>
      <c r="WS23" s="637"/>
      <c r="WT23" s="637"/>
      <c r="WU23" s="637"/>
      <c r="WV23" s="637"/>
      <c r="WW23" s="637"/>
      <c r="WX23" s="637"/>
      <c r="WY23" s="637"/>
      <c r="WZ23" s="637"/>
      <c r="XA23" s="637"/>
      <c r="XB23" s="637"/>
      <c r="XC23" s="637"/>
      <c r="XD23" s="637"/>
      <c r="XE23" s="637"/>
      <c r="XF23" s="637"/>
      <c r="XG23" s="637"/>
      <c r="XH23" s="637"/>
      <c r="XI23" s="637"/>
      <c r="XJ23" s="637"/>
      <c r="XK23" s="637"/>
      <c r="XL23" s="637"/>
      <c r="XM23" s="637"/>
      <c r="XN23" s="637"/>
      <c r="XO23" s="637"/>
      <c r="XP23" s="637"/>
      <c r="XQ23" s="637"/>
      <c r="XR23" s="637"/>
      <c r="XS23" s="637"/>
      <c r="XT23" s="637"/>
      <c r="XU23" s="637"/>
      <c r="XV23" s="637"/>
      <c r="XW23" s="637"/>
      <c r="XX23" s="637"/>
      <c r="XY23" s="637"/>
      <c r="XZ23" s="637"/>
      <c r="YA23" s="637"/>
      <c r="YB23" s="637"/>
      <c r="YC23" s="637"/>
      <c r="YD23" s="637"/>
      <c r="YE23" s="637"/>
      <c r="YF23" s="637"/>
      <c r="YG23" s="637"/>
      <c r="YH23" s="637"/>
      <c r="YI23" s="637"/>
      <c r="YJ23" s="637"/>
      <c r="YK23" s="637"/>
      <c r="YL23" s="637"/>
      <c r="YM23" s="637"/>
      <c r="YN23" s="637"/>
      <c r="YO23" s="637"/>
      <c r="YP23" s="637"/>
      <c r="YQ23" s="637"/>
      <c r="YR23" s="637"/>
      <c r="YS23" s="637"/>
      <c r="YT23" s="637"/>
      <c r="YU23" s="637"/>
      <c r="YV23" s="637"/>
      <c r="YW23" s="637"/>
      <c r="YX23" s="637"/>
      <c r="YY23" s="637"/>
      <c r="YZ23" s="637"/>
      <c r="ZA23" s="637"/>
      <c r="ZB23" s="637"/>
      <c r="ZC23" s="637"/>
      <c r="ZD23" s="637"/>
      <c r="ZE23" s="637"/>
      <c r="ZF23" s="637"/>
      <c r="ZG23" s="637"/>
      <c r="ZH23" s="637"/>
      <c r="ZI23" s="637"/>
      <c r="ZJ23" s="637"/>
      <c r="ZK23" s="637"/>
      <c r="ZL23" s="637"/>
      <c r="ZM23" s="637"/>
      <c r="ZN23" s="637"/>
      <c r="ZO23" s="637"/>
      <c r="ZP23" s="637"/>
      <c r="ZQ23" s="637"/>
      <c r="ZR23" s="637"/>
      <c r="ZS23" s="637"/>
      <c r="ZT23" s="637"/>
      <c r="ZU23" s="637"/>
      <c r="ZV23" s="637"/>
      <c r="ZW23" s="637"/>
      <c r="ZX23" s="637"/>
      <c r="ZY23" s="637"/>
      <c r="ZZ23" s="637"/>
      <c r="AAA23" s="637"/>
      <c r="AAB23" s="637"/>
      <c r="AAC23" s="637"/>
      <c r="AAD23" s="637"/>
      <c r="AAE23" s="637"/>
      <c r="AAF23" s="637"/>
      <c r="AAG23" s="637"/>
      <c r="AAH23" s="637"/>
      <c r="AAI23" s="637"/>
      <c r="AAJ23" s="637"/>
      <c r="AAK23" s="637"/>
      <c r="AAL23" s="637"/>
      <c r="AAM23" s="637"/>
      <c r="AAN23" s="637"/>
      <c r="AAO23" s="637"/>
      <c r="AAP23" s="637"/>
      <c r="AAQ23" s="637"/>
      <c r="AAR23" s="637"/>
      <c r="AAS23" s="637"/>
      <c r="AAT23" s="637"/>
      <c r="AAU23" s="637"/>
      <c r="AAV23" s="637"/>
      <c r="AAW23" s="637"/>
      <c r="AAX23" s="637"/>
      <c r="AAY23" s="637"/>
      <c r="AAZ23" s="637"/>
      <c r="ABA23" s="637"/>
      <c r="ABB23" s="637"/>
      <c r="ABC23" s="637"/>
      <c r="ABD23" s="637"/>
      <c r="ABE23" s="637"/>
      <c r="ABF23" s="637"/>
      <c r="ABG23" s="637"/>
      <c r="ABH23" s="637"/>
      <c r="ABI23" s="637"/>
      <c r="ABJ23" s="637"/>
      <c r="ABK23" s="637"/>
      <c r="ABL23" s="637"/>
      <c r="ABM23" s="637"/>
      <c r="ABN23" s="637"/>
      <c r="ABO23" s="637"/>
      <c r="ABP23" s="637"/>
      <c r="ABQ23" s="637"/>
      <c r="ABR23" s="637"/>
      <c r="ABS23" s="637"/>
      <c r="ABT23" s="637"/>
      <c r="ABU23" s="637"/>
      <c r="ABV23" s="637"/>
      <c r="ABW23" s="637"/>
      <c r="ABX23" s="637"/>
      <c r="ABY23" s="637"/>
      <c r="ABZ23" s="637"/>
      <c r="ACA23" s="637"/>
      <c r="ACB23" s="637"/>
      <c r="ACC23" s="637"/>
      <c r="ACD23" s="637"/>
      <c r="ACE23" s="637"/>
      <c r="ACF23" s="637"/>
      <c r="ACG23" s="637"/>
      <c r="ACH23" s="637"/>
      <c r="ACI23" s="637"/>
      <c r="ACJ23" s="637"/>
      <c r="ACK23" s="637"/>
      <c r="ACL23" s="637"/>
      <c r="ACM23" s="637"/>
      <c r="ACN23" s="637"/>
      <c r="ACO23" s="637"/>
      <c r="ACP23" s="637"/>
      <c r="ACQ23" s="637"/>
      <c r="ACR23" s="637"/>
      <c r="ACS23" s="637"/>
      <c r="ACT23" s="637"/>
      <c r="ACU23" s="637"/>
      <c r="ACV23" s="637"/>
      <c r="ACW23" s="637"/>
      <c r="ACX23" s="637"/>
      <c r="ACY23" s="637"/>
      <c r="ACZ23" s="637"/>
      <c r="ADA23" s="637"/>
      <c r="ADB23" s="637"/>
      <c r="ADC23" s="637"/>
      <c r="ADD23" s="637"/>
      <c r="ADE23" s="637"/>
      <c r="ADF23" s="637"/>
      <c r="ADG23" s="637"/>
      <c r="ADH23" s="637"/>
      <c r="ADI23" s="637"/>
      <c r="ADJ23" s="637"/>
      <c r="ADK23" s="637"/>
      <c r="ADL23" s="637"/>
      <c r="ADM23" s="637"/>
      <c r="ADN23" s="637"/>
      <c r="ADO23" s="637"/>
      <c r="ADP23" s="637"/>
      <c r="ADQ23" s="637"/>
      <c r="ADR23" s="637"/>
      <c r="ADS23" s="637"/>
      <c r="ADT23" s="637"/>
      <c r="ADU23" s="637"/>
      <c r="ADV23" s="637"/>
      <c r="ADW23" s="637"/>
      <c r="ADX23" s="637"/>
      <c r="ADY23" s="637"/>
      <c r="ADZ23" s="637"/>
      <c r="AEA23" s="637"/>
      <c r="AEB23" s="637"/>
      <c r="AEC23" s="637"/>
      <c r="AED23" s="637"/>
      <c r="AEE23" s="637"/>
      <c r="AEF23" s="637"/>
      <c r="AEG23" s="637"/>
      <c r="AEH23" s="637"/>
      <c r="AEI23" s="637"/>
      <c r="AEJ23" s="637"/>
      <c r="AEK23" s="637"/>
      <c r="AEL23" s="637"/>
      <c r="AEM23" s="637"/>
      <c r="AEN23" s="637"/>
      <c r="AEO23" s="637"/>
      <c r="AEP23" s="637"/>
      <c r="AEQ23" s="637"/>
      <c r="AER23" s="637"/>
      <c r="AES23" s="637"/>
      <c r="AET23" s="637"/>
      <c r="AEU23" s="637"/>
      <c r="AEV23" s="637"/>
      <c r="AEW23" s="637"/>
      <c r="AEX23" s="637"/>
      <c r="AEY23" s="637"/>
      <c r="AEZ23" s="637"/>
      <c r="AFA23" s="637"/>
      <c r="AFB23" s="637"/>
      <c r="AFC23" s="637"/>
      <c r="AFD23" s="637"/>
      <c r="AFE23" s="637"/>
      <c r="AFF23" s="637"/>
      <c r="AFG23" s="637"/>
      <c r="AFH23" s="637"/>
      <c r="AFI23" s="637"/>
      <c r="AFJ23" s="637"/>
      <c r="AFK23" s="637"/>
      <c r="AFL23" s="637"/>
      <c r="AFM23" s="637"/>
      <c r="AFN23" s="637"/>
      <c r="AFO23" s="637"/>
      <c r="AFP23" s="637"/>
      <c r="AFQ23" s="637"/>
      <c r="AFR23" s="637"/>
      <c r="AFS23" s="637"/>
      <c r="AFT23" s="637"/>
      <c r="AFU23" s="637"/>
      <c r="AFV23" s="637"/>
      <c r="AFW23" s="637"/>
      <c r="AFX23" s="637"/>
      <c r="AFY23" s="637"/>
      <c r="AFZ23" s="637"/>
      <c r="AGA23" s="637"/>
      <c r="AGB23" s="637"/>
      <c r="AGC23" s="637"/>
      <c r="AGD23" s="637"/>
      <c r="AGE23" s="637"/>
      <c r="AGF23" s="637"/>
      <c r="AGG23" s="637"/>
      <c r="AGH23" s="637"/>
      <c r="AGI23" s="637"/>
      <c r="AGJ23" s="637"/>
      <c r="AGK23" s="637"/>
      <c r="AGL23" s="637"/>
      <c r="AGM23" s="637"/>
      <c r="AGN23" s="637"/>
      <c r="AGO23" s="637"/>
      <c r="AGP23" s="637"/>
      <c r="AGQ23" s="637"/>
      <c r="AGR23" s="637"/>
      <c r="AGS23" s="637"/>
      <c r="AGT23" s="637"/>
      <c r="AGU23" s="637"/>
      <c r="AGV23" s="637"/>
      <c r="AGW23" s="637"/>
      <c r="AGX23" s="637"/>
      <c r="AGY23" s="637"/>
      <c r="AGZ23" s="637"/>
      <c r="AHA23" s="637"/>
      <c r="AHB23" s="637"/>
      <c r="AHC23" s="637"/>
      <c r="AHD23" s="637"/>
      <c r="AHE23" s="637"/>
      <c r="AHF23" s="637"/>
      <c r="AHG23" s="637"/>
      <c r="AHH23" s="637"/>
      <c r="AHI23" s="637"/>
      <c r="AHJ23" s="637"/>
      <c r="AHK23" s="637"/>
      <c r="AHL23" s="637"/>
      <c r="AHM23" s="637"/>
      <c r="AHN23" s="637"/>
      <c r="AHO23" s="637"/>
      <c r="AHP23" s="637"/>
      <c r="AHQ23" s="637"/>
      <c r="AHR23" s="637"/>
      <c r="AHS23" s="637"/>
      <c r="AHT23" s="637"/>
      <c r="AHU23" s="637"/>
      <c r="AHV23" s="637"/>
      <c r="AHW23" s="637"/>
      <c r="AHX23" s="637"/>
      <c r="AHY23" s="637"/>
      <c r="AHZ23" s="637"/>
      <c r="AIA23" s="637"/>
      <c r="AIB23" s="637"/>
      <c r="AIC23" s="637"/>
      <c r="AID23" s="637"/>
      <c r="AIE23" s="637"/>
      <c r="AIF23" s="637"/>
      <c r="AIG23" s="637"/>
      <c r="AIH23" s="637"/>
      <c r="AII23" s="637"/>
      <c r="AIJ23" s="637"/>
      <c r="AIK23" s="637"/>
      <c r="AIL23" s="637"/>
      <c r="AIM23" s="637"/>
      <c r="AIN23" s="637"/>
      <c r="AIO23" s="637"/>
      <c r="AIP23" s="637"/>
      <c r="AIQ23" s="637"/>
      <c r="AIR23" s="637"/>
      <c r="AIS23" s="637"/>
      <c r="AIT23" s="637"/>
      <c r="AIU23" s="637"/>
      <c r="AIV23" s="637"/>
      <c r="AIW23" s="637"/>
      <c r="AIX23" s="637"/>
      <c r="AIY23" s="637"/>
      <c r="AIZ23" s="637"/>
      <c r="AJA23" s="637"/>
      <c r="AJB23" s="637"/>
      <c r="AJC23" s="637"/>
      <c r="AJD23" s="637"/>
      <c r="AJE23" s="637"/>
      <c r="AJF23" s="637"/>
      <c r="AJG23" s="637"/>
      <c r="AJH23" s="637"/>
      <c r="AJI23" s="637"/>
      <c r="AJJ23" s="637"/>
      <c r="AJK23" s="637"/>
      <c r="AJL23" s="637"/>
      <c r="AJM23" s="637"/>
      <c r="AJN23" s="637"/>
      <c r="AJO23" s="637"/>
      <c r="AJP23" s="637"/>
      <c r="AJQ23" s="637"/>
      <c r="AJR23" s="637"/>
      <c r="AJS23" s="637"/>
      <c r="AJT23" s="637"/>
      <c r="AJU23" s="637"/>
      <c r="AJV23" s="637"/>
      <c r="AJW23" s="637"/>
      <c r="AJX23" s="637"/>
      <c r="AJY23" s="637"/>
      <c r="AJZ23" s="637"/>
      <c r="AKA23" s="637"/>
      <c r="AKB23" s="637"/>
      <c r="AKC23" s="637"/>
      <c r="AKD23" s="637"/>
      <c r="AKE23" s="637"/>
      <c r="AKF23" s="637"/>
      <c r="AKG23" s="637"/>
      <c r="AKH23" s="637"/>
      <c r="AKI23" s="637"/>
      <c r="AKJ23" s="637"/>
      <c r="AKK23" s="637"/>
      <c r="AKL23" s="637"/>
      <c r="AKM23" s="637"/>
      <c r="AKN23" s="637"/>
      <c r="AKO23" s="637"/>
      <c r="AKP23" s="637"/>
      <c r="AKQ23" s="637"/>
      <c r="AKR23" s="637"/>
      <c r="AKS23" s="637"/>
      <c r="AKT23" s="637"/>
      <c r="AKU23" s="637"/>
      <c r="AKV23" s="637"/>
      <c r="AKW23" s="637"/>
      <c r="AKX23" s="637"/>
      <c r="AKY23" s="637"/>
      <c r="AKZ23" s="637"/>
      <c r="ALA23" s="637"/>
      <c r="ALB23" s="637"/>
      <c r="ALC23" s="637"/>
      <c r="ALD23" s="637"/>
      <c r="ALE23" s="637"/>
      <c r="ALF23" s="637"/>
      <c r="ALG23" s="637"/>
      <c r="ALH23" s="637"/>
      <c r="ALI23" s="637"/>
      <c r="ALJ23" s="637"/>
      <c r="ALK23" s="637"/>
      <c r="ALL23" s="637"/>
      <c r="ALM23" s="637"/>
      <c r="ALN23" s="637"/>
      <c r="ALO23" s="637"/>
      <c r="ALP23" s="637"/>
      <c r="ALQ23" s="637"/>
      <c r="ALR23" s="637"/>
      <c r="ALS23" s="637"/>
      <c r="ALT23" s="637"/>
      <c r="ALU23" s="637"/>
      <c r="ALV23" s="637"/>
      <c r="ALW23" s="637"/>
      <c r="ALX23" s="637"/>
      <c r="ALY23" s="637"/>
      <c r="ALZ23" s="637"/>
      <c r="AMA23" s="637"/>
      <c r="AMB23" s="637"/>
      <c r="AMC23" s="637"/>
      <c r="AMD23" s="637"/>
      <c r="AME23" s="637"/>
      <c r="AMF23" s="637"/>
      <c r="AMG23" s="637"/>
      <c r="AMH23" s="637"/>
      <c r="AMI23" s="637"/>
      <c r="AMJ23" s="637"/>
    </row>
    <row r="24" spans="1:1024" s="638" customFormat="1" ht="12.75">
      <c r="A24" s="984" t="s">
        <v>120</v>
      </c>
      <c r="B24" s="985" t="s">
        <v>137</v>
      </c>
      <c r="C24" s="986" t="s">
        <v>123</v>
      </c>
      <c r="D24" s="981" t="s">
        <v>4</v>
      </c>
      <c r="E24" s="982">
        <v>631807</v>
      </c>
      <c r="F24" s="982">
        <f t="shared" si="1"/>
        <v>0</v>
      </c>
      <c r="G24" s="987"/>
      <c r="H24" s="987"/>
      <c r="I24" s="987"/>
      <c r="J24" s="987"/>
      <c r="K24" s="987"/>
      <c r="L24" s="987"/>
      <c r="M24" s="987"/>
      <c r="N24" s="987"/>
      <c r="O24" s="987"/>
      <c r="P24" s="987"/>
      <c r="Q24" s="987"/>
      <c r="R24" s="983"/>
      <c r="S24" s="637"/>
      <c r="T24" s="637"/>
      <c r="U24" s="637"/>
      <c r="V24" s="637"/>
      <c r="W24" s="637"/>
      <c r="X24" s="637"/>
      <c r="Y24" s="637"/>
      <c r="Z24" s="637"/>
      <c r="AA24" s="637"/>
      <c r="AB24" s="637"/>
      <c r="AC24" s="637"/>
      <c r="AD24" s="637"/>
      <c r="AE24" s="637"/>
      <c r="AF24" s="637"/>
      <c r="AG24" s="637"/>
      <c r="AH24" s="637"/>
      <c r="AI24" s="637"/>
      <c r="AJ24" s="637"/>
      <c r="AK24" s="637"/>
      <c r="AL24" s="637"/>
      <c r="AM24" s="637"/>
      <c r="AN24" s="637"/>
      <c r="AO24" s="637"/>
      <c r="AP24" s="637"/>
      <c r="AQ24" s="637"/>
      <c r="AR24" s="637"/>
      <c r="AS24" s="637"/>
      <c r="AT24" s="637"/>
      <c r="AU24" s="637"/>
      <c r="AV24" s="637"/>
      <c r="AW24" s="637"/>
      <c r="AX24" s="637"/>
      <c r="AY24" s="637"/>
      <c r="AZ24" s="637"/>
      <c r="BA24" s="637"/>
      <c r="BB24" s="637"/>
      <c r="BC24" s="637"/>
      <c r="BD24" s="637"/>
      <c r="BE24" s="637"/>
      <c r="BF24" s="637"/>
      <c r="BG24" s="637"/>
      <c r="BH24" s="637"/>
      <c r="BI24" s="637"/>
      <c r="BJ24" s="637"/>
      <c r="BK24" s="637"/>
      <c r="BL24" s="637"/>
      <c r="BM24" s="637"/>
      <c r="BN24" s="637"/>
      <c r="BO24" s="637"/>
      <c r="BP24" s="637"/>
      <c r="BQ24" s="637"/>
      <c r="BR24" s="637"/>
      <c r="BS24" s="637"/>
      <c r="BT24" s="637"/>
      <c r="BU24" s="637"/>
      <c r="BV24" s="637"/>
      <c r="BW24" s="637"/>
      <c r="BX24" s="637"/>
      <c r="BY24" s="637"/>
      <c r="BZ24" s="637"/>
      <c r="CA24" s="637"/>
      <c r="CB24" s="637"/>
      <c r="CC24" s="637"/>
      <c r="CD24" s="637"/>
      <c r="CE24" s="637"/>
      <c r="CF24" s="637"/>
      <c r="CG24" s="637"/>
      <c r="CH24" s="637"/>
      <c r="CI24" s="637"/>
      <c r="CJ24" s="637"/>
      <c r="CK24" s="637"/>
      <c r="CL24" s="637"/>
      <c r="CM24" s="637"/>
      <c r="CN24" s="637"/>
      <c r="CO24" s="637"/>
      <c r="CP24" s="637"/>
      <c r="CQ24" s="637"/>
      <c r="CR24" s="637"/>
      <c r="CS24" s="637"/>
      <c r="CT24" s="637"/>
      <c r="CU24" s="637"/>
      <c r="CV24" s="637"/>
      <c r="CW24" s="637"/>
      <c r="CX24" s="637"/>
      <c r="CY24" s="637"/>
      <c r="CZ24" s="637"/>
      <c r="DA24" s="637"/>
      <c r="DB24" s="637"/>
      <c r="DC24" s="637"/>
      <c r="DD24" s="637"/>
      <c r="DE24" s="637"/>
      <c r="DF24" s="637"/>
      <c r="DG24" s="637"/>
      <c r="DH24" s="637"/>
      <c r="DI24" s="637"/>
      <c r="DJ24" s="637"/>
      <c r="DK24" s="637"/>
      <c r="DL24" s="637"/>
      <c r="DM24" s="637"/>
      <c r="DN24" s="637"/>
      <c r="DO24" s="637"/>
      <c r="DP24" s="637"/>
      <c r="DQ24" s="637"/>
      <c r="DR24" s="637"/>
      <c r="DS24" s="637"/>
      <c r="DT24" s="637"/>
      <c r="DU24" s="637"/>
      <c r="DV24" s="637"/>
      <c r="DW24" s="637"/>
      <c r="DX24" s="637"/>
      <c r="DY24" s="637"/>
      <c r="DZ24" s="637"/>
      <c r="EA24" s="637"/>
      <c r="EB24" s="637"/>
      <c r="EC24" s="637"/>
      <c r="ED24" s="637"/>
      <c r="EE24" s="637"/>
      <c r="EF24" s="637"/>
      <c r="EG24" s="637"/>
      <c r="EH24" s="637"/>
      <c r="EI24" s="637"/>
      <c r="EJ24" s="637"/>
      <c r="EK24" s="637"/>
      <c r="EL24" s="637"/>
      <c r="EM24" s="637"/>
      <c r="EN24" s="637"/>
      <c r="EO24" s="637"/>
      <c r="EP24" s="637"/>
      <c r="EQ24" s="637"/>
      <c r="ER24" s="637"/>
      <c r="ES24" s="637"/>
      <c r="ET24" s="637"/>
      <c r="EU24" s="637"/>
      <c r="EV24" s="637"/>
      <c r="EW24" s="637"/>
      <c r="EX24" s="637"/>
      <c r="EY24" s="637"/>
      <c r="EZ24" s="637"/>
      <c r="FA24" s="637"/>
      <c r="FB24" s="637"/>
      <c r="FC24" s="637"/>
      <c r="FD24" s="637"/>
      <c r="FE24" s="637"/>
      <c r="FF24" s="637"/>
      <c r="FG24" s="637"/>
      <c r="FH24" s="637"/>
      <c r="FI24" s="637"/>
      <c r="FJ24" s="637"/>
      <c r="FK24" s="637"/>
      <c r="FL24" s="637"/>
      <c r="FM24" s="637"/>
      <c r="FN24" s="637"/>
      <c r="FO24" s="637"/>
      <c r="FP24" s="637"/>
      <c r="FQ24" s="637"/>
      <c r="FR24" s="637"/>
      <c r="FS24" s="637"/>
      <c r="FT24" s="637"/>
      <c r="FU24" s="637"/>
      <c r="FV24" s="637"/>
      <c r="FW24" s="637"/>
      <c r="FX24" s="637"/>
      <c r="FY24" s="637"/>
      <c r="FZ24" s="637"/>
      <c r="GA24" s="637"/>
      <c r="GB24" s="637"/>
      <c r="GC24" s="637"/>
      <c r="GD24" s="637"/>
      <c r="GE24" s="637"/>
      <c r="GF24" s="637"/>
      <c r="GG24" s="637"/>
      <c r="GH24" s="637"/>
      <c r="GI24" s="637"/>
      <c r="GJ24" s="637"/>
      <c r="GK24" s="637"/>
      <c r="GL24" s="637"/>
      <c r="GM24" s="637"/>
      <c r="GN24" s="637"/>
      <c r="GO24" s="637"/>
      <c r="GP24" s="637"/>
      <c r="GQ24" s="637"/>
      <c r="GR24" s="637"/>
      <c r="GS24" s="637"/>
      <c r="GT24" s="637"/>
      <c r="GU24" s="637"/>
      <c r="GV24" s="637"/>
      <c r="GW24" s="637"/>
      <c r="GX24" s="637"/>
      <c r="GY24" s="637"/>
      <c r="GZ24" s="637"/>
      <c r="HA24" s="637"/>
      <c r="HB24" s="637"/>
      <c r="HC24" s="637"/>
      <c r="HD24" s="637"/>
      <c r="HE24" s="637"/>
      <c r="HF24" s="637"/>
      <c r="HG24" s="637"/>
      <c r="HH24" s="637"/>
      <c r="HI24" s="637"/>
      <c r="HJ24" s="637"/>
      <c r="HK24" s="637"/>
      <c r="HL24" s="637"/>
      <c r="HM24" s="637"/>
      <c r="HN24" s="637"/>
      <c r="HO24" s="637"/>
      <c r="HP24" s="637"/>
      <c r="HQ24" s="637"/>
      <c r="HR24" s="637"/>
      <c r="HS24" s="637"/>
      <c r="HT24" s="637"/>
      <c r="HU24" s="637"/>
      <c r="HV24" s="637"/>
      <c r="HW24" s="637"/>
      <c r="HX24" s="637"/>
      <c r="HY24" s="637"/>
      <c r="HZ24" s="637"/>
      <c r="IA24" s="637"/>
      <c r="IB24" s="637"/>
      <c r="IC24" s="637"/>
      <c r="ID24" s="637"/>
      <c r="IE24" s="637"/>
      <c r="IF24" s="637"/>
      <c r="IG24" s="637"/>
      <c r="IH24" s="637"/>
      <c r="II24" s="637"/>
      <c r="IJ24" s="637"/>
      <c r="IK24" s="637"/>
      <c r="IL24" s="637"/>
      <c r="IM24" s="637"/>
      <c r="IN24" s="637"/>
      <c r="IO24" s="637"/>
      <c r="IP24" s="637"/>
      <c r="IQ24" s="637"/>
      <c r="IR24" s="637"/>
      <c r="IS24" s="637"/>
      <c r="IT24" s="637"/>
      <c r="IU24" s="637"/>
      <c r="IV24" s="637"/>
      <c r="IW24" s="637"/>
      <c r="IX24" s="637"/>
      <c r="IY24" s="637"/>
      <c r="IZ24" s="637"/>
      <c r="JA24" s="637"/>
      <c r="JB24" s="637"/>
      <c r="JC24" s="637"/>
      <c r="JD24" s="637"/>
      <c r="JE24" s="637"/>
      <c r="JF24" s="637"/>
      <c r="JG24" s="637"/>
      <c r="JH24" s="637"/>
      <c r="JI24" s="637"/>
      <c r="JJ24" s="637"/>
      <c r="JK24" s="637"/>
      <c r="JL24" s="637"/>
      <c r="JM24" s="637"/>
      <c r="JN24" s="637"/>
      <c r="JO24" s="637"/>
      <c r="JP24" s="637"/>
      <c r="JQ24" s="637"/>
      <c r="JR24" s="637"/>
      <c r="JS24" s="637"/>
      <c r="JT24" s="637"/>
      <c r="JU24" s="637"/>
      <c r="JV24" s="637"/>
      <c r="JW24" s="637"/>
      <c r="JX24" s="637"/>
      <c r="JY24" s="637"/>
      <c r="JZ24" s="637"/>
      <c r="KA24" s="637"/>
      <c r="KB24" s="637"/>
      <c r="KC24" s="637"/>
      <c r="KD24" s="637"/>
      <c r="KE24" s="637"/>
      <c r="KF24" s="637"/>
      <c r="KG24" s="637"/>
      <c r="KH24" s="637"/>
      <c r="KI24" s="637"/>
      <c r="KJ24" s="637"/>
      <c r="KK24" s="637"/>
      <c r="KL24" s="637"/>
      <c r="KM24" s="637"/>
      <c r="KN24" s="637"/>
      <c r="KO24" s="637"/>
      <c r="KP24" s="637"/>
      <c r="KQ24" s="637"/>
      <c r="KR24" s="637"/>
      <c r="KS24" s="637"/>
      <c r="KT24" s="637"/>
      <c r="KU24" s="637"/>
      <c r="KV24" s="637"/>
      <c r="KW24" s="637"/>
      <c r="KX24" s="637"/>
      <c r="KY24" s="637"/>
      <c r="KZ24" s="637"/>
      <c r="LA24" s="637"/>
      <c r="LB24" s="637"/>
      <c r="LC24" s="637"/>
      <c r="LD24" s="637"/>
      <c r="LE24" s="637"/>
      <c r="LF24" s="637"/>
      <c r="LG24" s="637"/>
      <c r="LH24" s="637"/>
      <c r="LI24" s="637"/>
      <c r="LJ24" s="637"/>
      <c r="LK24" s="637"/>
      <c r="LL24" s="637"/>
      <c r="LM24" s="637"/>
      <c r="LN24" s="637"/>
      <c r="LO24" s="637"/>
      <c r="LP24" s="637"/>
      <c r="LQ24" s="637"/>
      <c r="LR24" s="637"/>
      <c r="LS24" s="637"/>
      <c r="LT24" s="637"/>
      <c r="LU24" s="637"/>
      <c r="LV24" s="637"/>
      <c r="LW24" s="637"/>
      <c r="LX24" s="637"/>
      <c r="LY24" s="637"/>
      <c r="LZ24" s="637"/>
      <c r="MA24" s="637"/>
      <c r="MB24" s="637"/>
      <c r="MC24" s="637"/>
      <c r="MD24" s="637"/>
      <c r="ME24" s="637"/>
      <c r="MF24" s="637"/>
      <c r="MG24" s="637"/>
      <c r="MH24" s="637"/>
      <c r="MI24" s="637"/>
      <c r="MJ24" s="637"/>
      <c r="MK24" s="637"/>
      <c r="ML24" s="637"/>
      <c r="MM24" s="637"/>
      <c r="MN24" s="637"/>
      <c r="MO24" s="637"/>
      <c r="MP24" s="637"/>
      <c r="MQ24" s="637"/>
      <c r="MR24" s="637"/>
      <c r="MS24" s="637"/>
      <c r="MT24" s="637"/>
      <c r="MU24" s="637"/>
      <c r="MV24" s="637"/>
      <c r="MW24" s="637"/>
      <c r="MX24" s="637"/>
      <c r="MY24" s="637"/>
      <c r="MZ24" s="637"/>
      <c r="NA24" s="637"/>
      <c r="NB24" s="637"/>
      <c r="NC24" s="637"/>
      <c r="ND24" s="637"/>
      <c r="NE24" s="637"/>
      <c r="NF24" s="637"/>
      <c r="NG24" s="637"/>
      <c r="NH24" s="637"/>
      <c r="NI24" s="637"/>
      <c r="NJ24" s="637"/>
      <c r="NK24" s="637"/>
      <c r="NL24" s="637"/>
      <c r="NM24" s="637"/>
      <c r="NN24" s="637"/>
      <c r="NO24" s="637"/>
      <c r="NP24" s="637"/>
      <c r="NQ24" s="637"/>
      <c r="NR24" s="637"/>
      <c r="NS24" s="637"/>
      <c r="NT24" s="637"/>
      <c r="NU24" s="637"/>
      <c r="NV24" s="637"/>
      <c r="NW24" s="637"/>
      <c r="NX24" s="637"/>
      <c r="NY24" s="637"/>
      <c r="NZ24" s="637"/>
      <c r="OA24" s="637"/>
      <c r="OB24" s="637"/>
      <c r="OC24" s="637"/>
      <c r="OD24" s="637"/>
      <c r="OE24" s="637"/>
      <c r="OF24" s="637"/>
      <c r="OG24" s="637"/>
      <c r="OH24" s="637"/>
      <c r="OI24" s="637"/>
      <c r="OJ24" s="637"/>
      <c r="OK24" s="637"/>
      <c r="OL24" s="637"/>
      <c r="OM24" s="637"/>
      <c r="ON24" s="637"/>
      <c r="OO24" s="637"/>
      <c r="OP24" s="637"/>
      <c r="OQ24" s="637"/>
      <c r="OR24" s="637"/>
      <c r="OS24" s="637"/>
      <c r="OT24" s="637"/>
      <c r="OU24" s="637"/>
      <c r="OV24" s="637"/>
      <c r="OW24" s="637"/>
      <c r="OX24" s="637"/>
      <c r="OY24" s="637"/>
      <c r="OZ24" s="637"/>
      <c r="PA24" s="637"/>
      <c r="PB24" s="637"/>
      <c r="PC24" s="637"/>
      <c r="PD24" s="637"/>
      <c r="PE24" s="637"/>
      <c r="PF24" s="637"/>
      <c r="PG24" s="637"/>
      <c r="PH24" s="637"/>
      <c r="PI24" s="637"/>
      <c r="PJ24" s="637"/>
      <c r="PK24" s="637"/>
      <c r="PL24" s="637"/>
      <c r="PM24" s="637"/>
      <c r="PN24" s="637"/>
      <c r="PO24" s="637"/>
      <c r="PP24" s="637"/>
      <c r="PQ24" s="637"/>
      <c r="PR24" s="637"/>
      <c r="PS24" s="637"/>
      <c r="PT24" s="637"/>
      <c r="PU24" s="637"/>
      <c r="PV24" s="637"/>
      <c r="PW24" s="637"/>
      <c r="PX24" s="637"/>
      <c r="PY24" s="637"/>
      <c r="PZ24" s="637"/>
      <c r="QA24" s="637"/>
      <c r="QB24" s="637"/>
      <c r="QC24" s="637"/>
      <c r="QD24" s="637"/>
      <c r="QE24" s="637"/>
      <c r="QF24" s="637"/>
      <c r="QG24" s="637"/>
      <c r="QH24" s="637"/>
      <c r="QI24" s="637"/>
      <c r="QJ24" s="637"/>
      <c r="QK24" s="637"/>
      <c r="QL24" s="637"/>
      <c r="QM24" s="637"/>
      <c r="QN24" s="637"/>
      <c r="QO24" s="637"/>
      <c r="QP24" s="637"/>
      <c r="QQ24" s="637"/>
      <c r="QR24" s="637"/>
      <c r="QS24" s="637"/>
      <c r="QT24" s="637"/>
      <c r="QU24" s="637"/>
      <c r="QV24" s="637"/>
      <c r="QW24" s="637"/>
      <c r="QX24" s="637"/>
      <c r="QY24" s="637"/>
      <c r="QZ24" s="637"/>
      <c r="RA24" s="637"/>
      <c r="RB24" s="637"/>
      <c r="RC24" s="637"/>
      <c r="RD24" s="637"/>
      <c r="RE24" s="637"/>
      <c r="RF24" s="637"/>
      <c r="RG24" s="637"/>
      <c r="RH24" s="637"/>
      <c r="RI24" s="637"/>
      <c r="RJ24" s="637"/>
      <c r="RK24" s="637"/>
      <c r="RL24" s="637"/>
      <c r="RM24" s="637"/>
      <c r="RN24" s="637"/>
      <c r="RO24" s="637"/>
      <c r="RP24" s="637"/>
      <c r="RQ24" s="637"/>
      <c r="RR24" s="637"/>
      <c r="RS24" s="637"/>
      <c r="RT24" s="637"/>
      <c r="RU24" s="637"/>
      <c r="RV24" s="637"/>
      <c r="RW24" s="637"/>
      <c r="RX24" s="637"/>
      <c r="RY24" s="637"/>
      <c r="RZ24" s="637"/>
      <c r="SA24" s="637"/>
      <c r="SB24" s="637"/>
      <c r="SC24" s="637"/>
      <c r="SD24" s="637"/>
      <c r="SE24" s="637"/>
      <c r="SF24" s="637"/>
      <c r="SG24" s="637"/>
      <c r="SH24" s="637"/>
      <c r="SI24" s="637"/>
      <c r="SJ24" s="637"/>
      <c r="SK24" s="637"/>
      <c r="SL24" s="637"/>
      <c r="SM24" s="637"/>
      <c r="SN24" s="637"/>
      <c r="SO24" s="637"/>
      <c r="SP24" s="637"/>
      <c r="SQ24" s="637"/>
      <c r="SR24" s="637"/>
      <c r="SS24" s="637"/>
      <c r="ST24" s="637"/>
      <c r="SU24" s="637"/>
      <c r="SV24" s="637"/>
      <c r="SW24" s="637"/>
      <c r="SX24" s="637"/>
      <c r="SY24" s="637"/>
      <c r="SZ24" s="637"/>
      <c r="TA24" s="637"/>
      <c r="TB24" s="637"/>
      <c r="TC24" s="637"/>
      <c r="TD24" s="637"/>
      <c r="TE24" s="637"/>
      <c r="TF24" s="637"/>
      <c r="TG24" s="637"/>
      <c r="TH24" s="637"/>
      <c r="TI24" s="637"/>
      <c r="TJ24" s="637"/>
      <c r="TK24" s="637"/>
      <c r="TL24" s="637"/>
      <c r="TM24" s="637"/>
      <c r="TN24" s="637"/>
      <c r="TO24" s="637"/>
      <c r="TP24" s="637"/>
      <c r="TQ24" s="637"/>
      <c r="TR24" s="637"/>
      <c r="TS24" s="637"/>
      <c r="TT24" s="637"/>
      <c r="TU24" s="637"/>
      <c r="TV24" s="637"/>
      <c r="TW24" s="637"/>
      <c r="TX24" s="637"/>
      <c r="TY24" s="637"/>
      <c r="TZ24" s="637"/>
      <c r="UA24" s="637"/>
      <c r="UB24" s="637"/>
      <c r="UC24" s="637"/>
      <c r="UD24" s="637"/>
      <c r="UE24" s="637"/>
      <c r="UF24" s="637"/>
      <c r="UG24" s="637"/>
      <c r="UH24" s="637"/>
      <c r="UI24" s="637"/>
      <c r="UJ24" s="637"/>
      <c r="UK24" s="637"/>
      <c r="UL24" s="637"/>
      <c r="UM24" s="637"/>
      <c r="UN24" s="637"/>
      <c r="UO24" s="637"/>
      <c r="UP24" s="637"/>
      <c r="UQ24" s="637"/>
      <c r="UR24" s="637"/>
      <c r="US24" s="637"/>
      <c r="UT24" s="637"/>
      <c r="UU24" s="637"/>
      <c r="UV24" s="637"/>
      <c r="UW24" s="637"/>
      <c r="UX24" s="637"/>
      <c r="UY24" s="637"/>
      <c r="UZ24" s="637"/>
      <c r="VA24" s="637"/>
      <c r="VB24" s="637"/>
      <c r="VC24" s="637"/>
      <c r="VD24" s="637"/>
      <c r="VE24" s="637"/>
      <c r="VF24" s="637"/>
      <c r="VG24" s="637"/>
      <c r="VH24" s="637"/>
      <c r="VI24" s="637"/>
      <c r="VJ24" s="637"/>
      <c r="VK24" s="637"/>
      <c r="VL24" s="637"/>
      <c r="VM24" s="637"/>
      <c r="VN24" s="637"/>
      <c r="VO24" s="637"/>
      <c r="VP24" s="637"/>
      <c r="VQ24" s="637"/>
      <c r="VR24" s="637"/>
      <c r="VS24" s="637"/>
      <c r="VT24" s="637"/>
      <c r="VU24" s="637"/>
      <c r="VV24" s="637"/>
      <c r="VW24" s="637"/>
      <c r="VX24" s="637"/>
      <c r="VY24" s="637"/>
      <c r="VZ24" s="637"/>
      <c r="WA24" s="637"/>
      <c r="WB24" s="637"/>
      <c r="WC24" s="637"/>
      <c r="WD24" s="637"/>
      <c r="WE24" s="637"/>
      <c r="WF24" s="637"/>
      <c r="WG24" s="637"/>
      <c r="WH24" s="637"/>
      <c r="WI24" s="637"/>
      <c r="WJ24" s="637"/>
      <c r="WK24" s="637"/>
      <c r="WL24" s="637"/>
      <c r="WM24" s="637"/>
      <c r="WN24" s="637"/>
      <c r="WO24" s="637"/>
      <c r="WP24" s="637"/>
      <c r="WQ24" s="637"/>
      <c r="WR24" s="637"/>
      <c r="WS24" s="637"/>
      <c r="WT24" s="637"/>
      <c r="WU24" s="637"/>
      <c r="WV24" s="637"/>
      <c r="WW24" s="637"/>
      <c r="WX24" s="637"/>
      <c r="WY24" s="637"/>
      <c r="WZ24" s="637"/>
      <c r="XA24" s="637"/>
      <c r="XB24" s="637"/>
      <c r="XC24" s="637"/>
      <c r="XD24" s="637"/>
      <c r="XE24" s="637"/>
      <c r="XF24" s="637"/>
      <c r="XG24" s="637"/>
      <c r="XH24" s="637"/>
      <c r="XI24" s="637"/>
      <c r="XJ24" s="637"/>
      <c r="XK24" s="637"/>
      <c r="XL24" s="637"/>
      <c r="XM24" s="637"/>
      <c r="XN24" s="637"/>
      <c r="XO24" s="637"/>
      <c r="XP24" s="637"/>
      <c r="XQ24" s="637"/>
      <c r="XR24" s="637"/>
      <c r="XS24" s="637"/>
      <c r="XT24" s="637"/>
      <c r="XU24" s="637"/>
      <c r="XV24" s="637"/>
      <c r="XW24" s="637"/>
      <c r="XX24" s="637"/>
      <c r="XY24" s="637"/>
      <c r="XZ24" s="637"/>
      <c r="YA24" s="637"/>
      <c r="YB24" s="637"/>
      <c r="YC24" s="637"/>
      <c r="YD24" s="637"/>
      <c r="YE24" s="637"/>
      <c r="YF24" s="637"/>
      <c r="YG24" s="637"/>
      <c r="YH24" s="637"/>
      <c r="YI24" s="637"/>
      <c r="YJ24" s="637"/>
      <c r="YK24" s="637"/>
      <c r="YL24" s="637"/>
      <c r="YM24" s="637"/>
      <c r="YN24" s="637"/>
      <c r="YO24" s="637"/>
      <c r="YP24" s="637"/>
      <c r="YQ24" s="637"/>
      <c r="YR24" s="637"/>
      <c r="YS24" s="637"/>
      <c r="YT24" s="637"/>
      <c r="YU24" s="637"/>
      <c r="YV24" s="637"/>
      <c r="YW24" s="637"/>
      <c r="YX24" s="637"/>
      <c r="YY24" s="637"/>
      <c r="YZ24" s="637"/>
      <c r="ZA24" s="637"/>
      <c r="ZB24" s="637"/>
      <c r="ZC24" s="637"/>
      <c r="ZD24" s="637"/>
      <c r="ZE24" s="637"/>
      <c r="ZF24" s="637"/>
      <c r="ZG24" s="637"/>
      <c r="ZH24" s="637"/>
      <c r="ZI24" s="637"/>
      <c r="ZJ24" s="637"/>
      <c r="ZK24" s="637"/>
      <c r="ZL24" s="637"/>
      <c r="ZM24" s="637"/>
      <c r="ZN24" s="637"/>
      <c r="ZO24" s="637"/>
      <c r="ZP24" s="637"/>
      <c r="ZQ24" s="637"/>
      <c r="ZR24" s="637"/>
      <c r="ZS24" s="637"/>
      <c r="ZT24" s="637"/>
      <c r="ZU24" s="637"/>
      <c r="ZV24" s="637"/>
      <c r="ZW24" s="637"/>
      <c r="ZX24" s="637"/>
      <c r="ZY24" s="637"/>
      <c r="ZZ24" s="637"/>
      <c r="AAA24" s="637"/>
      <c r="AAB24" s="637"/>
      <c r="AAC24" s="637"/>
      <c r="AAD24" s="637"/>
      <c r="AAE24" s="637"/>
      <c r="AAF24" s="637"/>
      <c r="AAG24" s="637"/>
      <c r="AAH24" s="637"/>
      <c r="AAI24" s="637"/>
      <c r="AAJ24" s="637"/>
      <c r="AAK24" s="637"/>
      <c r="AAL24" s="637"/>
      <c r="AAM24" s="637"/>
      <c r="AAN24" s="637"/>
      <c r="AAO24" s="637"/>
      <c r="AAP24" s="637"/>
      <c r="AAQ24" s="637"/>
      <c r="AAR24" s="637"/>
      <c r="AAS24" s="637"/>
      <c r="AAT24" s="637"/>
      <c r="AAU24" s="637"/>
      <c r="AAV24" s="637"/>
      <c r="AAW24" s="637"/>
      <c r="AAX24" s="637"/>
      <c r="AAY24" s="637"/>
      <c r="AAZ24" s="637"/>
      <c r="ABA24" s="637"/>
      <c r="ABB24" s="637"/>
      <c r="ABC24" s="637"/>
      <c r="ABD24" s="637"/>
      <c r="ABE24" s="637"/>
      <c r="ABF24" s="637"/>
      <c r="ABG24" s="637"/>
      <c r="ABH24" s="637"/>
      <c r="ABI24" s="637"/>
      <c r="ABJ24" s="637"/>
      <c r="ABK24" s="637"/>
      <c r="ABL24" s="637"/>
      <c r="ABM24" s="637"/>
      <c r="ABN24" s="637"/>
      <c r="ABO24" s="637"/>
      <c r="ABP24" s="637"/>
      <c r="ABQ24" s="637"/>
      <c r="ABR24" s="637"/>
      <c r="ABS24" s="637"/>
      <c r="ABT24" s="637"/>
      <c r="ABU24" s="637"/>
      <c r="ABV24" s="637"/>
      <c r="ABW24" s="637"/>
      <c r="ABX24" s="637"/>
      <c r="ABY24" s="637"/>
      <c r="ABZ24" s="637"/>
      <c r="ACA24" s="637"/>
      <c r="ACB24" s="637"/>
      <c r="ACC24" s="637"/>
      <c r="ACD24" s="637"/>
      <c r="ACE24" s="637"/>
      <c r="ACF24" s="637"/>
      <c r="ACG24" s="637"/>
      <c r="ACH24" s="637"/>
      <c r="ACI24" s="637"/>
      <c r="ACJ24" s="637"/>
      <c r="ACK24" s="637"/>
      <c r="ACL24" s="637"/>
      <c r="ACM24" s="637"/>
      <c r="ACN24" s="637"/>
      <c r="ACO24" s="637"/>
      <c r="ACP24" s="637"/>
      <c r="ACQ24" s="637"/>
      <c r="ACR24" s="637"/>
      <c r="ACS24" s="637"/>
      <c r="ACT24" s="637"/>
      <c r="ACU24" s="637"/>
      <c r="ACV24" s="637"/>
      <c r="ACW24" s="637"/>
      <c r="ACX24" s="637"/>
      <c r="ACY24" s="637"/>
      <c r="ACZ24" s="637"/>
      <c r="ADA24" s="637"/>
      <c r="ADB24" s="637"/>
      <c r="ADC24" s="637"/>
      <c r="ADD24" s="637"/>
      <c r="ADE24" s="637"/>
      <c r="ADF24" s="637"/>
      <c r="ADG24" s="637"/>
      <c r="ADH24" s="637"/>
      <c r="ADI24" s="637"/>
      <c r="ADJ24" s="637"/>
      <c r="ADK24" s="637"/>
      <c r="ADL24" s="637"/>
      <c r="ADM24" s="637"/>
      <c r="ADN24" s="637"/>
      <c r="ADO24" s="637"/>
      <c r="ADP24" s="637"/>
      <c r="ADQ24" s="637"/>
      <c r="ADR24" s="637"/>
      <c r="ADS24" s="637"/>
      <c r="ADT24" s="637"/>
      <c r="ADU24" s="637"/>
      <c r="ADV24" s="637"/>
      <c r="ADW24" s="637"/>
      <c r="ADX24" s="637"/>
      <c r="ADY24" s="637"/>
      <c r="ADZ24" s="637"/>
      <c r="AEA24" s="637"/>
      <c r="AEB24" s="637"/>
      <c r="AEC24" s="637"/>
      <c r="AED24" s="637"/>
      <c r="AEE24" s="637"/>
      <c r="AEF24" s="637"/>
      <c r="AEG24" s="637"/>
      <c r="AEH24" s="637"/>
      <c r="AEI24" s="637"/>
      <c r="AEJ24" s="637"/>
      <c r="AEK24" s="637"/>
      <c r="AEL24" s="637"/>
      <c r="AEM24" s="637"/>
      <c r="AEN24" s="637"/>
      <c r="AEO24" s="637"/>
      <c r="AEP24" s="637"/>
      <c r="AEQ24" s="637"/>
      <c r="AER24" s="637"/>
      <c r="AES24" s="637"/>
      <c r="AET24" s="637"/>
      <c r="AEU24" s="637"/>
      <c r="AEV24" s="637"/>
      <c r="AEW24" s="637"/>
      <c r="AEX24" s="637"/>
      <c r="AEY24" s="637"/>
      <c r="AEZ24" s="637"/>
      <c r="AFA24" s="637"/>
      <c r="AFB24" s="637"/>
      <c r="AFC24" s="637"/>
      <c r="AFD24" s="637"/>
      <c r="AFE24" s="637"/>
      <c r="AFF24" s="637"/>
      <c r="AFG24" s="637"/>
      <c r="AFH24" s="637"/>
      <c r="AFI24" s="637"/>
      <c r="AFJ24" s="637"/>
      <c r="AFK24" s="637"/>
      <c r="AFL24" s="637"/>
      <c r="AFM24" s="637"/>
      <c r="AFN24" s="637"/>
      <c r="AFO24" s="637"/>
      <c r="AFP24" s="637"/>
      <c r="AFQ24" s="637"/>
      <c r="AFR24" s="637"/>
      <c r="AFS24" s="637"/>
      <c r="AFT24" s="637"/>
      <c r="AFU24" s="637"/>
      <c r="AFV24" s="637"/>
      <c r="AFW24" s="637"/>
      <c r="AFX24" s="637"/>
      <c r="AFY24" s="637"/>
      <c r="AFZ24" s="637"/>
      <c r="AGA24" s="637"/>
      <c r="AGB24" s="637"/>
      <c r="AGC24" s="637"/>
      <c r="AGD24" s="637"/>
      <c r="AGE24" s="637"/>
      <c r="AGF24" s="637"/>
      <c r="AGG24" s="637"/>
      <c r="AGH24" s="637"/>
      <c r="AGI24" s="637"/>
      <c r="AGJ24" s="637"/>
      <c r="AGK24" s="637"/>
      <c r="AGL24" s="637"/>
      <c r="AGM24" s="637"/>
      <c r="AGN24" s="637"/>
      <c r="AGO24" s="637"/>
      <c r="AGP24" s="637"/>
      <c r="AGQ24" s="637"/>
      <c r="AGR24" s="637"/>
      <c r="AGS24" s="637"/>
      <c r="AGT24" s="637"/>
      <c r="AGU24" s="637"/>
      <c r="AGV24" s="637"/>
      <c r="AGW24" s="637"/>
      <c r="AGX24" s="637"/>
      <c r="AGY24" s="637"/>
      <c r="AGZ24" s="637"/>
      <c r="AHA24" s="637"/>
      <c r="AHB24" s="637"/>
      <c r="AHC24" s="637"/>
      <c r="AHD24" s="637"/>
      <c r="AHE24" s="637"/>
      <c r="AHF24" s="637"/>
      <c r="AHG24" s="637"/>
      <c r="AHH24" s="637"/>
      <c r="AHI24" s="637"/>
      <c r="AHJ24" s="637"/>
      <c r="AHK24" s="637"/>
      <c r="AHL24" s="637"/>
      <c r="AHM24" s="637"/>
      <c r="AHN24" s="637"/>
      <c r="AHO24" s="637"/>
      <c r="AHP24" s="637"/>
      <c r="AHQ24" s="637"/>
      <c r="AHR24" s="637"/>
      <c r="AHS24" s="637"/>
      <c r="AHT24" s="637"/>
      <c r="AHU24" s="637"/>
      <c r="AHV24" s="637"/>
      <c r="AHW24" s="637"/>
      <c r="AHX24" s="637"/>
      <c r="AHY24" s="637"/>
      <c r="AHZ24" s="637"/>
      <c r="AIA24" s="637"/>
      <c r="AIB24" s="637"/>
      <c r="AIC24" s="637"/>
      <c r="AID24" s="637"/>
      <c r="AIE24" s="637"/>
      <c r="AIF24" s="637"/>
      <c r="AIG24" s="637"/>
      <c r="AIH24" s="637"/>
      <c r="AII24" s="637"/>
      <c r="AIJ24" s="637"/>
      <c r="AIK24" s="637"/>
      <c r="AIL24" s="637"/>
      <c r="AIM24" s="637"/>
      <c r="AIN24" s="637"/>
      <c r="AIO24" s="637"/>
      <c r="AIP24" s="637"/>
      <c r="AIQ24" s="637"/>
      <c r="AIR24" s="637"/>
      <c r="AIS24" s="637"/>
      <c r="AIT24" s="637"/>
      <c r="AIU24" s="637"/>
      <c r="AIV24" s="637"/>
      <c r="AIW24" s="637"/>
      <c r="AIX24" s="637"/>
      <c r="AIY24" s="637"/>
      <c r="AIZ24" s="637"/>
      <c r="AJA24" s="637"/>
      <c r="AJB24" s="637"/>
      <c r="AJC24" s="637"/>
      <c r="AJD24" s="637"/>
      <c r="AJE24" s="637"/>
      <c r="AJF24" s="637"/>
      <c r="AJG24" s="637"/>
      <c r="AJH24" s="637"/>
      <c r="AJI24" s="637"/>
      <c r="AJJ24" s="637"/>
      <c r="AJK24" s="637"/>
      <c r="AJL24" s="637"/>
      <c r="AJM24" s="637"/>
      <c r="AJN24" s="637"/>
      <c r="AJO24" s="637"/>
      <c r="AJP24" s="637"/>
      <c r="AJQ24" s="637"/>
      <c r="AJR24" s="637"/>
      <c r="AJS24" s="637"/>
      <c r="AJT24" s="637"/>
      <c r="AJU24" s="637"/>
      <c r="AJV24" s="637"/>
      <c r="AJW24" s="637"/>
      <c r="AJX24" s="637"/>
      <c r="AJY24" s="637"/>
      <c r="AJZ24" s="637"/>
      <c r="AKA24" s="637"/>
      <c r="AKB24" s="637"/>
      <c r="AKC24" s="637"/>
      <c r="AKD24" s="637"/>
      <c r="AKE24" s="637"/>
      <c r="AKF24" s="637"/>
      <c r="AKG24" s="637"/>
      <c r="AKH24" s="637"/>
      <c r="AKI24" s="637"/>
      <c r="AKJ24" s="637"/>
      <c r="AKK24" s="637"/>
      <c r="AKL24" s="637"/>
      <c r="AKM24" s="637"/>
      <c r="AKN24" s="637"/>
      <c r="AKO24" s="637"/>
      <c r="AKP24" s="637"/>
      <c r="AKQ24" s="637"/>
      <c r="AKR24" s="637"/>
      <c r="AKS24" s="637"/>
      <c r="AKT24" s="637"/>
      <c r="AKU24" s="637"/>
      <c r="AKV24" s="637"/>
      <c r="AKW24" s="637"/>
      <c r="AKX24" s="637"/>
      <c r="AKY24" s="637"/>
      <c r="AKZ24" s="637"/>
      <c r="ALA24" s="637"/>
      <c r="ALB24" s="637"/>
      <c r="ALC24" s="637"/>
      <c r="ALD24" s="637"/>
      <c r="ALE24" s="637"/>
      <c r="ALF24" s="637"/>
      <c r="ALG24" s="637"/>
      <c r="ALH24" s="637"/>
      <c r="ALI24" s="637"/>
      <c r="ALJ24" s="637"/>
      <c r="ALK24" s="637"/>
      <c r="ALL24" s="637"/>
      <c r="ALM24" s="637"/>
      <c r="ALN24" s="637"/>
      <c r="ALO24" s="637"/>
      <c r="ALP24" s="637"/>
      <c r="ALQ24" s="637"/>
      <c r="ALR24" s="637"/>
      <c r="ALS24" s="637"/>
      <c r="ALT24" s="637"/>
      <c r="ALU24" s="637"/>
      <c r="ALV24" s="637"/>
      <c r="ALW24" s="637"/>
      <c r="ALX24" s="637"/>
      <c r="ALY24" s="637"/>
      <c r="ALZ24" s="637"/>
      <c r="AMA24" s="637"/>
      <c r="AMB24" s="637"/>
      <c r="AMC24" s="637"/>
      <c r="AMD24" s="637"/>
      <c r="AME24" s="637"/>
      <c r="AMF24" s="637"/>
      <c r="AMG24" s="637"/>
      <c r="AMH24" s="637"/>
      <c r="AMI24" s="637"/>
      <c r="AMJ24" s="637"/>
    </row>
    <row r="25" spans="1:1024" s="638" customFormat="1" ht="12.75">
      <c r="A25" s="984"/>
      <c r="B25" s="985"/>
      <c r="C25" s="986"/>
      <c r="D25" s="981" t="s">
        <v>861</v>
      </c>
      <c r="E25" s="982">
        <f>670413-5947</f>
        <v>664466</v>
      </c>
      <c r="F25" s="982">
        <f t="shared" si="1"/>
        <v>15000</v>
      </c>
      <c r="G25" s="987"/>
      <c r="H25" s="987"/>
      <c r="I25" s="987"/>
      <c r="J25" s="987">
        <f>15000</f>
        <v>15000</v>
      </c>
      <c r="K25" s="987"/>
      <c r="L25" s="987"/>
      <c r="M25" s="987"/>
      <c r="N25" s="987"/>
      <c r="O25" s="987"/>
      <c r="P25" s="987"/>
      <c r="Q25" s="987"/>
      <c r="R25" s="983"/>
      <c r="S25" s="637"/>
      <c r="T25" s="637"/>
      <c r="U25" s="637"/>
      <c r="V25" s="637"/>
      <c r="W25" s="637"/>
      <c r="X25" s="637"/>
      <c r="Y25" s="637"/>
      <c r="Z25" s="637"/>
      <c r="AA25" s="637"/>
      <c r="AB25" s="637"/>
      <c r="AC25" s="637"/>
      <c r="AD25" s="637"/>
      <c r="AE25" s="637"/>
      <c r="AF25" s="637"/>
      <c r="AG25" s="637"/>
      <c r="AH25" s="637"/>
      <c r="AI25" s="637"/>
      <c r="AJ25" s="637"/>
      <c r="AK25" s="637"/>
      <c r="AL25" s="637"/>
      <c r="AM25" s="637"/>
      <c r="AN25" s="637"/>
      <c r="AO25" s="637"/>
      <c r="AP25" s="637"/>
      <c r="AQ25" s="637"/>
      <c r="AR25" s="637"/>
      <c r="AS25" s="637"/>
      <c r="AT25" s="637"/>
      <c r="AU25" s="637"/>
      <c r="AV25" s="637"/>
      <c r="AW25" s="637"/>
      <c r="AX25" s="637"/>
      <c r="AY25" s="637"/>
      <c r="AZ25" s="637"/>
      <c r="BA25" s="637"/>
      <c r="BB25" s="637"/>
      <c r="BC25" s="637"/>
      <c r="BD25" s="637"/>
      <c r="BE25" s="637"/>
      <c r="BF25" s="637"/>
      <c r="BG25" s="637"/>
      <c r="BH25" s="637"/>
      <c r="BI25" s="637"/>
      <c r="BJ25" s="637"/>
      <c r="BK25" s="637"/>
      <c r="BL25" s="637"/>
      <c r="BM25" s="637"/>
      <c r="BN25" s="637"/>
      <c r="BO25" s="637"/>
      <c r="BP25" s="637"/>
      <c r="BQ25" s="637"/>
      <c r="BR25" s="637"/>
      <c r="BS25" s="637"/>
      <c r="BT25" s="637"/>
      <c r="BU25" s="637"/>
      <c r="BV25" s="637"/>
      <c r="BW25" s="637"/>
      <c r="BX25" s="637"/>
      <c r="BY25" s="637"/>
      <c r="BZ25" s="637"/>
      <c r="CA25" s="637"/>
      <c r="CB25" s="637"/>
      <c r="CC25" s="637"/>
      <c r="CD25" s="637"/>
      <c r="CE25" s="637"/>
      <c r="CF25" s="637"/>
      <c r="CG25" s="637"/>
      <c r="CH25" s="637"/>
      <c r="CI25" s="637"/>
      <c r="CJ25" s="637"/>
      <c r="CK25" s="637"/>
      <c r="CL25" s="637"/>
      <c r="CM25" s="637"/>
      <c r="CN25" s="637"/>
      <c r="CO25" s="637"/>
      <c r="CP25" s="637"/>
      <c r="CQ25" s="637"/>
      <c r="CR25" s="637"/>
      <c r="CS25" s="637"/>
      <c r="CT25" s="637"/>
      <c r="CU25" s="637"/>
      <c r="CV25" s="637"/>
      <c r="CW25" s="637"/>
      <c r="CX25" s="637"/>
      <c r="CY25" s="637"/>
      <c r="CZ25" s="637"/>
      <c r="DA25" s="637"/>
      <c r="DB25" s="637"/>
      <c r="DC25" s="637"/>
      <c r="DD25" s="637"/>
      <c r="DE25" s="637"/>
      <c r="DF25" s="637"/>
      <c r="DG25" s="637"/>
      <c r="DH25" s="637"/>
      <c r="DI25" s="637"/>
      <c r="DJ25" s="637"/>
      <c r="DK25" s="637"/>
      <c r="DL25" s="637"/>
      <c r="DM25" s="637"/>
      <c r="DN25" s="637"/>
      <c r="DO25" s="637"/>
      <c r="DP25" s="637"/>
      <c r="DQ25" s="637"/>
      <c r="DR25" s="637"/>
      <c r="DS25" s="637"/>
      <c r="DT25" s="637"/>
      <c r="DU25" s="637"/>
      <c r="DV25" s="637"/>
      <c r="DW25" s="637"/>
      <c r="DX25" s="637"/>
      <c r="DY25" s="637"/>
      <c r="DZ25" s="637"/>
      <c r="EA25" s="637"/>
      <c r="EB25" s="637"/>
      <c r="EC25" s="637"/>
      <c r="ED25" s="637"/>
      <c r="EE25" s="637"/>
      <c r="EF25" s="637"/>
      <c r="EG25" s="637"/>
      <c r="EH25" s="637"/>
      <c r="EI25" s="637"/>
      <c r="EJ25" s="637"/>
      <c r="EK25" s="637"/>
      <c r="EL25" s="637"/>
      <c r="EM25" s="637"/>
      <c r="EN25" s="637"/>
      <c r="EO25" s="637"/>
      <c r="EP25" s="637"/>
      <c r="EQ25" s="637"/>
      <c r="ER25" s="637"/>
      <c r="ES25" s="637"/>
      <c r="ET25" s="637"/>
      <c r="EU25" s="637"/>
      <c r="EV25" s="637"/>
      <c r="EW25" s="637"/>
      <c r="EX25" s="637"/>
      <c r="EY25" s="637"/>
      <c r="EZ25" s="637"/>
      <c r="FA25" s="637"/>
      <c r="FB25" s="637"/>
      <c r="FC25" s="637"/>
      <c r="FD25" s="637"/>
      <c r="FE25" s="637"/>
      <c r="FF25" s="637"/>
      <c r="FG25" s="637"/>
      <c r="FH25" s="637"/>
      <c r="FI25" s="637"/>
      <c r="FJ25" s="637"/>
      <c r="FK25" s="637"/>
      <c r="FL25" s="637"/>
      <c r="FM25" s="637"/>
      <c r="FN25" s="637"/>
      <c r="FO25" s="637"/>
      <c r="FP25" s="637"/>
      <c r="FQ25" s="637"/>
      <c r="FR25" s="637"/>
      <c r="FS25" s="637"/>
      <c r="FT25" s="637"/>
      <c r="FU25" s="637"/>
      <c r="FV25" s="637"/>
      <c r="FW25" s="637"/>
      <c r="FX25" s="637"/>
      <c r="FY25" s="637"/>
      <c r="FZ25" s="637"/>
      <c r="GA25" s="637"/>
      <c r="GB25" s="637"/>
      <c r="GC25" s="637"/>
      <c r="GD25" s="637"/>
      <c r="GE25" s="637"/>
      <c r="GF25" s="637"/>
      <c r="GG25" s="637"/>
      <c r="GH25" s="637"/>
      <c r="GI25" s="637"/>
      <c r="GJ25" s="637"/>
      <c r="GK25" s="637"/>
      <c r="GL25" s="637"/>
      <c r="GM25" s="637"/>
      <c r="GN25" s="637"/>
      <c r="GO25" s="637"/>
      <c r="GP25" s="637"/>
      <c r="GQ25" s="637"/>
      <c r="GR25" s="637"/>
      <c r="GS25" s="637"/>
      <c r="GT25" s="637"/>
      <c r="GU25" s="637"/>
      <c r="GV25" s="637"/>
      <c r="GW25" s="637"/>
      <c r="GX25" s="637"/>
      <c r="GY25" s="637"/>
      <c r="GZ25" s="637"/>
      <c r="HA25" s="637"/>
      <c r="HB25" s="637"/>
      <c r="HC25" s="637"/>
      <c r="HD25" s="637"/>
      <c r="HE25" s="637"/>
      <c r="HF25" s="637"/>
      <c r="HG25" s="637"/>
      <c r="HH25" s="637"/>
      <c r="HI25" s="637"/>
      <c r="HJ25" s="637"/>
      <c r="HK25" s="637"/>
      <c r="HL25" s="637"/>
      <c r="HM25" s="637"/>
      <c r="HN25" s="637"/>
      <c r="HO25" s="637"/>
      <c r="HP25" s="637"/>
      <c r="HQ25" s="637"/>
      <c r="HR25" s="637"/>
      <c r="HS25" s="637"/>
      <c r="HT25" s="637"/>
      <c r="HU25" s="637"/>
      <c r="HV25" s="637"/>
      <c r="HW25" s="637"/>
      <c r="HX25" s="637"/>
      <c r="HY25" s="637"/>
      <c r="HZ25" s="637"/>
      <c r="IA25" s="637"/>
      <c r="IB25" s="637"/>
      <c r="IC25" s="637"/>
      <c r="ID25" s="637"/>
      <c r="IE25" s="637"/>
      <c r="IF25" s="637"/>
      <c r="IG25" s="637"/>
      <c r="IH25" s="637"/>
      <c r="II25" s="637"/>
      <c r="IJ25" s="637"/>
      <c r="IK25" s="637"/>
      <c r="IL25" s="637"/>
      <c r="IM25" s="637"/>
      <c r="IN25" s="637"/>
      <c r="IO25" s="637"/>
      <c r="IP25" s="637"/>
      <c r="IQ25" s="637"/>
      <c r="IR25" s="637"/>
      <c r="IS25" s="637"/>
      <c r="IT25" s="637"/>
      <c r="IU25" s="637"/>
      <c r="IV25" s="637"/>
      <c r="IW25" s="637"/>
      <c r="IX25" s="637"/>
      <c r="IY25" s="637"/>
      <c r="IZ25" s="637"/>
      <c r="JA25" s="637"/>
      <c r="JB25" s="637"/>
      <c r="JC25" s="637"/>
      <c r="JD25" s="637"/>
      <c r="JE25" s="637"/>
      <c r="JF25" s="637"/>
      <c r="JG25" s="637"/>
      <c r="JH25" s="637"/>
      <c r="JI25" s="637"/>
      <c r="JJ25" s="637"/>
      <c r="JK25" s="637"/>
      <c r="JL25" s="637"/>
      <c r="JM25" s="637"/>
      <c r="JN25" s="637"/>
      <c r="JO25" s="637"/>
      <c r="JP25" s="637"/>
      <c r="JQ25" s="637"/>
      <c r="JR25" s="637"/>
      <c r="JS25" s="637"/>
      <c r="JT25" s="637"/>
      <c r="JU25" s="637"/>
      <c r="JV25" s="637"/>
      <c r="JW25" s="637"/>
      <c r="JX25" s="637"/>
      <c r="JY25" s="637"/>
      <c r="JZ25" s="637"/>
      <c r="KA25" s="637"/>
      <c r="KB25" s="637"/>
      <c r="KC25" s="637"/>
      <c r="KD25" s="637"/>
      <c r="KE25" s="637"/>
      <c r="KF25" s="637"/>
      <c r="KG25" s="637"/>
      <c r="KH25" s="637"/>
      <c r="KI25" s="637"/>
      <c r="KJ25" s="637"/>
      <c r="KK25" s="637"/>
      <c r="KL25" s="637"/>
      <c r="KM25" s="637"/>
      <c r="KN25" s="637"/>
      <c r="KO25" s="637"/>
      <c r="KP25" s="637"/>
      <c r="KQ25" s="637"/>
      <c r="KR25" s="637"/>
      <c r="KS25" s="637"/>
      <c r="KT25" s="637"/>
      <c r="KU25" s="637"/>
      <c r="KV25" s="637"/>
      <c r="KW25" s="637"/>
      <c r="KX25" s="637"/>
      <c r="KY25" s="637"/>
      <c r="KZ25" s="637"/>
      <c r="LA25" s="637"/>
      <c r="LB25" s="637"/>
      <c r="LC25" s="637"/>
      <c r="LD25" s="637"/>
      <c r="LE25" s="637"/>
      <c r="LF25" s="637"/>
      <c r="LG25" s="637"/>
      <c r="LH25" s="637"/>
      <c r="LI25" s="637"/>
      <c r="LJ25" s="637"/>
      <c r="LK25" s="637"/>
      <c r="LL25" s="637"/>
      <c r="LM25" s="637"/>
      <c r="LN25" s="637"/>
      <c r="LO25" s="637"/>
      <c r="LP25" s="637"/>
      <c r="LQ25" s="637"/>
      <c r="LR25" s="637"/>
      <c r="LS25" s="637"/>
      <c r="LT25" s="637"/>
      <c r="LU25" s="637"/>
      <c r="LV25" s="637"/>
      <c r="LW25" s="637"/>
      <c r="LX25" s="637"/>
      <c r="LY25" s="637"/>
      <c r="LZ25" s="637"/>
      <c r="MA25" s="637"/>
      <c r="MB25" s="637"/>
      <c r="MC25" s="637"/>
      <c r="MD25" s="637"/>
      <c r="ME25" s="637"/>
      <c r="MF25" s="637"/>
      <c r="MG25" s="637"/>
      <c r="MH25" s="637"/>
      <c r="MI25" s="637"/>
      <c r="MJ25" s="637"/>
      <c r="MK25" s="637"/>
      <c r="ML25" s="637"/>
      <c r="MM25" s="637"/>
      <c r="MN25" s="637"/>
      <c r="MO25" s="637"/>
      <c r="MP25" s="637"/>
      <c r="MQ25" s="637"/>
      <c r="MR25" s="637"/>
      <c r="MS25" s="637"/>
      <c r="MT25" s="637"/>
      <c r="MU25" s="637"/>
      <c r="MV25" s="637"/>
      <c r="MW25" s="637"/>
      <c r="MX25" s="637"/>
      <c r="MY25" s="637"/>
      <c r="MZ25" s="637"/>
      <c r="NA25" s="637"/>
      <c r="NB25" s="637"/>
      <c r="NC25" s="637"/>
      <c r="ND25" s="637"/>
      <c r="NE25" s="637"/>
      <c r="NF25" s="637"/>
      <c r="NG25" s="637"/>
      <c r="NH25" s="637"/>
      <c r="NI25" s="637"/>
      <c r="NJ25" s="637"/>
      <c r="NK25" s="637"/>
      <c r="NL25" s="637"/>
      <c r="NM25" s="637"/>
      <c r="NN25" s="637"/>
      <c r="NO25" s="637"/>
      <c r="NP25" s="637"/>
      <c r="NQ25" s="637"/>
      <c r="NR25" s="637"/>
      <c r="NS25" s="637"/>
      <c r="NT25" s="637"/>
      <c r="NU25" s="637"/>
      <c r="NV25" s="637"/>
      <c r="NW25" s="637"/>
      <c r="NX25" s="637"/>
      <c r="NY25" s="637"/>
      <c r="NZ25" s="637"/>
      <c r="OA25" s="637"/>
      <c r="OB25" s="637"/>
      <c r="OC25" s="637"/>
      <c r="OD25" s="637"/>
      <c r="OE25" s="637"/>
      <c r="OF25" s="637"/>
      <c r="OG25" s="637"/>
      <c r="OH25" s="637"/>
      <c r="OI25" s="637"/>
      <c r="OJ25" s="637"/>
      <c r="OK25" s="637"/>
      <c r="OL25" s="637"/>
      <c r="OM25" s="637"/>
      <c r="ON25" s="637"/>
      <c r="OO25" s="637"/>
      <c r="OP25" s="637"/>
      <c r="OQ25" s="637"/>
      <c r="OR25" s="637"/>
      <c r="OS25" s="637"/>
      <c r="OT25" s="637"/>
      <c r="OU25" s="637"/>
      <c r="OV25" s="637"/>
      <c r="OW25" s="637"/>
      <c r="OX25" s="637"/>
      <c r="OY25" s="637"/>
      <c r="OZ25" s="637"/>
      <c r="PA25" s="637"/>
      <c r="PB25" s="637"/>
      <c r="PC25" s="637"/>
      <c r="PD25" s="637"/>
      <c r="PE25" s="637"/>
      <c r="PF25" s="637"/>
      <c r="PG25" s="637"/>
      <c r="PH25" s="637"/>
      <c r="PI25" s="637"/>
      <c r="PJ25" s="637"/>
      <c r="PK25" s="637"/>
      <c r="PL25" s="637"/>
      <c r="PM25" s="637"/>
      <c r="PN25" s="637"/>
      <c r="PO25" s="637"/>
      <c r="PP25" s="637"/>
      <c r="PQ25" s="637"/>
      <c r="PR25" s="637"/>
      <c r="PS25" s="637"/>
      <c r="PT25" s="637"/>
      <c r="PU25" s="637"/>
      <c r="PV25" s="637"/>
      <c r="PW25" s="637"/>
      <c r="PX25" s="637"/>
      <c r="PY25" s="637"/>
      <c r="PZ25" s="637"/>
      <c r="QA25" s="637"/>
      <c r="QB25" s="637"/>
      <c r="QC25" s="637"/>
      <c r="QD25" s="637"/>
      <c r="QE25" s="637"/>
      <c r="QF25" s="637"/>
      <c r="QG25" s="637"/>
      <c r="QH25" s="637"/>
      <c r="QI25" s="637"/>
      <c r="QJ25" s="637"/>
      <c r="QK25" s="637"/>
      <c r="QL25" s="637"/>
      <c r="QM25" s="637"/>
      <c r="QN25" s="637"/>
      <c r="QO25" s="637"/>
      <c r="QP25" s="637"/>
      <c r="QQ25" s="637"/>
      <c r="QR25" s="637"/>
      <c r="QS25" s="637"/>
      <c r="QT25" s="637"/>
      <c r="QU25" s="637"/>
      <c r="QV25" s="637"/>
      <c r="QW25" s="637"/>
      <c r="QX25" s="637"/>
      <c r="QY25" s="637"/>
      <c r="QZ25" s="637"/>
      <c r="RA25" s="637"/>
      <c r="RB25" s="637"/>
      <c r="RC25" s="637"/>
      <c r="RD25" s="637"/>
      <c r="RE25" s="637"/>
      <c r="RF25" s="637"/>
      <c r="RG25" s="637"/>
      <c r="RH25" s="637"/>
      <c r="RI25" s="637"/>
      <c r="RJ25" s="637"/>
      <c r="RK25" s="637"/>
      <c r="RL25" s="637"/>
      <c r="RM25" s="637"/>
      <c r="RN25" s="637"/>
      <c r="RO25" s="637"/>
      <c r="RP25" s="637"/>
      <c r="RQ25" s="637"/>
      <c r="RR25" s="637"/>
      <c r="RS25" s="637"/>
      <c r="RT25" s="637"/>
      <c r="RU25" s="637"/>
      <c r="RV25" s="637"/>
      <c r="RW25" s="637"/>
      <c r="RX25" s="637"/>
      <c r="RY25" s="637"/>
      <c r="RZ25" s="637"/>
      <c r="SA25" s="637"/>
      <c r="SB25" s="637"/>
      <c r="SC25" s="637"/>
      <c r="SD25" s="637"/>
      <c r="SE25" s="637"/>
      <c r="SF25" s="637"/>
      <c r="SG25" s="637"/>
      <c r="SH25" s="637"/>
      <c r="SI25" s="637"/>
      <c r="SJ25" s="637"/>
      <c r="SK25" s="637"/>
      <c r="SL25" s="637"/>
      <c r="SM25" s="637"/>
      <c r="SN25" s="637"/>
      <c r="SO25" s="637"/>
      <c r="SP25" s="637"/>
      <c r="SQ25" s="637"/>
      <c r="SR25" s="637"/>
      <c r="SS25" s="637"/>
      <c r="ST25" s="637"/>
      <c r="SU25" s="637"/>
      <c r="SV25" s="637"/>
      <c r="SW25" s="637"/>
      <c r="SX25" s="637"/>
      <c r="SY25" s="637"/>
      <c r="SZ25" s="637"/>
      <c r="TA25" s="637"/>
      <c r="TB25" s="637"/>
      <c r="TC25" s="637"/>
      <c r="TD25" s="637"/>
      <c r="TE25" s="637"/>
      <c r="TF25" s="637"/>
      <c r="TG25" s="637"/>
      <c r="TH25" s="637"/>
      <c r="TI25" s="637"/>
      <c r="TJ25" s="637"/>
      <c r="TK25" s="637"/>
      <c r="TL25" s="637"/>
      <c r="TM25" s="637"/>
      <c r="TN25" s="637"/>
      <c r="TO25" s="637"/>
      <c r="TP25" s="637"/>
      <c r="TQ25" s="637"/>
      <c r="TR25" s="637"/>
      <c r="TS25" s="637"/>
      <c r="TT25" s="637"/>
      <c r="TU25" s="637"/>
      <c r="TV25" s="637"/>
      <c r="TW25" s="637"/>
      <c r="TX25" s="637"/>
      <c r="TY25" s="637"/>
      <c r="TZ25" s="637"/>
      <c r="UA25" s="637"/>
      <c r="UB25" s="637"/>
      <c r="UC25" s="637"/>
      <c r="UD25" s="637"/>
      <c r="UE25" s="637"/>
      <c r="UF25" s="637"/>
      <c r="UG25" s="637"/>
      <c r="UH25" s="637"/>
      <c r="UI25" s="637"/>
      <c r="UJ25" s="637"/>
      <c r="UK25" s="637"/>
      <c r="UL25" s="637"/>
      <c r="UM25" s="637"/>
      <c r="UN25" s="637"/>
      <c r="UO25" s="637"/>
      <c r="UP25" s="637"/>
      <c r="UQ25" s="637"/>
      <c r="UR25" s="637"/>
      <c r="US25" s="637"/>
      <c r="UT25" s="637"/>
      <c r="UU25" s="637"/>
      <c r="UV25" s="637"/>
      <c r="UW25" s="637"/>
      <c r="UX25" s="637"/>
      <c r="UY25" s="637"/>
      <c r="UZ25" s="637"/>
      <c r="VA25" s="637"/>
      <c r="VB25" s="637"/>
      <c r="VC25" s="637"/>
      <c r="VD25" s="637"/>
      <c r="VE25" s="637"/>
      <c r="VF25" s="637"/>
      <c r="VG25" s="637"/>
      <c r="VH25" s="637"/>
      <c r="VI25" s="637"/>
      <c r="VJ25" s="637"/>
      <c r="VK25" s="637"/>
      <c r="VL25" s="637"/>
      <c r="VM25" s="637"/>
      <c r="VN25" s="637"/>
      <c r="VO25" s="637"/>
      <c r="VP25" s="637"/>
      <c r="VQ25" s="637"/>
      <c r="VR25" s="637"/>
      <c r="VS25" s="637"/>
      <c r="VT25" s="637"/>
      <c r="VU25" s="637"/>
      <c r="VV25" s="637"/>
      <c r="VW25" s="637"/>
      <c r="VX25" s="637"/>
      <c r="VY25" s="637"/>
      <c r="VZ25" s="637"/>
      <c r="WA25" s="637"/>
      <c r="WB25" s="637"/>
      <c r="WC25" s="637"/>
      <c r="WD25" s="637"/>
      <c r="WE25" s="637"/>
      <c r="WF25" s="637"/>
      <c r="WG25" s="637"/>
      <c r="WH25" s="637"/>
      <c r="WI25" s="637"/>
      <c r="WJ25" s="637"/>
      <c r="WK25" s="637"/>
      <c r="WL25" s="637"/>
      <c r="WM25" s="637"/>
      <c r="WN25" s="637"/>
      <c r="WO25" s="637"/>
      <c r="WP25" s="637"/>
      <c r="WQ25" s="637"/>
      <c r="WR25" s="637"/>
      <c r="WS25" s="637"/>
      <c r="WT25" s="637"/>
      <c r="WU25" s="637"/>
      <c r="WV25" s="637"/>
      <c r="WW25" s="637"/>
      <c r="WX25" s="637"/>
      <c r="WY25" s="637"/>
      <c r="WZ25" s="637"/>
      <c r="XA25" s="637"/>
      <c r="XB25" s="637"/>
      <c r="XC25" s="637"/>
      <c r="XD25" s="637"/>
      <c r="XE25" s="637"/>
      <c r="XF25" s="637"/>
      <c r="XG25" s="637"/>
      <c r="XH25" s="637"/>
      <c r="XI25" s="637"/>
      <c r="XJ25" s="637"/>
      <c r="XK25" s="637"/>
      <c r="XL25" s="637"/>
      <c r="XM25" s="637"/>
      <c r="XN25" s="637"/>
      <c r="XO25" s="637"/>
      <c r="XP25" s="637"/>
      <c r="XQ25" s="637"/>
      <c r="XR25" s="637"/>
      <c r="XS25" s="637"/>
      <c r="XT25" s="637"/>
      <c r="XU25" s="637"/>
      <c r="XV25" s="637"/>
      <c r="XW25" s="637"/>
      <c r="XX25" s="637"/>
      <c r="XY25" s="637"/>
      <c r="XZ25" s="637"/>
      <c r="YA25" s="637"/>
      <c r="YB25" s="637"/>
      <c r="YC25" s="637"/>
      <c r="YD25" s="637"/>
      <c r="YE25" s="637"/>
      <c r="YF25" s="637"/>
      <c r="YG25" s="637"/>
      <c r="YH25" s="637"/>
      <c r="YI25" s="637"/>
      <c r="YJ25" s="637"/>
      <c r="YK25" s="637"/>
      <c r="YL25" s="637"/>
      <c r="YM25" s="637"/>
      <c r="YN25" s="637"/>
      <c r="YO25" s="637"/>
      <c r="YP25" s="637"/>
      <c r="YQ25" s="637"/>
      <c r="YR25" s="637"/>
      <c r="YS25" s="637"/>
      <c r="YT25" s="637"/>
      <c r="YU25" s="637"/>
      <c r="YV25" s="637"/>
      <c r="YW25" s="637"/>
      <c r="YX25" s="637"/>
      <c r="YY25" s="637"/>
      <c r="YZ25" s="637"/>
      <c r="ZA25" s="637"/>
      <c r="ZB25" s="637"/>
      <c r="ZC25" s="637"/>
      <c r="ZD25" s="637"/>
      <c r="ZE25" s="637"/>
      <c r="ZF25" s="637"/>
      <c r="ZG25" s="637"/>
      <c r="ZH25" s="637"/>
      <c r="ZI25" s="637"/>
      <c r="ZJ25" s="637"/>
      <c r="ZK25" s="637"/>
      <c r="ZL25" s="637"/>
      <c r="ZM25" s="637"/>
      <c r="ZN25" s="637"/>
      <c r="ZO25" s="637"/>
      <c r="ZP25" s="637"/>
      <c r="ZQ25" s="637"/>
      <c r="ZR25" s="637"/>
      <c r="ZS25" s="637"/>
      <c r="ZT25" s="637"/>
      <c r="ZU25" s="637"/>
      <c r="ZV25" s="637"/>
      <c r="ZW25" s="637"/>
      <c r="ZX25" s="637"/>
      <c r="ZY25" s="637"/>
      <c r="ZZ25" s="637"/>
      <c r="AAA25" s="637"/>
      <c r="AAB25" s="637"/>
      <c r="AAC25" s="637"/>
      <c r="AAD25" s="637"/>
      <c r="AAE25" s="637"/>
      <c r="AAF25" s="637"/>
      <c r="AAG25" s="637"/>
      <c r="AAH25" s="637"/>
      <c r="AAI25" s="637"/>
      <c r="AAJ25" s="637"/>
      <c r="AAK25" s="637"/>
      <c r="AAL25" s="637"/>
      <c r="AAM25" s="637"/>
      <c r="AAN25" s="637"/>
      <c r="AAO25" s="637"/>
      <c r="AAP25" s="637"/>
      <c r="AAQ25" s="637"/>
      <c r="AAR25" s="637"/>
      <c r="AAS25" s="637"/>
      <c r="AAT25" s="637"/>
      <c r="AAU25" s="637"/>
      <c r="AAV25" s="637"/>
      <c r="AAW25" s="637"/>
      <c r="AAX25" s="637"/>
      <c r="AAY25" s="637"/>
      <c r="AAZ25" s="637"/>
      <c r="ABA25" s="637"/>
      <c r="ABB25" s="637"/>
      <c r="ABC25" s="637"/>
      <c r="ABD25" s="637"/>
      <c r="ABE25" s="637"/>
      <c r="ABF25" s="637"/>
      <c r="ABG25" s="637"/>
      <c r="ABH25" s="637"/>
      <c r="ABI25" s="637"/>
      <c r="ABJ25" s="637"/>
      <c r="ABK25" s="637"/>
      <c r="ABL25" s="637"/>
      <c r="ABM25" s="637"/>
      <c r="ABN25" s="637"/>
      <c r="ABO25" s="637"/>
      <c r="ABP25" s="637"/>
      <c r="ABQ25" s="637"/>
      <c r="ABR25" s="637"/>
      <c r="ABS25" s="637"/>
      <c r="ABT25" s="637"/>
      <c r="ABU25" s="637"/>
      <c r="ABV25" s="637"/>
      <c r="ABW25" s="637"/>
      <c r="ABX25" s="637"/>
      <c r="ABY25" s="637"/>
      <c r="ABZ25" s="637"/>
      <c r="ACA25" s="637"/>
      <c r="ACB25" s="637"/>
      <c r="ACC25" s="637"/>
      <c r="ACD25" s="637"/>
      <c r="ACE25" s="637"/>
      <c r="ACF25" s="637"/>
      <c r="ACG25" s="637"/>
      <c r="ACH25" s="637"/>
      <c r="ACI25" s="637"/>
      <c r="ACJ25" s="637"/>
      <c r="ACK25" s="637"/>
      <c r="ACL25" s="637"/>
      <c r="ACM25" s="637"/>
      <c r="ACN25" s="637"/>
      <c r="ACO25" s="637"/>
      <c r="ACP25" s="637"/>
      <c r="ACQ25" s="637"/>
      <c r="ACR25" s="637"/>
      <c r="ACS25" s="637"/>
      <c r="ACT25" s="637"/>
      <c r="ACU25" s="637"/>
      <c r="ACV25" s="637"/>
      <c r="ACW25" s="637"/>
      <c r="ACX25" s="637"/>
      <c r="ACY25" s="637"/>
      <c r="ACZ25" s="637"/>
      <c r="ADA25" s="637"/>
      <c r="ADB25" s="637"/>
      <c r="ADC25" s="637"/>
      <c r="ADD25" s="637"/>
      <c r="ADE25" s="637"/>
      <c r="ADF25" s="637"/>
      <c r="ADG25" s="637"/>
      <c r="ADH25" s="637"/>
      <c r="ADI25" s="637"/>
      <c r="ADJ25" s="637"/>
      <c r="ADK25" s="637"/>
      <c r="ADL25" s="637"/>
      <c r="ADM25" s="637"/>
      <c r="ADN25" s="637"/>
      <c r="ADO25" s="637"/>
      <c r="ADP25" s="637"/>
      <c r="ADQ25" s="637"/>
      <c r="ADR25" s="637"/>
      <c r="ADS25" s="637"/>
      <c r="ADT25" s="637"/>
      <c r="ADU25" s="637"/>
      <c r="ADV25" s="637"/>
      <c r="ADW25" s="637"/>
      <c r="ADX25" s="637"/>
      <c r="ADY25" s="637"/>
      <c r="ADZ25" s="637"/>
      <c r="AEA25" s="637"/>
      <c r="AEB25" s="637"/>
      <c r="AEC25" s="637"/>
      <c r="AED25" s="637"/>
      <c r="AEE25" s="637"/>
      <c r="AEF25" s="637"/>
      <c r="AEG25" s="637"/>
      <c r="AEH25" s="637"/>
      <c r="AEI25" s="637"/>
      <c r="AEJ25" s="637"/>
      <c r="AEK25" s="637"/>
      <c r="AEL25" s="637"/>
      <c r="AEM25" s="637"/>
      <c r="AEN25" s="637"/>
      <c r="AEO25" s="637"/>
      <c r="AEP25" s="637"/>
      <c r="AEQ25" s="637"/>
      <c r="AER25" s="637"/>
      <c r="AES25" s="637"/>
      <c r="AET25" s="637"/>
      <c r="AEU25" s="637"/>
      <c r="AEV25" s="637"/>
      <c r="AEW25" s="637"/>
      <c r="AEX25" s="637"/>
      <c r="AEY25" s="637"/>
      <c r="AEZ25" s="637"/>
      <c r="AFA25" s="637"/>
      <c r="AFB25" s="637"/>
      <c r="AFC25" s="637"/>
      <c r="AFD25" s="637"/>
      <c r="AFE25" s="637"/>
      <c r="AFF25" s="637"/>
      <c r="AFG25" s="637"/>
      <c r="AFH25" s="637"/>
      <c r="AFI25" s="637"/>
      <c r="AFJ25" s="637"/>
      <c r="AFK25" s="637"/>
      <c r="AFL25" s="637"/>
      <c r="AFM25" s="637"/>
      <c r="AFN25" s="637"/>
      <c r="AFO25" s="637"/>
      <c r="AFP25" s="637"/>
      <c r="AFQ25" s="637"/>
      <c r="AFR25" s="637"/>
      <c r="AFS25" s="637"/>
      <c r="AFT25" s="637"/>
      <c r="AFU25" s="637"/>
      <c r="AFV25" s="637"/>
      <c r="AFW25" s="637"/>
      <c r="AFX25" s="637"/>
      <c r="AFY25" s="637"/>
      <c r="AFZ25" s="637"/>
      <c r="AGA25" s="637"/>
      <c r="AGB25" s="637"/>
      <c r="AGC25" s="637"/>
      <c r="AGD25" s="637"/>
      <c r="AGE25" s="637"/>
      <c r="AGF25" s="637"/>
      <c r="AGG25" s="637"/>
      <c r="AGH25" s="637"/>
      <c r="AGI25" s="637"/>
      <c r="AGJ25" s="637"/>
      <c r="AGK25" s="637"/>
      <c r="AGL25" s="637"/>
      <c r="AGM25" s="637"/>
      <c r="AGN25" s="637"/>
      <c r="AGO25" s="637"/>
      <c r="AGP25" s="637"/>
      <c r="AGQ25" s="637"/>
      <c r="AGR25" s="637"/>
      <c r="AGS25" s="637"/>
      <c r="AGT25" s="637"/>
      <c r="AGU25" s="637"/>
      <c r="AGV25" s="637"/>
      <c r="AGW25" s="637"/>
      <c r="AGX25" s="637"/>
      <c r="AGY25" s="637"/>
      <c r="AGZ25" s="637"/>
      <c r="AHA25" s="637"/>
      <c r="AHB25" s="637"/>
      <c r="AHC25" s="637"/>
      <c r="AHD25" s="637"/>
      <c r="AHE25" s="637"/>
      <c r="AHF25" s="637"/>
      <c r="AHG25" s="637"/>
      <c r="AHH25" s="637"/>
      <c r="AHI25" s="637"/>
      <c r="AHJ25" s="637"/>
      <c r="AHK25" s="637"/>
      <c r="AHL25" s="637"/>
      <c r="AHM25" s="637"/>
      <c r="AHN25" s="637"/>
      <c r="AHO25" s="637"/>
      <c r="AHP25" s="637"/>
      <c r="AHQ25" s="637"/>
      <c r="AHR25" s="637"/>
      <c r="AHS25" s="637"/>
      <c r="AHT25" s="637"/>
      <c r="AHU25" s="637"/>
      <c r="AHV25" s="637"/>
      <c r="AHW25" s="637"/>
      <c r="AHX25" s="637"/>
      <c r="AHY25" s="637"/>
      <c r="AHZ25" s="637"/>
      <c r="AIA25" s="637"/>
      <c r="AIB25" s="637"/>
      <c r="AIC25" s="637"/>
      <c r="AID25" s="637"/>
      <c r="AIE25" s="637"/>
      <c r="AIF25" s="637"/>
      <c r="AIG25" s="637"/>
      <c r="AIH25" s="637"/>
      <c r="AII25" s="637"/>
      <c r="AIJ25" s="637"/>
      <c r="AIK25" s="637"/>
      <c r="AIL25" s="637"/>
      <c r="AIM25" s="637"/>
      <c r="AIN25" s="637"/>
      <c r="AIO25" s="637"/>
      <c r="AIP25" s="637"/>
      <c r="AIQ25" s="637"/>
      <c r="AIR25" s="637"/>
      <c r="AIS25" s="637"/>
      <c r="AIT25" s="637"/>
      <c r="AIU25" s="637"/>
      <c r="AIV25" s="637"/>
      <c r="AIW25" s="637"/>
      <c r="AIX25" s="637"/>
      <c r="AIY25" s="637"/>
      <c r="AIZ25" s="637"/>
      <c r="AJA25" s="637"/>
      <c r="AJB25" s="637"/>
      <c r="AJC25" s="637"/>
      <c r="AJD25" s="637"/>
      <c r="AJE25" s="637"/>
      <c r="AJF25" s="637"/>
      <c r="AJG25" s="637"/>
      <c r="AJH25" s="637"/>
      <c r="AJI25" s="637"/>
      <c r="AJJ25" s="637"/>
      <c r="AJK25" s="637"/>
      <c r="AJL25" s="637"/>
      <c r="AJM25" s="637"/>
      <c r="AJN25" s="637"/>
      <c r="AJO25" s="637"/>
      <c r="AJP25" s="637"/>
      <c r="AJQ25" s="637"/>
      <c r="AJR25" s="637"/>
      <c r="AJS25" s="637"/>
      <c r="AJT25" s="637"/>
      <c r="AJU25" s="637"/>
      <c r="AJV25" s="637"/>
      <c r="AJW25" s="637"/>
      <c r="AJX25" s="637"/>
      <c r="AJY25" s="637"/>
      <c r="AJZ25" s="637"/>
      <c r="AKA25" s="637"/>
      <c r="AKB25" s="637"/>
      <c r="AKC25" s="637"/>
      <c r="AKD25" s="637"/>
      <c r="AKE25" s="637"/>
      <c r="AKF25" s="637"/>
      <c r="AKG25" s="637"/>
      <c r="AKH25" s="637"/>
      <c r="AKI25" s="637"/>
      <c r="AKJ25" s="637"/>
      <c r="AKK25" s="637"/>
      <c r="AKL25" s="637"/>
      <c r="AKM25" s="637"/>
      <c r="AKN25" s="637"/>
      <c r="AKO25" s="637"/>
      <c r="AKP25" s="637"/>
      <c r="AKQ25" s="637"/>
      <c r="AKR25" s="637"/>
      <c r="AKS25" s="637"/>
      <c r="AKT25" s="637"/>
      <c r="AKU25" s="637"/>
      <c r="AKV25" s="637"/>
      <c r="AKW25" s="637"/>
      <c r="AKX25" s="637"/>
      <c r="AKY25" s="637"/>
      <c r="AKZ25" s="637"/>
      <c r="ALA25" s="637"/>
      <c r="ALB25" s="637"/>
      <c r="ALC25" s="637"/>
      <c r="ALD25" s="637"/>
      <c r="ALE25" s="637"/>
      <c r="ALF25" s="637"/>
      <c r="ALG25" s="637"/>
      <c r="ALH25" s="637"/>
      <c r="ALI25" s="637"/>
      <c r="ALJ25" s="637"/>
      <c r="ALK25" s="637"/>
      <c r="ALL25" s="637"/>
      <c r="ALM25" s="637"/>
      <c r="ALN25" s="637"/>
      <c r="ALO25" s="637"/>
      <c r="ALP25" s="637"/>
      <c r="ALQ25" s="637"/>
      <c r="ALR25" s="637"/>
      <c r="ALS25" s="637"/>
      <c r="ALT25" s="637"/>
      <c r="ALU25" s="637"/>
      <c r="ALV25" s="637"/>
      <c r="ALW25" s="637"/>
      <c r="ALX25" s="637"/>
      <c r="ALY25" s="637"/>
      <c r="ALZ25" s="637"/>
      <c r="AMA25" s="637"/>
      <c r="AMB25" s="637"/>
      <c r="AMC25" s="637"/>
      <c r="AMD25" s="637"/>
      <c r="AME25" s="637"/>
      <c r="AMF25" s="637"/>
      <c r="AMG25" s="637"/>
      <c r="AMH25" s="637"/>
      <c r="AMI25" s="637"/>
      <c r="AMJ25" s="637"/>
    </row>
    <row r="26" spans="1:1024" s="638" customFormat="1" ht="12.75">
      <c r="A26" s="984"/>
      <c r="B26" s="985"/>
      <c r="C26" s="986"/>
      <c r="D26" s="981" t="s">
        <v>1041</v>
      </c>
      <c r="E26" s="982">
        <f>670413-5947+154-111376-2791</f>
        <v>550453</v>
      </c>
      <c r="F26" s="982">
        <f t="shared" si="1"/>
        <v>15000</v>
      </c>
      <c r="G26" s="987"/>
      <c r="H26" s="987"/>
      <c r="I26" s="987"/>
      <c r="J26" s="987">
        <v>15000</v>
      </c>
      <c r="K26" s="987"/>
      <c r="L26" s="987"/>
      <c r="M26" s="987"/>
      <c r="N26" s="987"/>
      <c r="O26" s="987"/>
      <c r="P26" s="987"/>
      <c r="Q26" s="987"/>
      <c r="R26" s="983"/>
      <c r="S26" s="637"/>
      <c r="T26" s="637"/>
      <c r="U26" s="637"/>
      <c r="V26" s="637"/>
      <c r="W26" s="637"/>
      <c r="X26" s="637"/>
      <c r="Y26" s="637"/>
      <c r="Z26" s="637"/>
      <c r="AA26" s="637"/>
      <c r="AB26" s="637"/>
      <c r="AC26" s="637"/>
      <c r="AD26" s="637"/>
      <c r="AE26" s="637"/>
      <c r="AF26" s="637"/>
      <c r="AG26" s="637"/>
      <c r="AH26" s="637"/>
      <c r="AI26" s="637"/>
      <c r="AJ26" s="637"/>
      <c r="AK26" s="637"/>
      <c r="AL26" s="637"/>
      <c r="AM26" s="637"/>
      <c r="AN26" s="637"/>
      <c r="AO26" s="637"/>
      <c r="AP26" s="637"/>
      <c r="AQ26" s="637"/>
      <c r="AR26" s="637"/>
      <c r="AS26" s="637"/>
      <c r="AT26" s="637"/>
      <c r="AU26" s="637"/>
      <c r="AV26" s="637"/>
      <c r="AW26" s="637"/>
      <c r="AX26" s="637"/>
      <c r="AY26" s="637"/>
      <c r="AZ26" s="637"/>
      <c r="BA26" s="637"/>
      <c r="BB26" s="637"/>
      <c r="BC26" s="637"/>
      <c r="BD26" s="637"/>
      <c r="BE26" s="637"/>
      <c r="BF26" s="637"/>
      <c r="BG26" s="637"/>
      <c r="BH26" s="637"/>
      <c r="BI26" s="637"/>
      <c r="BJ26" s="637"/>
      <c r="BK26" s="637"/>
      <c r="BL26" s="637"/>
      <c r="BM26" s="637"/>
      <c r="BN26" s="637"/>
      <c r="BO26" s="637"/>
      <c r="BP26" s="637"/>
      <c r="BQ26" s="637"/>
      <c r="BR26" s="637"/>
      <c r="BS26" s="637"/>
      <c r="BT26" s="637"/>
      <c r="BU26" s="637"/>
      <c r="BV26" s="637"/>
      <c r="BW26" s="637"/>
      <c r="BX26" s="637"/>
      <c r="BY26" s="637"/>
      <c r="BZ26" s="637"/>
      <c r="CA26" s="637"/>
      <c r="CB26" s="637"/>
      <c r="CC26" s="637"/>
      <c r="CD26" s="637"/>
      <c r="CE26" s="637"/>
      <c r="CF26" s="637"/>
      <c r="CG26" s="637"/>
      <c r="CH26" s="637"/>
      <c r="CI26" s="637"/>
      <c r="CJ26" s="637"/>
      <c r="CK26" s="637"/>
      <c r="CL26" s="637"/>
      <c r="CM26" s="637"/>
      <c r="CN26" s="637"/>
      <c r="CO26" s="637"/>
      <c r="CP26" s="637"/>
      <c r="CQ26" s="637"/>
      <c r="CR26" s="637"/>
      <c r="CS26" s="637"/>
      <c r="CT26" s="637"/>
      <c r="CU26" s="637"/>
      <c r="CV26" s="637"/>
      <c r="CW26" s="637"/>
      <c r="CX26" s="637"/>
      <c r="CY26" s="637"/>
      <c r="CZ26" s="637"/>
      <c r="DA26" s="637"/>
      <c r="DB26" s="637"/>
      <c r="DC26" s="637"/>
      <c r="DD26" s="637"/>
      <c r="DE26" s="637"/>
      <c r="DF26" s="637"/>
      <c r="DG26" s="637"/>
      <c r="DH26" s="637"/>
      <c r="DI26" s="637"/>
      <c r="DJ26" s="637"/>
      <c r="DK26" s="637"/>
      <c r="DL26" s="637"/>
      <c r="DM26" s="637"/>
      <c r="DN26" s="637"/>
      <c r="DO26" s="637"/>
      <c r="DP26" s="637"/>
      <c r="DQ26" s="637"/>
      <c r="DR26" s="637"/>
      <c r="DS26" s="637"/>
      <c r="DT26" s="637"/>
      <c r="DU26" s="637"/>
      <c r="DV26" s="637"/>
      <c r="DW26" s="637"/>
      <c r="DX26" s="637"/>
      <c r="DY26" s="637"/>
      <c r="DZ26" s="637"/>
      <c r="EA26" s="637"/>
      <c r="EB26" s="637"/>
      <c r="EC26" s="637"/>
      <c r="ED26" s="637"/>
      <c r="EE26" s="637"/>
      <c r="EF26" s="637"/>
      <c r="EG26" s="637"/>
      <c r="EH26" s="637"/>
      <c r="EI26" s="637"/>
      <c r="EJ26" s="637"/>
      <c r="EK26" s="637"/>
      <c r="EL26" s="637"/>
      <c r="EM26" s="637"/>
      <c r="EN26" s="637"/>
      <c r="EO26" s="637"/>
      <c r="EP26" s="637"/>
      <c r="EQ26" s="637"/>
      <c r="ER26" s="637"/>
      <c r="ES26" s="637"/>
      <c r="ET26" s="637"/>
      <c r="EU26" s="637"/>
      <c r="EV26" s="637"/>
      <c r="EW26" s="637"/>
      <c r="EX26" s="637"/>
      <c r="EY26" s="637"/>
      <c r="EZ26" s="637"/>
      <c r="FA26" s="637"/>
      <c r="FB26" s="637"/>
      <c r="FC26" s="637"/>
      <c r="FD26" s="637"/>
      <c r="FE26" s="637"/>
      <c r="FF26" s="637"/>
      <c r="FG26" s="637"/>
      <c r="FH26" s="637"/>
      <c r="FI26" s="637"/>
      <c r="FJ26" s="637"/>
      <c r="FK26" s="637"/>
      <c r="FL26" s="637"/>
      <c r="FM26" s="637"/>
      <c r="FN26" s="637"/>
      <c r="FO26" s="637"/>
      <c r="FP26" s="637"/>
      <c r="FQ26" s="637"/>
      <c r="FR26" s="637"/>
      <c r="FS26" s="637"/>
      <c r="FT26" s="637"/>
      <c r="FU26" s="637"/>
      <c r="FV26" s="637"/>
      <c r="FW26" s="637"/>
      <c r="FX26" s="637"/>
      <c r="FY26" s="637"/>
      <c r="FZ26" s="637"/>
      <c r="GA26" s="637"/>
      <c r="GB26" s="637"/>
      <c r="GC26" s="637"/>
      <c r="GD26" s="637"/>
      <c r="GE26" s="637"/>
      <c r="GF26" s="637"/>
      <c r="GG26" s="637"/>
      <c r="GH26" s="637"/>
      <c r="GI26" s="637"/>
      <c r="GJ26" s="637"/>
      <c r="GK26" s="637"/>
      <c r="GL26" s="637"/>
      <c r="GM26" s="637"/>
      <c r="GN26" s="637"/>
      <c r="GO26" s="637"/>
      <c r="GP26" s="637"/>
      <c r="GQ26" s="637"/>
      <c r="GR26" s="637"/>
      <c r="GS26" s="637"/>
      <c r="GT26" s="637"/>
      <c r="GU26" s="637"/>
      <c r="GV26" s="637"/>
      <c r="GW26" s="637"/>
      <c r="GX26" s="637"/>
      <c r="GY26" s="637"/>
      <c r="GZ26" s="637"/>
      <c r="HA26" s="637"/>
      <c r="HB26" s="637"/>
      <c r="HC26" s="637"/>
      <c r="HD26" s="637"/>
      <c r="HE26" s="637"/>
      <c r="HF26" s="637"/>
      <c r="HG26" s="637"/>
      <c r="HH26" s="637"/>
      <c r="HI26" s="637"/>
      <c r="HJ26" s="637"/>
      <c r="HK26" s="637"/>
      <c r="HL26" s="637"/>
      <c r="HM26" s="637"/>
      <c r="HN26" s="637"/>
      <c r="HO26" s="637"/>
      <c r="HP26" s="637"/>
      <c r="HQ26" s="637"/>
      <c r="HR26" s="637"/>
      <c r="HS26" s="637"/>
      <c r="HT26" s="637"/>
      <c r="HU26" s="637"/>
      <c r="HV26" s="637"/>
      <c r="HW26" s="637"/>
      <c r="HX26" s="637"/>
      <c r="HY26" s="637"/>
      <c r="HZ26" s="637"/>
      <c r="IA26" s="637"/>
      <c r="IB26" s="637"/>
      <c r="IC26" s="637"/>
      <c r="ID26" s="637"/>
      <c r="IE26" s="637"/>
      <c r="IF26" s="637"/>
      <c r="IG26" s="637"/>
      <c r="IH26" s="637"/>
      <c r="II26" s="637"/>
      <c r="IJ26" s="637"/>
      <c r="IK26" s="637"/>
      <c r="IL26" s="637"/>
      <c r="IM26" s="637"/>
      <c r="IN26" s="637"/>
      <c r="IO26" s="637"/>
      <c r="IP26" s="637"/>
      <c r="IQ26" s="637"/>
      <c r="IR26" s="637"/>
      <c r="IS26" s="637"/>
      <c r="IT26" s="637"/>
      <c r="IU26" s="637"/>
      <c r="IV26" s="637"/>
      <c r="IW26" s="637"/>
      <c r="IX26" s="637"/>
      <c r="IY26" s="637"/>
      <c r="IZ26" s="637"/>
      <c r="JA26" s="637"/>
      <c r="JB26" s="637"/>
      <c r="JC26" s="637"/>
      <c r="JD26" s="637"/>
      <c r="JE26" s="637"/>
      <c r="JF26" s="637"/>
      <c r="JG26" s="637"/>
      <c r="JH26" s="637"/>
      <c r="JI26" s="637"/>
      <c r="JJ26" s="637"/>
      <c r="JK26" s="637"/>
      <c r="JL26" s="637"/>
      <c r="JM26" s="637"/>
      <c r="JN26" s="637"/>
      <c r="JO26" s="637"/>
      <c r="JP26" s="637"/>
      <c r="JQ26" s="637"/>
      <c r="JR26" s="637"/>
      <c r="JS26" s="637"/>
      <c r="JT26" s="637"/>
      <c r="JU26" s="637"/>
      <c r="JV26" s="637"/>
      <c r="JW26" s="637"/>
      <c r="JX26" s="637"/>
      <c r="JY26" s="637"/>
      <c r="JZ26" s="637"/>
      <c r="KA26" s="637"/>
      <c r="KB26" s="637"/>
      <c r="KC26" s="637"/>
      <c r="KD26" s="637"/>
      <c r="KE26" s="637"/>
      <c r="KF26" s="637"/>
      <c r="KG26" s="637"/>
      <c r="KH26" s="637"/>
      <c r="KI26" s="637"/>
      <c r="KJ26" s="637"/>
      <c r="KK26" s="637"/>
      <c r="KL26" s="637"/>
      <c r="KM26" s="637"/>
      <c r="KN26" s="637"/>
      <c r="KO26" s="637"/>
      <c r="KP26" s="637"/>
      <c r="KQ26" s="637"/>
      <c r="KR26" s="637"/>
      <c r="KS26" s="637"/>
      <c r="KT26" s="637"/>
      <c r="KU26" s="637"/>
      <c r="KV26" s="637"/>
      <c r="KW26" s="637"/>
      <c r="KX26" s="637"/>
      <c r="KY26" s="637"/>
      <c r="KZ26" s="637"/>
      <c r="LA26" s="637"/>
      <c r="LB26" s="637"/>
      <c r="LC26" s="637"/>
      <c r="LD26" s="637"/>
      <c r="LE26" s="637"/>
      <c r="LF26" s="637"/>
      <c r="LG26" s="637"/>
      <c r="LH26" s="637"/>
      <c r="LI26" s="637"/>
      <c r="LJ26" s="637"/>
      <c r="LK26" s="637"/>
      <c r="LL26" s="637"/>
      <c r="LM26" s="637"/>
      <c r="LN26" s="637"/>
      <c r="LO26" s="637"/>
      <c r="LP26" s="637"/>
      <c r="LQ26" s="637"/>
      <c r="LR26" s="637"/>
      <c r="LS26" s="637"/>
      <c r="LT26" s="637"/>
      <c r="LU26" s="637"/>
      <c r="LV26" s="637"/>
      <c r="LW26" s="637"/>
      <c r="LX26" s="637"/>
      <c r="LY26" s="637"/>
      <c r="LZ26" s="637"/>
      <c r="MA26" s="637"/>
      <c r="MB26" s="637"/>
      <c r="MC26" s="637"/>
      <c r="MD26" s="637"/>
      <c r="ME26" s="637"/>
      <c r="MF26" s="637"/>
      <c r="MG26" s="637"/>
      <c r="MH26" s="637"/>
      <c r="MI26" s="637"/>
      <c r="MJ26" s="637"/>
      <c r="MK26" s="637"/>
      <c r="ML26" s="637"/>
      <c r="MM26" s="637"/>
      <c r="MN26" s="637"/>
      <c r="MO26" s="637"/>
      <c r="MP26" s="637"/>
      <c r="MQ26" s="637"/>
      <c r="MR26" s="637"/>
      <c r="MS26" s="637"/>
      <c r="MT26" s="637"/>
      <c r="MU26" s="637"/>
      <c r="MV26" s="637"/>
      <c r="MW26" s="637"/>
      <c r="MX26" s="637"/>
      <c r="MY26" s="637"/>
      <c r="MZ26" s="637"/>
      <c r="NA26" s="637"/>
      <c r="NB26" s="637"/>
      <c r="NC26" s="637"/>
      <c r="ND26" s="637"/>
      <c r="NE26" s="637"/>
      <c r="NF26" s="637"/>
      <c r="NG26" s="637"/>
      <c r="NH26" s="637"/>
      <c r="NI26" s="637"/>
      <c r="NJ26" s="637"/>
      <c r="NK26" s="637"/>
      <c r="NL26" s="637"/>
      <c r="NM26" s="637"/>
      <c r="NN26" s="637"/>
      <c r="NO26" s="637"/>
      <c r="NP26" s="637"/>
      <c r="NQ26" s="637"/>
      <c r="NR26" s="637"/>
      <c r="NS26" s="637"/>
      <c r="NT26" s="637"/>
      <c r="NU26" s="637"/>
      <c r="NV26" s="637"/>
      <c r="NW26" s="637"/>
      <c r="NX26" s="637"/>
      <c r="NY26" s="637"/>
      <c r="NZ26" s="637"/>
      <c r="OA26" s="637"/>
      <c r="OB26" s="637"/>
      <c r="OC26" s="637"/>
      <c r="OD26" s="637"/>
      <c r="OE26" s="637"/>
      <c r="OF26" s="637"/>
      <c r="OG26" s="637"/>
      <c r="OH26" s="637"/>
      <c r="OI26" s="637"/>
      <c r="OJ26" s="637"/>
      <c r="OK26" s="637"/>
      <c r="OL26" s="637"/>
      <c r="OM26" s="637"/>
      <c r="ON26" s="637"/>
      <c r="OO26" s="637"/>
      <c r="OP26" s="637"/>
      <c r="OQ26" s="637"/>
      <c r="OR26" s="637"/>
      <c r="OS26" s="637"/>
      <c r="OT26" s="637"/>
      <c r="OU26" s="637"/>
      <c r="OV26" s="637"/>
      <c r="OW26" s="637"/>
      <c r="OX26" s="637"/>
      <c r="OY26" s="637"/>
      <c r="OZ26" s="637"/>
      <c r="PA26" s="637"/>
      <c r="PB26" s="637"/>
      <c r="PC26" s="637"/>
      <c r="PD26" s="637"/>
      <c r="PE26" s="637"/>
      <c r="PF26" s="637"/>
      <c r="PG26" s="637"/>
      <c r="PH26" s="637"/>
      <c r="PI26" s="637"/>
      <c r="PJ26" s="637"/>
      <c r="PK26" s="637"/>
      <c r="PL26" s="637"/>
      <c r="PM26" s="637"/>
      <c r="PN26" s="637"/>
      <c r="PO26" s="637"/>
      <c r="PP26" s="637"/>
      <c r="PQ26" s="637"/>
      <c r="PR26" s="637"/>
      <c r="PS26" s="637"/>
      <c r="PT26" s="637"/>
      <c r="PU26" s="637"/>
      <c r="PV26" s="637"/>
      <c r="PW26" s="637"/>
      <c r="PX26" s="637"/>
      <c r="PY26" s="637"/>
      <c r="PZ26" s="637"/>
      <c r="QA26" s="637"/>
      <c r="QB26" s="637"/>
      <c r="QC26" s="637"/>
      <c r="QD26" s="637"/>
      <c r="QE26" s="637"/>
      <c r="QF26" s="637"/>
      <c r="QG26" s="637"/>
      <c r="QH26" s="637"/>
      <c r="QI26" s="637"/>
      <c r="QJ26" s="637"/>
      <c r="QK26" s="637"/>
      <c r="QL26" s="637"/>
      <c r="QM26" s="637"/>
      <c r="QN26" s="637"/>
      <c r="QO26" s="637"/>
      <c r="QP26" s="637"/>
      <c r="QQ26" s="637"/>
      <c r="QR26" s="637"/>
      <c r="QS26" s="637"/>
      <c r="QT26" s="637"/>
      <c r="QU26" s="637"/>
      <c r="QV26" s="637"/>
      <c r="QW26" s="637"/>
      <c r="QX26" s="637"/>
      <c r="QY26" s="637"/>
      <c r="QZ26" s="637"/>
      <c r="RA26" s="637"/>
      <c r="RB26" s="637"/>
      <c r="RC26" s="637"/>
      <c r="RD26" s="637"/>
      <c r="RE26" s="637"/>
      <c r="RF26" s="637"/>
      <c r="RG26" s="637"/>
      <c r="RH26" s="637"/>
      <c r="RI26" s="637"/>
      <c r="RJ26" s="637"/>
      <c r="RK26" s="637"/>
      <c r="RL26" s="637"/>
      <c r="RM26" s="637"/>
      <c r="RN26" s="637"/>
      <c r="RO26" s="637"/>
      <c r="RP26" s="637"/>
      <c r="RQ26" s="637"/>
      <c r="RR26" s="637"/>
      <c r="RS26" s="637"/>
      <c r="RT26" s="637"/>
      <c r="RU26" s="637"/>
      <c r="RV26" s="637"/>
      <c r="RW26" s="637"/>
      <c r="RX26" s="637"/>
      <c r="RY26" s="637"/>
      <c r="RZ26" s="637"/>
      <c r="SA26" s="637"/>
      <c r="SB26" s="637"/>
      <c r="SC26" s="637"/>
      <c r="SD26" s="637"/>
      <c r="SE26" s="637"/>
      <c r="SF26" s="637"/>
      <c r="SG26" s="637"/>
      <c r="SH26" s="637"/>
      <c r="SI26" s="637"/>
      <c r="SJ26" s="637"/>
      <c r="SK26" s="637"/>
      <c r="SL26" s="637"/>
      <c r="SM26" s="637"/>
      <c r="SN26" s="637"/>
      <c r="SO26" s="637"/>
      <c r="SP26" s="637"/>
      <c r="SQ26" s="637"/>
      <c r="SR26" s="637"/>
      <c r="SS26" s="637"/>
      <c r="ST26" s="637"/>
      <c r="SU26" s="637"/>
      <c r="SV26" s="637"/>
      <c r="SW26" s="637"/>
      <c r="SX26" s="637"/>
      <c r="SY26" s="637"/>
      <c r="SZ26" s="637"/>
      <c r="TA26" s="637"/>
      <c r="TB26" s="637"/>
      <c r="TC26" s="637"/>
      <c r="TD26" s="637"/>
      <c r="TE26" s="637"/>
      <c r="TF26" s="637"/>
      <c r="TG26" s="637"/>
      <c r="TH26" s="637"/>
      <c r="TI26" s="637"/>
      <c r="TJ26" s="637"/>
      <c r="TK26" s="637"/>
      <c r="TL26" s="637"/>
      <c r="TM26" s="637"/>
      <c r="TN26" s="637"/>
      <c r="TO26" s="637"/>
      <c r="TP26" s="637"/>
      <c r="TQ26" s="637"/>
      <c r="TR26" s="637"/>
      <c r="TS26" s="637"/>
      <c r="TT26" s="637"/>
      <c r="TU26" s="637"/>
      <c r="TV26" s="637"/>
      <c r="TW26" s="637"/>
      <c r="TX26" s="637"/>
      <c r="TY26" s="637"/>
      <c r="TZ26" s="637"/>
      <c r="UA26" s="637"/>
      <c r="UB26" s="637"/>
      <c r="UC26" s="637"/>
      <c r="UD26" s="637"/>
      <c r="UE26" s="637"/>
      <c r="UF26" s="637"/>
      <c r="UG26" s="637"/>
      <c r="UH26" s="637"/>
      <c r="UI26" s="637"/>
      <c r="UJ26" s="637"/>
      <c r="UK26" s="637"/>
      <c r="UL26" s="637"/>
      <c r="UM26" s="637"/>
      <c r="UN26" s="637"/>
      <c r="UO26" s="637"/>
      <c r="UP26" s="637"/>
      <c r="UQ26" s="637"/>
      <c r="UR26" s="637"/>
      <c r="US26" s="637"/>
      <c r="UT26" s="637"/>
      <c r="UU26" s="637"/>
      <c r="UV26" s="637"/>
      <c r="UW26" s="637"/>
      <c r="UX26" s="637"/>
      <c r="UY26" s="637"/>
      <c r="UZ26" s="637"/>
      <c r="VA26" s="637"/>
      <c r="VB26" s="637"/>
      <c r="VC26" s="637"/>
      <c r="VD26" s="637"/>
      <c r="VE26" s="637"/>
      <c r="VF26" s="637"/>
      <c r="VG26" s="637"/>
      <c r="VH26" s="637"/>
      <c r="VI26" s="637"/>
      <c r="VJ26" s="637"/>
      <c r="VK26" s="637"/>
      <c r="VL26" s="637"/>
      <c r="VM26" s="637"/>
      <c r="VN26" s="637"/>
      <c r="VO26" s="637"/>
      <c r="VP26" s="637"/>
      <c r="VQ26" s="637"/>
      <c r="VR26" s="637"/>
      <c r="VS26" s="637"/>
      <c r="VT26" s="637"/>
      <c r="VU26" s="637"/>
      <c r="VV26" s="637"/>
      <c r="VW26" s="637"/>
      <c r="VX26" s="637"/>
      <c r="VY26" s="637"/>
      <c r="VZ26" s="637"/>
      <c r="WA26" s="637"/>
      <c r="WB26" s="637"/>
      <c r="WC26" s="637"/>
      <c r="WD26" s="637"/>
      <c r="WE26" s="637"/>
      <c r="WF26" s="637"/>
      <c r="WG26" s="637"/>
      <c r="WH26" s="637"/>
      <c r="WI26" s="637"/>
      <c r="WJ26" s="637"/>
      <c r="WK26" s="637"/>
      <c r="WL26" s="637"/>
      <c r="WM26" s="637"/>
      <c r="WN26" s="637"/>
      <c r="WO26" s="637"/>
      <c r="WP26" s="637"/>
      <c r="WQ26" s="637"/>
      <c r="WR26" s="637"/>
      <c r="WS26" s="637"/>
      <c r="WT26" s="637"/>
      <c r="WU26" s="637"/>
      <c r="WV26" s="637"/>
      <c r="WW26" s="637"/>
      <c r="WX26" s="637"/>
      <c r="WY26" s="637"/>
      <c r="WZ26" s="637"/>
      <c r="XA26" s="637"/>
      <c r="XB26" s="637"/>
      <c r="XC26" s="637"/>
      <c r="XD26" s="637"/>
      <c r="XE26" s="637"/>
      <c r="XF26" s="637"/>
      <c r="XG26" s="637"/>
      <c r="XH26" s="637"/>
      <c r="XI26" s="637"/>
      <c r="XJ26" s="637"/>
      <c r="XK26" s="637"/>
      <c r="XL26" s="637"/>
      <c r="XM26" s="637"/>
      <c r="XN26" s="637"/>
      <c r="XO26" s="637"/>
      <c r="XP26" s="637"/>
      <c r="XQ26" s="637"/>
      <c r="XR26" s="637"/>
      <c r="XS26" s="637"/>
      <c r="XT26" s="637"/>
      <c r="XU26" s="637"/>
      <c r="XV26" s="637"/>
      <c r="XW26" s="637"/>
      <c r="XX26" s="637"/>
      <c r="XY26" s="637"/>
      <c r="XZ26" s="637"/>
      <c r="YA26" s="637"/>
      <c r="YB26" s="637"/>
      <c r="YC26" s="637"/>
      <c r="YD26" s="637"/>
      <c r="YE26" s="637"/>
      <c r="YF26" s="637"/>
      <c r="YG26" s="637"/>
      <c r="YH26" s="637"/>
      <c r="YI26" s="637"/>
      <c r="YJ26" s="637"/>
      <c r="YK26" s="637"/>
      <c r="YL26" s="637"/>
      <c r="YM26" s="637"/>
      <c r="YN26" s="637"/>
      <c r="YO26" s="637"/>
      <c r="YP26" s="637"/>
      <c r="YQ26" s="637"/>
      <c r="YR26" s="637"/>
      <c r="YS26" s="637"/>
      <c r="YT26" s="637"/>
      <c r="YU26" s="637"/>
      <c r="YV26" s="637"/>
      <c r="YW26" s="637"/>
      <c r="YX26" s="637"/>
      <c r="YY26" s="637"/>
      <c r="YZ26" s="637"/>
      <c r="ZA26" s="637"/>
      <c r="ZB26" s="637"/>
      <c r="ZC26" s="637"/>
      <c r="ZD26" s="637"/>
      <c r="ZE26" s="637"/>
      <c r="ZF26" s="637"/>
      <c r="ZG26" s="637"/>
      <c r="ZH26" s="637"/>
      <c r="ZI26" s="637"/>
      <c r="ZJ26" s="637"/>
      <c r="ZK26" s="637"/>
      <c r="ZL26" s="637"/>
      <c r="ZM26" s="637"/>
      <c r="ZN26" s="637"/>
      <c r="ZO26" s="637"/>
      <c r="ZP26" s="637"/>
      <c r="ZQ26" s="637"/>
      <c r="ZR26" s="637"/>
      <c r="ZS26" s="637"/>
      <c r="ZT26" s="637"/>
      <c r="ZU26" s="637"/>
      <c r="ZV26" s="637"/>
      <c r="ZW26" s="637"/>
      <c r="ZX26" s="637"/>
      <c r="ZY26" s="637"/>
      <c r="ZZ26" s="637"/>
      <c r="AAA26" s="637"/>
      <c r="AAB26" s="637"/>
      <c r="AAC26" s="637"/>
      <c r="AAD26" s="637"/>
      <c r="AAE26" s="637"/>
      <c r="AAF26" s="637"/>
      <c r="AAG26" s="637"/>
      <c r="AAH26" s="637"/>
      <c r="AAI26" s="637"/>
      <c r="AAJ26" s="637"/>
      <c r="AAK26" s="637"/>
      <c r="AAL26" s="637"/>
      <c r="AAM26" s="637"/>
      <c r="AAN26" s="637"/>
      <c r="AAO26" s="637"/>
      <c r="AAP26" s="637"/>
      <c r="AAQ26" s="637"/>
      <c r="AAR26" s="637"/>
      <c r="AAS26" s="637"/>
      <c r="AAT26" s="637"/>
      <c r="AAU26" s="637"/>
      <c r="AAV26" s="637"/>
      <c r="AAW26" s="637"/>
      <c r="AAX26" s="637"/>
      <c r="AAY26" s="637"/>
      <c r="AAZ26" s="637"/>
      <c r="ABA26" s="637"/>
      <c r="ABB26" s="637"/>
      <c r="ABC26" s="637"/>
      <c r="ABD26" s="637"/>
      <c r="ABE26" s="637"/>
      <c r="ABF26" s="637"/>
      <c r="ABG26" s="637"/>
      <c r="ABH26" s="637"/>
      <c r="ABI26" s="637"/>
      <c r="ABJ26" s="637"/>
      <c r="ABK26" s="637"/>
      <c r="ABL26" s="637"/>
      <c r="ABM26" s="637"/>
      <c r="ABN26" s="637"/>
      <c r="ABO26" s="637"/>
      <c r="ABP26" s="637"/>
      <c r="ABQ26" s="637"/>
      <c r="ABR26" s="637"/>
      <c r="ABS26" s="637"/>
      <c r="ABT26" s="637"/>
      <c r="ABU26" s="637"/>
      <c r="ABV26" s="637"/>
      <c r="ABW26" s="637"/>
      <c r="ABX26" s="637"/>
      <c r="ABY26" s="637"/>
      <c r="ABZ26" s="637"/>
      <c r="ACA26" s="637"/>
      <c r="ACB26" s="637"/>
      <c r="ACC26" s="637"/>
      <c r="ACD26" s="637"/>
      <c r="ACE26" s="637"/>
      <c r="ACF26" s="637"/>
      <c r="ACG26" s="637"/>
      <c r="ACH26" s="637"/>
      <c r="ACI26" s="637"/>
      <c r="ACJ26" s="637"/>
      <c r="ACK26" s="637"/>
      <c r="ACL26" s="637"/>
      <c r="ACM26" s="637"/>
      <c r="ACN26" s="637"/>
      <c r="ACO26" s="637"/>
      <c r="ACP26" s="637"/>
      <c r="ACQ26" s="637"/>
      <c r="ACR26" s="637"/>
      <c r="ACS26" s="637"/>
      <c r="ACT26" s="637"/>
      <c r="ACU26" s="637"/>
      <c r="ACV26" s="637"/>
      <c r="ACW26" s="637"/>
      <c r="ACX26" s="637"/>
      <c r="ACY26" s="637"/>
      <c r="ACZ26" s="637"/>
      <c r="ADA26" s="637"/>
      <c r="ADB26" s="637"/>
      <c r="ADC26" s="637"/>
      <c r="ADD26" s="637"/>
      <c r="ADE26" s="637"/>
      <c r="ADF26" s="637"/>
      <c r="ADG26" s="637"/>
      <c r="ADH26" s="637"/>
      <c r="ADI26" s="637"/>
      <c r="ADJ26" s="637"/>
      <c r="ADK26" s="637"/>
      <c r="ADL26" s="637"/>
      <c r="ADM26" s="637"/>
      <c r="ADN26" s="637"/>
      <c r="ADO26" s="637"/>
      <c r="ADP26" s="637"/>
      <c r="ADQ26" s="637"/>
      <c r="ADR26" s="637"/>
      <c r="ADS26" s="637"/>
      <c r="ADT26" s="637"/>
      <c r="ADU26" s="637"/>
      <c r="ADV26" s="637"/>
      <c r="ADW26" s="637"/>
      <c r="ADX26" s="637"/>
      <c r="ADY26" s="637"/>
      <c r="ADZ26" s="637"/>
      <c r="AEA26" s="637"/>
      <c r="AEB26" s="637"/>
      <c r="AEC26" s="637"/>
      <c r="AED26" s="637"/>
      <c r="AEE26" s="637"/>
      <c r="AEF26" s="637"/>
      <c r="AEG26" s="637"/>
      <c r="AEH26" s="637"/>
      <c r="AEI26" s="637"/>
      <c r="AEJ26" s="637"/>
      <c r="AEK26" s="637"/>
      <c r="AEL26" s="637"/>
      <c r="AEM26" s="637"/>
      <c r="AEN26" s="637"/>
      <c r="AEO26" s="637"/>
      <c r="AEP26" s="637"/>
      <c r="AEQ26" s="637"/>
      <c r="AER26" s="637"/>
      <c r="AES26" s="637"/>
      <c r="AET26" s="637"/>
      <c r="AEU26" s="637"/>
      <c r="AEV26" s="637"/>
      <c r="AEW26" s="637"/>
      <c r="AEX26" s="637"/>
      <c r="AEY26" s="637"/>
      <c r="AEZ26" s="637"/>
      <c r="AFA26" s="637"/>
      <c r="AFB26" s="637"/>
      <c r="AFC26" s="637"/>
      <c r="AFD26" s="637"/>
      <c r="AFE26" s="637"/>
      <c r="AFF26" s="637"/>
      <c r="AFG26" s="637"/>
      <c r="AFH26" s="637"/>
      <c r="AFI26" s="637"/>
      <c r="AFJ26" s="637"/>
      <c r="AFK26" s="637"/>
      <c r="AFL26" s="637"/>
      <c r="AFM26" s="637"/>
      <c r="AFN26" s="637"/>
      <c r="AFO26" s="637"/>
      <c r="AFP26" s="637"/>
      <c r="AFQ26" s="637"/>
      <c r="AFR26" s="637"/>
      <c r="AFS26" s="637"/>
      <c r="AFT26" s="637"/>
      <c r="AFU26" s="637"/>
      <c r="AFV26" s="637"/>
      <c r="AFW26" s="637"/>
      <c r="AFX26" s="637"/>
      <c r="AFY26" s="637"/>
      <c r="AFZ26" s="637"/>
      <c r="AGA26" s="637"/>
      <c r="AGB26" s="637"/>
      <c r="AGC26" s="637"/>
      <c r="AGD26" s="637"/>
      <c r="AGE26" s="637"/>
      <c r="AGF26" s="637"/>
      <c r="AGG26" s="637"/>
      <c r="AGH26" s="637"/>
      <c r="AGI26" s="637"/>
      <c r="AGJ26" s="637"/>
      <c r="AGK26" s="637"/>
      <c r="AGL26" s="637"/>
      <c r="AGM26" s="637"/>
      <c r="AGN26" s="637"/>
      <c r="AGO26" s="637"/>
      <c r="AGP26" s="637"/>
      <c r="AGQ26" s="637"/>
      <c r="AGR26" s="637"/>
      <c r="AGS26" s="637"/>
      <c r="AGT26" s="637"/>
      <c r="AGU26" s="637"/>
      <c r="AGV26" s="637"/>
      <c r="AGW26" s="637"/>
      <c r="AGX26" s="637"/>
      <c r="AGY26" s="637"/>
      <c r="AGZ26" s="637"/>
      <c r="AHA26" s="637"/>
      <c r="AHB26" s="637"/>
      <c r="AHC26" s="637"/>
      <c r="AHD26" s="637"/>
      <c r="AHE26" s="637"/>
      <c r="AHF26" s="637"/>
      <c r="AHG26" s="637"/>
      <c r="AHH26" s="637"/>
      <c r="AHI26" s="637"/>
      <c r="AHJ26" s="637"/>
      <c r="AHK26" s="637"/>
      <c r="AHL26" s="637"/>
      <c r="AHM26" s="637"/>
      <c r="AHN26" s="637"/>
      <c r="AHO26" s="637"/>
      <c r="AHP26" s="637"/>
      <c r="AHQ26" s="637"/>
      <c r="AHR26" s="637"/>
      <c r="AHS26" s="637"/>
      <c r="AHT26" s="637"/>
      <c r="AHU26" s="637"/>
      <c r="AHV26" s="637"/>
      <c r="AHW26" s="637"/>
      <c r="AHX26" s="637"/>
      <c r="AHY26" s="637"/>
      <c r="AHZ26" s="637"/>
      <c r="AIA26" s="637"/>
      <c r="AIB26" s="637"/>
      <c r="AIC26" s="637"/>
      <c r="AID26" s="637"/>
      <c r="AIE26" s="637"/>
      <c r="AIF26" s="637"/>
      <c r="AIG26" s="637"/>
      <c r="AIH26" s="637"/>
      <c r="AII26" s="637"/>
      <c r="AIJ26" s="637"/>
      <c r="AIK26" s="637"/>
      <c r="AIL26" s="637"/>
      <c r="AIM26" s="637"/>
      <c r="AIN26" s="637"/>
      <c r="AIO26" s="637"/>
      <c r="AIP26" s="637"/>
      <c r="AIQ26" s="637"/>
      <c r="AIR26" s="637"/>
      <c r="AIS26" s="637"/>
      <c r="AIT26" s="637"/>
      <c r="AIU26" s="637"/>
      <c r="AIV26" s="637"/>
      <c r="AIW26" s="637"/>
      <c r="AIX26" s="637"/>
      <c r="AIY26" s="637"/>
      <c r="AIZ26" s="637"/>
      <c r="AJA26" s="637"/>
      <c r="AJB26" s="637"/>
      <c r="AJC26" s="637"/>
      <c r="AJD26" s="637"/>
      <c r="AJE26" s="637"/>
      <c r="AJF26" s="637"/>
      <c r="AJG26" s="637"/>
      <c r="AJH26" s="637"/>
      <c r="AJI26" s="637"/>
      <c r="AJJ26" s="637"/>
      <c r="AJK26" s="637"/>
      <c r="AJL26" s="637"/>
      <c r="AJM26" s="637"/>
      <c r="AJN26" s="637"/>
      <c r="AJO26" s="637"/>
      <c r="AJP26" s="637"/>
      <c r="AJQ26" s="637"/>
      <c r="AJR26" s="637"/>
      <c r="AJS26" s="637"/>
      <c r="AJT26" s="637"/>
      <c r="AJU26" s="637"/>
      <c r="AJV26" s="637"/>
      <c r="AJW26" s="637"/>
      <c r="AJX26" s="637"/>
      <c r="AJY26" s="637"/>
      <c r="AJZ26" s="637"/>
      <c r="AKA26" s="637"/>
      <c r="AKB26" s="637"/>
      <c r="AKC26" s="637"/>
      <c r="AKD26" s="637"/>
      <c r="AKE26" s="637"/>
      <c r="AKF26" s="637"/>
      <c r="AKG26" s="637"/>
      <c r="AKH26" s="637"/>
      <c r="AKI26" s="637"/>
      <c r="AKJ26" s="637"/>
      <c r="AKK26" s="637"/>
      <c r="AKL26" s="637"/>
      <c r="AKM26" s="637"/>
      <c r="AKN26" s="637"/>
      <c r="AKO26" s="637"/>
      <c r="AKP26" s="637"/>
      <c r="AKQ26" s="637"/>
      <c r="AKR26" s="637"/>
      <c r="AKS26" s="637"/>
      <c r="AKT26" s="637"/>
      <c r="AKU26" s="637"/>
      <c r="AKV26" s="637"/>
      <c r="AKW26" s="637"/>
      <c r="AKX26" s="637"/>
      <c r="AKY26" s="637"/>
      <c r="AKZ26" s="637"/>
      <c r="ALA26" s="637"/>
      <c r="ALB26" s="637"/>
      <c r="ALC26" s="637"/>
      <c r="ALD26" s="637"/>
      <c r="ALE26" s="637"/>
      <c r="ALF26" s="637"/>
      <c r="ALG26" s="637"/>
      <c r="ALH26" s="637"/>
      <c r="ALI26" s="637"/>
      <c r="ALJ26" s="637"/>
      <c r="ALK26" s="637"/>
      <c r="ALL26" s="637"/>
      <c r="ALM26" s="637"/>
      <c r="ALN26" s="637"/>
      <c r="ALO26" s="637"/>
      <c r="ALP26" s="637"/>
      <c r="ALQ26" s="637"/>
      <c r="ALR26" s="637"/>
      <c r="ALS26" s="637"/>
      <c r="ALT26" s="637"/>
      <c r="ALU26" s="637"/>
      <c r="ALV26" s="637"/>
      <c r="ALW26" s="637"/>
      <c r="ALX26" s="637"/>
      <c r="ALY26" s="637"/>
      <c r="ALZ26" s="637"/>
      <c r="AMA26" s="637"/>
      <c r="AMB26" s="637"/>
      <c r="AMC26" s="637"/>
      <c r="AMD26" s="637"/>
      <c r="AME26" s="637"/>
      <c r="AMF26" s="637"/>
      <c r="AMG26" s="637"/>
      <c r="AMH26" s="637"/>
      <c r="AMI26" s="637"/>
      <c r="AMJ26" s="637"/>
    </row>
    <row r="27" spans="1:1024" s="638" customFormat="1" ht="12.75" hidden="1">
      <c r="A27" s="984"/>
      <c r="B27" s="985"/>
      <c r="C27" s="986"/>
      <c r="D27" s="988"/>
      <c r="E27" s="989">
        <v>542922</v>
      </c>
      <c r="F27" s="989">
        <v>15000</v>
      </c>
      <c r="G27" s="990"/>
      <c r="H27" s="990"/>
      <c r="I27" s="990"/>
      <c r="J27" s="990">
        <v>15000</v>
      </c>
      <c r="K27" s="990"/>
      <c r="L27" s="990"/>
      <c r="M27" s="990"/>
      <c r="N27" s="990"/>
      <c r="O27" s="990"/>
      <c r="P27" s="990"/>
      <c r="Q27" s="990"/>
      <c r="R27" s="993"/>
      <c r="S27" s="637"/>
      <c r="T27" s="637"/>
      <c r="U27" s="637"/>
      <c r="V27" s="637"/>
      <c r="W27" s="637"/>
      <c r="X27" s="637"/>
      <c r="Y27" s="637"/>
      <c r="Z27" s="637"/>
      <c r="AA27" s="637"/>
      <c r="AB27" s="637"/>
      <c r="AC27" s="637"/>
      <c r="AD27" s="637"/>
      <c r="AE27" s="637"/>
      <c r="AF27" s="637"/>
      <c r="AG27" s="637"/>
      <c r="AH27" s="637"/>
      <c r="AI27" s="637"/>
      <c r="AJ27" s="637"/>
      <c r="AK27" s="637"/>
      <c r="AL27" s="637"/>
      <c r="AM27" s="637"/>
      <c r="AN27" s="637"/>
      <c r="AO27" s="637"/>
      <c r="AP27" s="637"/>
      <c r="AQ27" s="637"/>
      <c r="AR27" s="637"/>
      <c r="AS27" s="637"/>
      <c r="AT27" s="637"/>
      <c r="AU27" s="637"/>
      <c r="AV27" s="637"/>
      <c r="AW27" s="637"/>
      <c r="AX27" s="637"/>
      <c r="AY27" s="637"/>
      <c r="AZ27" s="637"/>
      <c r="BA27" s="637"/>
      <c r="BB27" s="637"/>
      <c r="BC27" s="637"/>
      <c r="BD27" s="637"/>
      <c r="BE27" s="637"/>
      <c r="BF27" s="637"/>
      <c r="BG27" s="637"/>
      <c r="BH27" s="637"/>
      <c r="BI27" s="637"/>
      <c r="BJ27" s="637"/>
      <c r="BK27" s="637"/>
      <c r="BL27" s="637"/>
      <c r="BM27" s="637"/>
      <c r="BN27" s="637"/>
      <c r="BO27" s="637"/>
      <c r="BP27" s="637"/>
      <c r="BQ27" s="637"/>
      <c r="BR27" s="637"/>
      <c r="BS27" s="637"/>
      <c r="BT27" s="637"/>
      <c r="BU27" s="637"/>
      <c r="BV27" s="637"/>
      <c r="BW27" s="637"/>
      <c r="BX27" s="637"/>
      <c r="BY27" s="637"/>
      <c r="BZ27" s="637"/>
      <c r="CA27" s="637"/>
      <c r="CB27" s="637"/>
      <c r="CC27" s="637"/>
      <c r="CD27" s="637"/>
      <c r="CE27" s="637"/>
      <c r="CF27" s="637"/>
      <c r="CG27" s="637"/>
      <c r="CH27" s="637"/>
      <c r="CI27" s="637"/>
      <c r="CJ27" s="637"/>
      <c r="CK27" s="637"/>
      <c r="CL27" s="637"/>
      <c r="CM27" s="637"/>
      <c r="CN27" s="637"/>
      <c r="CO27" s="637"/>
      <c r="CP27" s="637"/>
      <c r="CQ27" s="637"/>
      <c r="CR27" s="637"/>
      <c r="CS27" s="637"/>
      <c r="CT27" s="637"/>
      <c r="CU27" s="637"/>
      <c r="CV27" s="637"/>
      <c r="CW27" s="637"/>
      <c r="CX27" s="637"/>
      <c r="CY27" s="637"/>
      <c r="CZ27" s="637"/>
      <c r="DA27" s="637"/>
      <c r="DB27" s="637"/>
      <c r="DC27" s="637"/>
      <c r="DD27" s="637"/>
      <c r="DE27" s="637"/>
      <c r="DF27" s="637"/>
      <c r="DG27" s="637"/>
      <c r="DH27" s="637"/>
      <c r="DI27" s="637"/>
      <c r="DJ27" s="637"/>
      <c r="DK27" s="637"/>
      <c r="DL27" s="637"/>
      <c r="DM27" s="637"/>
      <c r="DN27" s="637"/>
      <c r="DO27" s="637"/>
      <c r="DP27" s="637"/>
      <c r="DQ27" s="637"/>
      <c r="DR27" s="637"/>
      <c r="DS27" s="637"/>
      <c r="DT27" s="637"/>
      <c r="DU27" s="637"/>
      <c r="DV27" s="637"/>
      <c r="DW27" s="637"/>
      <c r="DX27" s="637"/>
      <c r="DY27" s="637"/>
      <c r="DZ27" s="637"/>
      <c r="EA27" s="637"/>
      <c r="EB27" s="637"/>
      <c r="EC27" s="637"/>
      <c r="ED27" s="637"/>
      <c r="EE27" s="637"/>
      <c r="EF27" s="637"/>
      <c r="EG27" s="637"/>
      <c r="EH27" s="637"/>
      <c r="EI27" s="637"/>
      <c r="EJ27" s="637"/>
      <c r="EK27" s="637"/>
      <c r="EL27" s="637"/>
      <c r="EM27" s="637"/>
      <c r="EN27" s="637"/>
      <c r="EO27" s="637"/>
      <c r="EP27" s="637"/>
      <c r="EQ27" s="637"/>
      <c r="ER27" s="637"/>
      <c r="ES27" s="637"/>
      <c r="ET27" s="637"/>
      <c r="EU27" s="637"/>
      <c r="EV27" s="637"/>
      <c r="EW27" s="637"/>
      <c r="EX27" s="637"/>
      <c r="EY27" s="637"/>
      <c r="EZ27" s="637"/>
      <c r="FA27" s="637"/>
      <c r="FB27" s="637"/>
      <c r="FC27" s="637"/>
      <c r="FD27" s="637"/>
      <c r="FE27" s="637"/>
      <c r="FF27" s="637"/>
      <c r="FG27" s="637"/>
      <c r="FH27" s="637"/>
      <c r="FI27" s="637"/>
      <c r="FJ27" s="637"/>
      <c r="FK27" s="637"/>
      <c r="FL27" s="637"/>
      <c r="FM27" s="637"/>
      <c r="FN27" s="637"/>
      <c r="FO27" s="637"/>
      <c r="FP27" s="637"/>
      <c r="FQ27" s="637"/>
      <c r="FR27" s="637"/>
      <c r="FS27" s="637"/>
      <c r="FT27" s="637"/>
      <c r="FU27" s="637"/>
      <c r="FV27" s="637"/>
      <c r="FW27" s="637"/>
      <c r="FX27" s="637"/>
      <c r="FY27" s="637"/>
      <c r="FZ27" s="637"/>
      <c r="GA27" s="637"/>
      <c r="GB27" s="637"/>
      <c r="GC27" s="637"/>
      <c r="GD27" s="637"/>
      <c r="GE27" s="637"/>
      <c r="GF27" s="637"/>
      <c r="GG27" s="637"/>
      <c r="GH27" s="637"/>
      <c r="GI27" s="637"/>
      <c r="GJ27" s="637"/>
      <c r="GK27" s="637"/>
      <c r="GL27" s="637"/>
      <c r="GM27" s="637"/>
      <c r="GN27" s="637"/>
      <c r="GO27" s="637"/>
      <c r="GP27" s="637"/>
      <c r="GQ27" s="637"/>
      <c r="GR27" s="637"/>
      <c r="GS27" s="637"/>
      <c r="GT27" s="637"/>
      <c r="GU27" s="637"/>
      <c r="GV27" s="637"/>
      <c r="GW27" s="637"/>
      <c r="GX27" s="637"/>
      <c r="GY27" s="637"/>
      <c r="GZ27" s="637"/>
      <c r="HA27" s="637"/>
      <c r="HB27" s="637"/>
      <c r="HC27" s="637"/>
      <c r="HD27" s="637"/>
      <c r="HE27" s="637"/>
      <c r="HF27" s="637"/>
      <c r="HG27" s="637"/>
      <c r="HH27" s="637"/>
      <c r="HI27" s="637"/>
      <c r="HJ27" s="637"/>
      <c r="HK27" s="637"/>
      <c r="HL27" s="637"/>
      <c r="HM27" s="637"/>
      <c r="HN27" s="637"/>
      <c r="HO27" s="637"/>
      <c r="HP27" s="637"/>
      <c r="HQ27" s="637"/>
      <c r="HR27" s="637"/>
      <c r="HS27" s="637"/>
      <c r="HT27" s="637"/>
      <c r="HU27" s="637"/>
      <c r="HV27" s="637"/>
      <c r="HW27" s="637"/>
      <c r="HX27" s="637"/>
      <c r="HY27" s="637"/>
      <c r="HZ27" s="637"/>
      <c r="IA27" s="637"/>
      <c r="IB27" s="637"/>
      <c r="IC27" s="637"/>
      <c r="ID27" s="637"/>
      <c r="IE27" s="637"/>
      <c r="IF27" s="637"/>
      <c r="IG27" s="637"/>
      <c r="IH27" s="637"/>
      <c r="II27" s="637"/>
      <c r="IJ27" s="637"/>
      <c r="IK27" s="637"/>
      <c r="IL27" s="637"/>
      <c r="IM27" s="637"/>
      <c r="IN27" s="637"/>
      <c r="IO27" s="637"/>
      <c r="IP27" s="637"/>
      <c r="IQ27" s="637"/>
      <c r="IR27" s="637"/>
      <c r="IS27" s="637"/>
      <c r="IT27" s="637"/>
      <c r="IU27" s="637"/>
      <c r="IV27" s="637"/>
      <c r="IW27" s="637"/>
      <c r="IX27" s="637"/>
      <c r="IY27" s="637"/>
      <c r="IZ27" s="637"/>
      <c r="JA27" s="637"/>
      <c r="JB27" s="637"/>
      <c r="JC27" s="637"/>
      <c r="JD27" s="637"/>
      <c r="JE27" s="637"/>
      <c r="JF27" s="637"/>
      <c r="JG27" s="637"/>
      <c r="JH27" s="637"/>
      <c r="JI27" s="637"/>
      <c r="JJ27" s="637"/>
      <c r="JK27" s="637"/>
      <c r="JL27" s="637"/>
      <c r="JM27" s="637"/>
      <c r="JN27" s="637"/>
      <c r="JO27" s="637"/>
      <c r="JP27" s="637"/>
      <c r="JQ27" s="637"/>
      <c r="JR27" s="637"/>
      <c r="JS27" s="637"/>
      <c r="JT27" s="637"/>
      <c r="JU27" s="637"/>
      <c r="JV27" s="637"/>
      <c r="JW27" s="637"/>
      <c r="JX27" s="637"/>
      <c r="JY27" s="637"/>
      <c r="JZ27" s="637"/>
      <c r="KA27" s="637"/>
      <c r="KB27" s="637"/>
      <c r="KC27" s="637"/>
      <c r="KD27" s="637"/>
      <c r="KE27" s="637"/>
      <c r="KF27" s="637"/>
      <c r="KG27" s="637"/>
      <c r="KH27" s="637"/>
      <c r="KI27" s="637"/>
      <c r="KJ27" s="637"/>
      <c r="KK27" s="637"/>
      <c r="KL27" s="637"/>
      <c r="KM27" s="637"/>
      <c r="KN27" s="637"/>
      <c r="KO27" s="637"/>
      <c r="KP27" s="637"/>
      <c r="KQ27" s="637"/>
      <c r="KR27" s="637"/>
      <c r="KS27" s="637"/>
      <c r="KT27" s="637"/>
      <c r="KU27" s="637"/>
      <c r="KV27" s="637"/>
      <c r="KW27" s="637"/>
      <c r="KX27" s="637"/>
      <c r="KY27" s="637"/>
      <c r="KZ27" s="637"/>
      <c r="LA27" s="637"/>
      <c r="LB27" s="637"/>
      <c r="LC27" s="637"/>
      <c r="LD27" s="637"/>
      <c r="LE27" s="637"/>
      <c r="LF27" s="637"/>
      <c r="LG27" s="637"/>
      <c r="LH27" s="637"/>
      <c r="LI27" s="637"/>
      <c r="LJ27" s="637"/>
      <c r="LK27" s="637"/>
      <c r="LL27" s="637"/>
      <c r="LM27" s="637"/>
      <c r="LN27" s="637"/>
      <c r="LO27" s="637"/>
      <c r="LP27" s="637"/>
      <c r="LQ27" s="637"/>
      <c r="LR27" s="637"/>
      <c r="LS27" s="637"/>
      <c r="LT27" s="637"/>
      <c r="LU27" s="637"/>
      <c r="LV27" s="637"/>
      <c r="LW27" s="637"/>
      <c r="LX27" s="637"/>
      <c r="LY27" s="637"/>
      <c r="LZ27" s="637"/>
      <c r="MA27" s="637"/>
      <c r="MB27" s="637"/>
      <c r="MC27" s="637"/>
      <c r="MD27" s="637"/>
      <c r="ME27" s="637"/>
      <c r="MF27" s="637"/>
      <c r="MG27" s="637"/>
      <c r="MH27" s="637"/>
      <c r="MI27" s="637"/>
      <c r="MJ27" s="637"/>
      <c r="MK27" s="637"/>
      <c r="ML27" s="637"/>
      <c r="MM27" s="637"/>
      <c r="MN27" s="637"/>
      <c r="MO27" s="637"/>
      <c r="MP27" s="637"/>
      <c r="MQ27" s="637"/>
      <c r="MR27" s="637"/>
      <c r="MS27" s="637"/>
      <c r="MT27" s="637"/>
      <c r="MU27" s="637"/>
      <c r="MV27" s="637"/>
      <c r="MW27" s="637"/>
      <c r="MX27" s="637"/>
      <c r="MY27" s="637"/>
      <c r="MZ27" s="637"/>
      <c r="NA27" s="637"/>
      <c r="NB27" s="637"/>
      <c r="NC27" s="637"/>
      <c r="ND27" s="637"/>
      <c r="NE27" s="637"/>
      <c r="NF27" s="637"/>
      <c r="NG27" s="637"/>
      <c r="NH27" s="637"/>
      <c r="NI27" s="637"/>
      <c r="NJ27" s="637"/>
      <c r="NK27" s="637"/>
      <c r="NL27" s="637"/>
      <c r="NM27" s="637"/>
      <c r="NN27" s="637"/>
      <c r="NO27" s="637"/>
      <c r="NP27" s="637"/>
      <c r="NQ27" s="637"/>
      <c r="NR27" s="637"/>
      <c r="NS27" s="637"/>
      <c r="NT27" s="637"/>
      <c r="NU27" s="637"/>
      <c r="NV27" s="637"/>
      <c r="NW27" s="637"/>
      <c r="NX27" s="637"/>
      <c r="NY27" s="637"/>
      <c r="NZ27" s="637"/>
      <c r="OA27" s="637"/>
      <c r="OB27" s="637"/>
      <c r="OC27" s="637"/>
      <c r="OD27" s="637"/>
      <c r="OE27" s="637"/>
      <c r="OF27" s="637"/>
      <c r="OG27" s="637"/>
      <c r="OH27" s="637"/>
      <c r="OI27" s="637"/>
      <c r="OJ27" s="637"/>
      <c r="OK27" s="637"/>
      <c r="OL27" s="637"/>
      <c r="OM27" s="637"/>
      <c r="ON27" s="637"/>
      <c r="OO27" s="637"/>
      <c r="OP27" s="637"/>
      <c r="OQ27" s="637"/>
      <c r="OR27" s="637"/>
      <c r="OS27" s="637"/>
      <c r="OT27" s="637"/>
      <c r="OU27" s="637"/>
      <c r="OV27" s="637"/>
      <c r="OW27" s="637"/>
      <c r="OX27" s="637"/>
      <c r="OY27" s="637"/>
      <c r="OZ27" s="637"/>
      <c r="PA27" s="637"/>
      <c r="PB27" s="637"/>
      <c r="PC27" s="637"/>
      <c r="PD27" s="637"/>
      <c r="PE27" s="637"/>
      <c r="PF27" s="637"/>
      <c r="PG27" s="637"/>
      <c r="PH27" s="637"/>
      <c r="PI27" s="637"/>
      <c r="PJ27" s="637"/>
      <c r="PK27" s="637"/>
      <c r="PL27" s="637"/>
      <c r="PM27" s="637"/>
      <c r="PN27" s="637"/>
      <c r="PO27" s="637"/>
      <c r="PP27" s="637"/>
      <c r="PQ27" s="637"/>
      <c r="PR27" s="637"/>
      <c r="PS27" s="637"/>
      <c r="PT27" s="637"/>
      <c r="PU27" s="637"/>
      <c r="PV27" s="637"/>
      <c r="PW27" s="637"/>
      <c r="PX27" s="637"/>
      <c r="PY27" s="637"/>
      <c r="PZ27" s="637"/>
      <c r="QA27" s="637"/>
      <c r="QB27" s="637"/>
      <c r="QC27" s="637"/>
      <c r="QD27" s="637"/>
      <c r="QE27" s="637"/>
      <c r="QF27" s="637"/>
      <c r="QG27" s="637"/>
      <c r="QH27" s="637"/>
      <c r="QI27" s="637"/>
      <c r="QJ27" s="637"/>
      <c r="QK27" s="637"/>
      <c r="QL27" s="637"/>
      <c r="QM27" s="637"/>
      <c r="QN27" s="637"/>
      <c r="QO27" s="637"/>
      <c r="QP27" s="637"/>
      <c r="QQ27" s="637"/>
      <c r="QR27" s="637"/>
      <c r="QS27" s="637"/>
      <c r="QT27" s="637"/>
      <c r="QU27" s="637"/>
      <c r="QV27" s="637"/>
      <c r="QW27" s="637"/>
      <c r="QX27" s="637"/>
      <c r="QY27" s="637"/>
      <c r="QZ27" s="637"/>
      <c r="RA27" s="637"/>
      <c r="RB27" s="637"/>
      <c r="RC27" s="637"/>
      <c r="RD27" s="637"/>
      <c r="RE27" s="637"/>
      <c r="RF27" s="637"/>
      <c r="RG27" s="637"/>
      <c r="RH27" s="637"/>
      <c r="RI27" s="637"/>
      <c r="RJ27" s="637"/>
      <c r="RK27" s="637"/>
      <c r="RL27" s="637"/>
      <c r="RM27" s="637"/>
      <c r="RN27" s="637"/>
      <c r="RO27" s="637"/>
      <c r="RP27" s="637"/>
      <c r="RQ27" s="637"/>
      <c r="RR27" s="637"/>
      <c r="RS27" s="637"/>
      <c r="RT27" s="637"/>
      <c r="RU27" s="637"/>
      <c r="RV27" s="637"/>
      <c r="RW27" s="637"/>
      <c r="RX27" s="637"/>
      <c r="RY27" s="637"/>
      <c r="RZ27" s="637"/>
      <c r="SA27" s="637"/>
      <c r="SB27" s="637"/>
      <c r="SC27" s="637"/>
      <c r="SD27" s="637"/>
      <c r="SE27" s="637"/>
      <c r="SF27" s="637"/>
      <c r="SG27" s="637"/>
      <c r="SH27" s="637"/>
      <c r="SI27" s="637"/>
      <c r="SJ27" s="637"/>
      <c r="SK27" s="637"/>
      <c r="SL27" s="637"/>
      <c r="SM27" s="637"/>
      <c r="SN27" s="637"/>
      <c r="SO27" s="637"/>
      <c r="SP27" s="637"/>
      <c r="SQ27" s="637"/>
      <c r="SR27" s="637"/>
      <c r="SS27" s="637"/>
      <c r="ST27" s="637"/>
      <c r="SU27" s="637"/>
      <c r="SV27" s="637"/>
      <c r="SW27" s="637"/>
      <c r="SX27" s="637"/>
      <c r="SY27" s="637"/>
      <c r="SZ27" s="637"/>
      <c r="TA27" s="637"/>
      <c r="TB27" s="637"/>
      <c r="TC27" s="637"/>
      <c r="TD27" s="637"/>
      <c r="TE27" s="637"/>
      <c r="TF27" s="637"/>
      <c r="TG27" s="637"/>
      <c r="TH27" s="637"/>
      <c r="TI27" s="637"/>
      <c r="TJ27" s="637"/>
      <c r="TK27" s="637"/>
      <c r="TL27" s="637"/>
      <c r="TM27" s="637"/>
      <c r="TN27" s="637"/>
      <c r="TO27" s="637"/>
      <c r="TP27" s="637"/>
      <c r="TQ27" s="637"/>
      <c r="TR27" s="637"/>
      <c r="TS27" s="637"/>
      <c r="TT27" s="637"/>
      <c r="TU27" s="637"/>
      <c r="TV27" s="637"/>
      <c r="TW27" s="637"/>
      <c r="TX27" s="637"/>
      <c r="TY27" s="637"/>
      <c r="TZ27" s="637"/>
      <c r="UA27" s="637"/>
      <c r="UB27" s="637"/>
      <c r="UC27" s="637"/>
      <c r="UD27" s="637"/>
      <c r="UE27" s="637"/>
      <c r="UF27" s="637"/>
      <c r="UG27" s="637"/>
      <c r="UH27" s="637"/>
      <c r="UI27" s="637"/>
      <c r="UJ27" s="637"/>
      <c r="UK27" s="637"/>
      <c r="UL27" s="637"/>
      <c r="UM27" s="637"/>
      <c r="UN27" s="637"/>
      <c r="UO27" s="637"/>
      <c r="UP27" s="637"/>
      <c r="UQ27" s="637"/>
      <c r="UR27" s="637"/>
      <c r="US27" s="637"/>
      <c r="UT27" s="637"/>
      <c r="UU27" s="637"/>
      <c r="UV27" s="637"/>
      <c r="UW27" s="637"/>
      <c r="UX27" s="637"/>
      <c r="UY27" s="637"/>
      <c r="UZ27" s="637"/>
      <c r="VA27" s="637"/>
      <c r="VB27" s="637"/>
      <c r="VC27" s="637"/>
      <c r="VD27" s="637"/>
      <c r="VE27" s="637"/>
      <c r="VF27" s="637"/>
      <c r="VG27" s="637"/>
      <c r="VH27" s="637"/>
      <c r="VI27" s="637"/>
      <c r="VJ27" s="637"/>
      <c r="VK27" s="637"/>
      <c r="VL27" s="637"/>
      <c r="VM27" s="637"/>
      <c r="VN27" s="637"/>
      <c r="VO27" s="637"/>
      <c r="VP27" s="637"/>
      <c r="VQ27" s="637"/>
      <c r="VR27" s="637"/>
      <c r="VS27" s="637"/>
      <c r="VT27" s="637"/>
      <c r="VU27" s="637"/>
      <c r="VV27" s="637"/>
      <c r="VW27" s="637"/>
      <c r="VX27" s="637"/>
      <c r="VY27" s="637"/>
      <c r="VZ27" s="637"/>
      <c r="WA27" s="637"/>
      <c r="WB27" s="637"/>
      <c r="WC27" s="637"/>
      <c r="WD27" s="637"/>
      <c r="WE27" s="637"/>
      <c r="WF27" s="637"/>
      <c r="WG27" s="637"/>
      <c r="WH27" s="637"/>
      <c r="WI27" s="637"/>
      <c r="WJ27" s="637"/>
      <c r="WK27" s="637"/>
      <c r="WL27" s="637"/>
      <c r="WM27" s="637"/>
      <c r="WN27" s="637"/>
      <c r="WO27" s="637"/>
      <c r="WP27" s="637"/>
      <c r="WQ27" s="637"/>
      <c r="WR27" s="637"/>
      <c r="WS27" s="637"/>
      <c r="WT27" s="637"/>
      <c r="WU27" s="637"/>
      <c r="WV27" s="637"/>
      <c r="WW27" s="637"/>
      <c r="WX27" s="637"/>
      <c r="WY27" s="637"/>
      <c r="WZ27" s="637"/>
      <c r="XA27" s="637"/>
      <c r="XB27" s="637"/>
      <c r="XC27" s="637"/>
      <c r="XD27" s="637"/>
      <c r="XE27" s="637"/>
      <c r="XF27" s="637"/>
      <c r="XG27" s="637"/>
      <c r="XH27" s="637"/>
      <c r="XI27" s="637"/>
      <c r="XJ27" s="637"/>
      <c r="XK27" s="637"/>
      <c r="XL27" s="637"/>
      <c r="XM27" s="637"/>
      <c r="XN27" s="637"/>
      <c r="XO27" s="637"/>
      <c r="XP27" s="637"/>
      <c r="XQ27" s="637"/>
      <c r="XR27" s="637"/>
      <c r="XS27" s="637"/>
      <c r="XT27" s="637"/>
      <c r="XU27" s="637"/>
      <c r="XV27" s="637"/>
      <c r="XW27" s="637"/>
      <c r="XX27" s="637"/>
      <c r="XY27" s="637"/>
      <c r="XZ27" s="637"/>
      <c r="YA27" s="637"/>
      <c r="YB27" s="637"/>
      <c r="YC27" s="637"/>
      <c r="YD27" s="637"/>
      <c r="YE27" s="637"/>
      <c r="YF27" s="637"/>
      <c r="YG27" s="637"/>
      <c r="YH27" s="637"/>
      <c r="YI27" s="637"/>
      <c r="YJ27" s="637"/>
      <c r="YK27" s="637"/>
      <c r="YL27" s="637"/>
      <c r="YM27" s="637"/>
      <c r="YN27" s="637"/>
      <c r="YO27" s="637"/>
      <c r="YP27" s="637"/>
      <c r="YQ27" s="637"/>
      <c r="YR27" s="637"/>
      <c r="YS27" s="637"/>
      <c r="YT27" s="637"/>
      <c r="YU27" s="637"/>
      <c r="YV27" s="637"/>
      <c r="YW27" s="637"/>
      <c r="YX27" s="637"/>
      <c r="YY27" s="637"/>
      <c r="YZ27" s="637"/>
      <c r="ZA27" s="637"/>
      <c r="ZB27" s="637"/>
      <c r="ZC27" s="637"/>
      <c r="ZD27" s="637"/>
      <c r="ZE27" s="637"/>
      <c r="ZF27" s="637"/>
      <c r="ZG27" s="637"/>
      <c r="ZH27" s="637"/>
      <c r="ZI27" s="637"/>
      <c r="ZJ27" s="637"/>
      <c r="ZK27" s="637"/>
      <c r="ZL27" s="637"/>
      <c r="ZM27" s="637"/>
      <c r="ZN27" s="637"/>
      <c r="ZO27" s="637"/>
      <c r="ZP27" s="637"/>
      <c r="ZQ27" s="637"/>
      <c r="ZR27" s="637"/>
      <c r="ZS27" s="637"/>
      <c r="ZT27" s="637"/>
      <c r="ZU27" s="637"/>
      <c r="ZV27" s="637"/>
      <c r="ZW27" s="637"/>
      <c r="ZX27" s="637"/>
      <c r="ZY27" s="637"/>
      <c r="ZZ27" s="637"/>
      <c r="AAA27" s="637"/>
      <c r="AAB27" s="637"/>
      <c r="AAC27" s="637"/>
      <c r="AAD27" s="637"/>
      <c r="AAE27" s="637"/>
      <c r="AAF27" s="637"/>
      <c r="AAG27" s="637"/>
      <c r="AAH27" s="637"/>
      <c r="AAI27" s="637"/>
      <c r="AAJ27" s="637"/>
      <c r="AAK27" s="637"/>
      <c r="AAL27" s="637"/>
      <c r="AAM27" s="637"/>
      <c r="AAN27" s="637"/>
      <c r="AAO27" s="637"/>
      <c r="AAP27" s="637"/>
      <c r="AAQ27" s="637"/>
      <c r="AAR27" s="637"/>
      <c r="AAS27" s="637"/>
      <c r="AAT27" s="637"/>
      <c r="AAU27" s="637"/>
      <c r="AAV27" s="637"/>
      <c r="AAW27" s="637"/>
      <c r="AAX27" s="637"/>
      <c r="AAY27" s="637"/>
      <c r="AAZ27" s="637"/>
      <c r="ABA27" s="637"/>
      <c r="ABB27" s="637"/>
      <c r="ABC27" s="637"/>
      <c r="ABD27" s="637"/>
      <c r="ABE27" s="637"/>
      <c r="ABF27" s="637"/>
      <c r="ABG27" s="637"/>
      <c r="ABH27" s="637"/>
      <c r="ABI27" s="637"/>
      <c r="ABJ27" s="637"/>
      <c r="ABK27" s="637"/>
      <c r="ABL27" s="637"/>
      <c r="ABM27" s="637"/>
      <c r="ABN27" s="637"/>
      <c r="ABO27" s="637"/>
      <c r="ABP27" s="637"/>
      <c r="ABQ27" s="637"/>
      <c r="ABR27" s="637"/>
      <c r="ABS27" s="637"/>
      <c r="ABT27" s="637"/>
      <c r="ABU27" s="637"/>
      <c r="ABV27" s="637"/>
      <c r="ABW27" s="637"/>
      <c r="ABX27" s="637"/>
      <c r="ABY27" s="637"/>
      <c r="ABZ27" s="637"/>
      <c r="ACA27" s="637"/>
      <c r="ACB27" s="637"/>
      <c r="ACC27" s="637"/>
      <c r="ACD27" s="637"/>
      <c r="ACE27" s="637"/>
      <c r="ACF27" s="637"/>
      <c r="ACG27" s="637"/>
      <c r="ACH27" s="637"/>
      <c r="ACI27" s="637"/>
      <c r="ACJ27" s="637"/>
      <c r="ACK27" s="637"/>
      <c r="ACL27" s="637"/>
      <c r="ACM27" s="637"/>
      <c r="ACN27" s="637"/>
      <c r="ACO27" s="637"/>
      <c r="ACP27" s="637"/>
      <c r="ACQ27" s="637"/>
      <c r="ACR27" s="637"/>
      <c r="ACS27" s="637"/>
      <c r="ACT27" s="637"/>
      <c r="ACU27" s="637"/>
      <c r="ACV27" s="637"/>
      <c r="ACW27" s="637"/>
      <c r="ACX27" s="637"/>
      <c r="ACY27" s="637"/>
      <c r="ACZ27" s="637"/>
      <c r="ADA27" s="637"/>
      <c r="ADB27" s="637"/>
      <c r="ADC27" s="637"/>
      <c r="ADD27" s="637"/>
      <c r="ADE27" s="637"/>
      <c r="ADF27" s="637"/>
      <c r="ADG27" s="637"/>
      <c r="ADH27" s="637"/>
      <c r="ADI27" s="637"/>
      <c r="ADJ27" s="637"/>
      <c r="ADK27" s="637"/>
      <c r="ADL27" s="637"/>
      <c r="ADM27" s="637"/>
      <c r="ADN27" s="637"/>
      <c r="ADO27" s="637"/>
      <c r="ADP27" s="637"/>
      <c r="ADQ27" s="637"/>
      <c r="ADR27" s="637"/>
      <c r="ADS27" s="637"/>
      <c r="ADT27" s="637"/>
      <c r="ADU27" s="637"/>
      <c r="ADV27" s="637"/>
      <c r="ADW27" s="637"/>
      <c r="ADX27" s="637"/>
      <c r="ADY27" s="637"/>
      <c r="ADZ27" s="637"/>
      <c r="AEA27" s="637"/>
      <c r="AEB27" s="637"/>
      <c r="AEC27" s="637"/>
      <c r="AED27" s="637"/>
      <c r="AEE27" s="637"/>
      <c r="AEF27" s="637"/>
      <c r="AEG27" s="637"/>
      <c r="AEH27" s="637"/>
      <c r="AEI27" s="637"/>
      <c r="AEJ27" s="637"/>
      <c r="AEK27" s="637"/>
      <c r="AEL27" s="637"/>
      <c r="AEM27" s="637"/>
      <c r="AEN27" s="637"/>
      <c r="AEO27" s="637"/>
      <c r="AEP27" s="637"/>
      <c r="AEQ27" s="637"/>
      <c r="AER27" s="637"/>
      <c r="AES27" s="637"/>
      <c r="AET27" s="637"/>
      <c r="AEU27" s="637"/>
      <c r="AEV27" s="637"/>
      <c r="AEW27" s="637"/>
      <c r="AEX27" s="637"/>
      <c r="AEY27" s="637"/>
      <c r="AEZ27" s="637"/>
      <c r="AFA27" s="637"/>
      <c r="AFB27" s="637"/>
      <c r="AFC27" s="637"/>
      <c r="AFD27" s="637"/>
      <c r="AFE27" s="637"/>
      <c r="AFF27" s="637"/>
      <c r="AFG27" s="637"/>
      <c r="AFH27" s="637"/>
      <c r="AFI27" s="637"/>
      <c r="AFJ27" s="637"/>
      <c r="AFK27" s="637"/>
      <c r="AFL27" s="637"/>
      <c r="AFM27" s="637"/>
      <c r="AFN27" s="637"/>
      <c r="AFO27" s="637"/>
      <c r="AFP27" s="637"/>
      <c r="AFQ27" s="637"/>
      <c r="AFR27" s="637"/>
      <c r="AFS27" s="637"/>
      <c r="AFT27" s="637"/>
      <c r="AFU27" s="637"/>
      <c r="AFV27" s="637"/>
      <c r="AFW27" s="637"/>
      <c r="AFX27" s="637"/>
      <c r="AFY27" s="637"/>
      <c r="AFZ27" s="637"/>
      <c r="AGA27" s="637"/>
      <c r="AGB27" s="637"/>
      <c r="AGC27" s="637"/>
      <c r="AGD27" s="637"/>
      <c r="AGE27" s="637"/>
      <c r="AGF27" s="637"/>
      <c r="AGG27" s="637"/>
      <c r="AGH27" s="637"/>
      <c r="AGI27" s="637"/>
      <c r="AGJ27" s="637"/>
      <c r="AGK27" s="637"/>
      <c r="AGL27" s="637"/>
      <c r="AGM27" s="637"/>
      <c r="AGN27" s="637"/>
      <c r="AGO27" s="637"/>
      <c r="AGP27" s="637"/>
      <c r="AGQ27" s="637"/>
      <c r="AGR27" s="637"/>
      <c r="AGS27" s="637"/>
      <c r="AGT27" s="637"/>
      <c r="AGU27" s="637"/>
      <c r="AGV27" s="637"/>
      <c r="AGW27" s="637"/>
      <c r="AGX27" s="637"/>
      <c r="AGY27" s="637"/>
      <c r="AGZ27" s="637"/>
      <c r="AHA27" s="637"/>
      <c r="AHB27" s="637"/>
      <c r="AHC27" s="637"/>
      <c r="AHD27" s="637"/>
      <c r="AHE27" s="637"/>
      <c r="AHF27" s="637"/>
      <c r="AHG27" s="637"/>
      <c r="AHH27" s="637"/>
      <c r="AHI27" s="637"/>
      <c r="AHJ27" s="637"/>
      <c r="AHK27" s="637"/>
      <c r="AHL27" s="637"/>
      <c r="AHM27" s="637"/>
      <c r="AHN27" s="637"/>
      <c r="AHO27" s="637"/>
      <c r="AHP27" s="637"/>
      <c r="AHQ27" s="637"/>
      <c r="AHR27" s="637"/>
      <c r="AHS27" s="637"/>
      <c r="AHT27" s="637"/>
      <c r="AHU27" s="637"/>
      <c r="AHV27" s="637"/>
      <c r="AHW27" s="637"/>
      <c r="AHX27" s="637"/>
      <c r="AHY27" s="637"/>
      <c r="AHZ27" s="637"/>
      <c r="AIA27" s="637"/>
      <c r="AIB27" s="637"/>
      <c r="AIC27" s="637"/>
      <c r="AID27" s="637"/>
      <c r="AIE27" s="637"/>
      <c r="AIF27" s="637"/>
      <c r="AIG27" s="637"/>
      <c r="AIH27" s="637"/>
      <c r="AII27" s="637"/>
      <c r="AIJ27" s="637"/>
      <c r="AIK27" s="637"/>
      <c r="AIL27" s="637"/>
      <c r="AIM27" s="637"/>
      <c r="AIN27" s="637"/>
      <c r="AIO27" s="637"/>
      <c r="AIP27" s="637"/>
      <c r="AIQ27" s="637"/>
      <c r="AIR27" s="637"/>
      <c r="AIS27" s="637"/>
      <c r="AIT27" s="637"/>
      <c r="AIU27" s="637"/>
      <c r="AIV27" s="637"/>
      <c r="AIW27" s="637"/>
      <c r="AIX27" s="637"/>
      <c r="AIY27" s="637"/>
      <c r="AIZ27" s="637"/>
      <c r="AJA27" s="637"/>
      <c r="AJB27" s="637"/>
      <c r="AJC27" s="637"/>
      <c r="AJD27" s="637"/>
      <c r="AJE27" s="637"/>
      <c r="AJF27" s="637"/>
      <c r="AJG27" s="637"/>
      <c r="AJH27" s="637"/>
      <c r="AJI27" s="637"/>
      <c r="AJJ27" s="637"/>
      <c r="AJK27" s="637"/>
      <c r="AJL27" s="637"/>
      <c r="AJM27" s="637"/>
      <c r="AJN27" s="637"/>
      <c r="AJO27" s="637"/>
      <c r="AJP27" s="637"/>
      <c r="AJQ27" s="637"/>
      <c r="AJR27" s="637"/>
      <c r="AJS27" s="637"/>
      <c r="AJT27" s="637"/>
      <c r="AJU27" s="637"/>
      <c r="AJV27" s="637"/>
      <c r="AJW27" s="637"/>
      <c r="AJX27" s="637"/>
      <c r="AJY27" s="637"/>
      <c r="AJZ27" s="637"/>
      <c r="AKA27" s="637"/>
      <c r="AKB27" s="637"/>
      <c r="AKC27" s="637"/>
      <c r="AKD27" s="637"/>
      <c r="AKE27" s="637"/>
      <c r="AKF27" s="637"/>
      <c r="AKG27" s="637"/>
      <c r="AKH27" s="637"/>
      <c r="AKI27" s="637"/>
      <c r="AKJ27" s="637"/>
      <c r="AKK27" s="637"/>
      <c r="AKL27" s="637"/>
      <c r="AKM27" s="637"/>
      <c r="AKN27" s="637"/>
      <c r="AKO27" s="637"/>
      <c r="AKP27" s="637"/>
      <c r="AKQ27" s="637"/>
      <c r="AKR27" s="637"/>
      <c r="AKS27" s="637"/>
      <c r="AKT27" s="637"/>
      <c r="AKU27" s="637"/>
      <c r="AKV27" s="637"/>
      <c r="AKW27" s="637"/>
      <c r="AKX27" s="637"/>
      <c r="AKY27" s="637"/>
      <c r="AKZ27" s="637"/>
      <c r="ALA27" s="637"/>
      <c r="ALB27" s="637"/>
      <c r="ALC27" s="637"/>
      <c r="ALD27" s="637"/>
      <c r="ALE27" s="637"/>
      <c r="ALF27" s="637"/>
      <c r="ALG27" s="637"/>
      <c r="ALH27" s="637"/>
      <c r="ALI27" s="637"/>
      <c r="ALJ27" s="637"/>
      <c r="ALK27" s="637"/>
      <c r="ALL27" s="637"/>
      <c r="ALM27" s="637"/>
      <c r="ALN27" s="637"/>
      <c r="ALO27" s="637"/>
      <c r="ALP27" s="637"/>
      <c r="ALQ27" s="637"/>
      <c r="ALR27" s="637"/>
      <c r="ALS27" s="637"/>
      <c r="ALT27" s="637"/>
      <c r="ALU27" s="637"/>
      <c r="ALV27" s="637"/>
      <c r="ALW27" s="637"/>
      <c r="ALX27" s="637"/>
      <c r="ALY27" s="637"/>
      <c r="ALZ27" s="637"/>
      <c r="AMA27" s="637"/>
      <c r="AMB27" s="637"/>
      <c r="AMC27" s="637"/>
      <c r="AMD27" s="637"/>
      <c r="AME27" s="637"/>
      <c r="AMF27" s="637"/>
      <c r="AMG27" s="637"/>
      <c r="AMH27" s="637"/>
      <c r="AMI27" s="637"/>
      <c r="AMJ27" s="637"/>
    </row>
    <row r="28" spans="1:1024" s="638" customFormat="1" ht="12.75">
      <c r="A28" s="984" t="s">
        <v>122</v>
      </c>
      <c r="B28" s="985" t="s">
        <v>138</v>
      </c>
      <c r="C28" s="986" t="s">
        <v>124</v>
      </c>
      <c r="D28" s="981" t="s">
        <v>4</v>
      </c>
      <c r="E28" s="982"/>
      <c r="F28" s="982">
        <f t="shared" si="1"/>
        <v>21622</v>
      </c>
      <c r="G28" s="987">
        <v>15930</v>
      </c>
      <c r="H28" s="987">
        <v>4382</v>
      </c>
      <c r="I28" s="987">
        <v>1310</v>
      </c>
      <c r="J28" s="987"/>
      <c r="K28" s="987"/>
      <c r="L28" s="987"/>
      <c r="M28" s="987"/>
      <c r="N28" s="987"/>
      <c r="O28" s="987"/>
      <c r="P28" s="987"/>
      <c r="Q28" s="987"/>
      <c r="R28" s="984"/>
      <c r="S28" s="637"/>
      <c r="T28" s="637"/>
      <c r="U28" s="637"/>
      <c r="V28" s="637"/>
      <c r="W28" s="637"/>
      <c r="X28" s="637"/>
      <c r="Y28" s="637"/>
      <c r="Z28" s="637"/>
      <c r="AA28" s="637"/>
      <c r="AB28" s="637"/>
      <c r="AC28" s="637"/>
      <c r="AD28" s="637"/>
      <c r="AE28" s="637"/>
      <c r="AF28" s="637"/>
      <c r="AG28" s="637"/>
      <c r="AH28" s="637"/>
      <c r="AI28" s="637"/>
      <c r="AJ28" s="637"/>
      <c r="AK28" s="637"/>
      <c r="AL28" s="637"/>
      <c r="AM28" s="637"/>
      <c r="AN28" s="637"/>
      <c r="AO28" s="637"/>
      <c r="AP28" s="637"/>
      <c r="AQ28" s="637"/>
      <c r="AR28" s="637"/>
      <c r="AS28" s="637"/>
      <c r="AT28" s="637"/>
      <c r="AU28" s="637"/>
      <c r="AV28" s="637"/>
      <c r="AW28" s="637"/>
      <c r="AX28" s="637"/>
      <c r="AY28" s="637"/>
      <c r="AZ28" s="637"/>
      <c r="BA28" s="637"/>
      <c r="BB28" s="637"/>
      <c r="BC28" s="637"/>
      <c r="BD28" s="637"/>
      <c r="BE28" s="637"/>
      <c r="BF28" s="637"/>
      <c r="BG28" s="637"/>
      <c r="BH28" s="637"/>
      <c r="BI28" s="637"/>
      <c r="BJ28" s="637"/>
      <c r="BK28" s="637"/>
      <c r="BL28" s="637"/>
      <c r="BM28" s="637"/>
      <c r="BN28" s="637"/>
      <c r="BO28" s="637"/>
      <c r="BP28" s="637"/>
      <c r="BQ28" s="637"/>
      <c r="BR28" s="637"/>
      <c r="BS28" s="637"/>
      <c r="BT28" s="637"/>
      <c r="BU28" s="637"/>
      <c r="BV28" s="637"/>
      <c r="BW28" s="637"/>
      <c r="BX28" s="637"/>
      <c r="BY28" s="637"/>
      <c r="BZ28" s="637"/>
      <c r="CA28" s="637"/>
      <c r="CB28" s="637"/>
      <c r="CC28" s="637"/>
      <c r="CD28" s="637"/>
      <c r="CE28" s="637"/>
      <c r="CF28" s="637"/>
      <c r="CG28" s="637"/>
      <c r="CH28" s="637"/>
      <c r="CI28" s="637"/>
      <c r="CJ28" s="637"/>
      <c r="CK28" s="637"/>
      <c r="CL28" s="637"/>
      <c r="CM28" s="637"/>
      <c r="CN28" s="637"/>
      <c r="CO28" s="637"/>
      <c r="CP28" s="637"/>
      <c r="CQ28" s="637"/>
      <c r="CR28" s="637"/>
      <c r="CS28" s="637"/>
      <c r="CT28" s="637"/>
      <c r="CU28" s="637"/>
      <c r="CV28" s="637"/>
      <c r="CW28" s="637"/>
      <c r="CX28" s="637"/>
      <c r="CY28" s="637"/>
      <c r="CZ28" s="637"/>
      <c r="DA28" s="637"/>
      <c r="DB28" s="637"/>
      <c r="DC28" s="637"/>
      <c r="DD28" s="637"/>
      <c r="DE28" s="637"/>
      <c r="DF28" s="637"/>
      <c r="DG28" s="637"/>
      <c r="DH28" s="637"/>
      <c r="DI28" s="637"/>
      <c r="DJ28" s="637"/>
      <c r="DK28" s="637"/>
      <c r="DL28" s="637"/>
      <c r="DM28" s="637"/>
      <c r="DN28" s="637"/>
      <c r="DO28" s="637"/>
      <c r="DP28" s="637"/>
      <c r="DQ28" s="637"/>
      <c r="DR28" s="637"/>
      <c r="DS28" s="637"/>
      <c r="DT28" s="637"/>
      <c r="DU28" s="637"/>
      <c r="DV28" s="637"/>
      <c r="DW28" s="637"/>
      <c r="DX28" s="637"/>
      <c r="DY28" s="637"/>
      <c r="DZ28" s="637"/>
      <c r="EA28" s="637"/>
      <c r="EB28" s="637"/>
      <c r="EC28" s="637"/>
      <c r="ED28" s="637"/>
      <c r="EE28" s="637"/>
      <c r="EF28" s="637"/>
      <c r="EG28" s="637"/>
      <c r="EH28" s="637"/>
      <c r="EI28" s="637"/>
      <c r="EJ28" s="637"/>
      <c r="EK28" s="637"/>
      <c r="EL28" s="637"/>
      <c r="EM28" s="637"/>
      <c r="EN28" s="637"/>
      <c r="EO28" s="637"/>
      <c r="EP28" s="637"/>
      <c r="EQ28" s="637"/>
      <c r="ER28" s="637"/>
      <c r="ES28" s="637"/>
      <c r="ET28" s="637"/>
      <c r="EU28" s="637"/>
      <c r="EV28" s="637"/>
      <c r="EW28" s="637"/>
      <c r="EX28" s="637"/>
      <c r="EY28" s="637"/>
      <c r="EZ28" s="637"/>
      <c r="FA28" s="637"/>
      <c r="FB28" s="637"/>
      <c r="FC28" s="637"/>
      <c r="FD28" s="637"/>
      <c r="FE28" s="637"/>
      <c r="FF28" s="637"/>
      <c r="FG28" s="637"/>
      <c r="FH28" s="637"/>
      <c r="FI28" s="637"/>
      <c r="FJ28" s="637"/>
      <c r="FK28" s="637"/>
      <c r="FL28" s="637"/>
      <c r="FM28" s="637"/>
      <c r="FN28" s="637"/>
      <c r="FO28" s="637"/>
      <c r="FP28" s="637"/>
      <c r="FQ28" s="637"/>
      <c r="FR28" s="637"/>
      <c r="FS28" s="637"/>
      <c r="FT28" s="637"/>
      <c r="FU28" s="637"/>
      <c r="FV28" s="637"/>
      <c r="FW28" s="637"/>
      <c r="FX28" s="637"/>
      <c r="FY28" s="637"/>
      <c r="FZ28" s="637"/>
      <c r="GA28" s="637"/>
      <c r="GB28" s="637"/>
      <c r="GC28" s="637"/>
      <c r="GD28" s="637"/>
      <c r="GE28" s="637"/>
      <c r="GF28" s="637"/>
      <c r="GG28" s="637"/>
      <c r="GH28" s="637"/>
      <c r="GI28" s="637"/>
      <c r="GJ28" s="637"/>
      <c r="GK28" s="637"/>
      <c r="GL28" s="637"/>
      <c r="GM28" s="637"/>
      <c r="GN28" s="637"/>
      <c r="GO28" s="637"/>
      <c r="GP28" s="637"/>
      <c r="GQ28" s="637"/>
      <c r="GR28" s="637"/>
      <c r="GS28" s="637"/>
      <c r="GT28" s="637"/>
      <c r="GU28" s="637"/>
      <c r="GV28" s="637"/>
      <c r="GW28" s="637"/>
      <c r="GX28" s="637"/>
      <c r="GY28" s="637"/>
      <c r="GZ28" s="637"/>
      <c r="HA28" s="637"/>
      <c r="HB28" s="637"/>
      <c r="HC28" s="637"/>
      <c r="HD28" s="637"/>
      <c r="HE28" s="637"/>
      <c r="HF28" s="637"/>
      <c r="HG28" s="637"/>
      <c r="HH28" s="637"/>
      <c r="HI28" s="637"/>
      <c r="HJ28" s="637"/>
      <c r="HK28" s="637"/>
      <c r="HL28" s="637"/>
      <c r="HM28" s="637"/>
      <c r="HN28" s="637"/>
      <c r="HO28" s="637"/>
      <c r="HP28" s="637"/>
      <c r="HQ28" s="637"/>
      <c r="HR28" s="637"/>
      <c r="HS28" s="637"/>
      <c r="HT28" s="637"/>
      <c r="HU28" s="637"/>
      <c r="HV28" s="637"/>
      <c r="HW28" s="637"/>
      <c r="HX28" s="637"/>
      <c r="HY28" s="637"/>
      <c r="HZ28" s="637"/>
      <c r="IA28" s="637"/>
      <c r="IB28" s="637"/>
      <c r="IC28" s="637"/>
      <c r="ID28" s="637"/>
      <c r="IE28" s="637"/>
      <c r="IF28" s="637"/>
      <c r="IG28" s="637"/>
      <c r="IH28" s="637"/>
      <c r="II28" s="637"/>
      <c r="IJ28" s="637"/>
      <c r="IK28" s="637"/>
      <c r="IL28" s="637"/>
      <c r="IM28" s="637"/>
      <c r="IN28" s="637"/>
      <c r="IO28" s="637"/>
      <c r="IP28" s="637"/>
      <c r="IQ28" s="637"/>
      <c r="IR28" s="637"/>
      <c r="IS28" s="637"/>
      <c r="IT28" s="637"/>
      <c r="IU28" s="637"/>
      <c r="IV28" s="637"/>
      <c r="IW28" s="637"/>
      <c r="IX28" s="637"/>
      <c r="IY28" s="637"/>
      <c r="IZ28" s="637"/>
      <c r="JA28" s="637"/>
      <c r="JB28" s="637"/>
      <c r="JC28" s="637"/>
      <c r="JD28" s="637"/>
      <c r="JE28" s="637"/>
      <c r="JF28" s="637"/>
      <c r="JG28" s="637"/>
      <c r="JH28" s="637"/>
      <c r="JI28" s="637"/>
      <c r="JJ28" s="637"/>
      <c r="JK28" s="637"/>
      <c r="JL28" s="637"/>
      <c r="JM28" s="637"/>
      <c r="JN28" s="637"/>
      <c r="JO28" s="637"/>
      <c r="JP28" s="637"/>
      <c r="JQ28" s="637"/>
      <c r="JR28" s="637"/>
      <c r="JS28" s="637"/>
      <c r="JT28" s="637"/>
      <c r="JU28" s="637"/>
      <c r="JV28" s="637"/>
      <c r="JW28" s="637"/>
      <c r="JX28" s="637"/>
      <c r="JY28" s="637"/>
      <c r="JZ28" s="637"/>
      <c r="KA28" s="637"/>
      <c r="KB28" s="637"/>
      <c r="KC28" s="637"/>
      <c r="KD28" s="637"/>
      <c r="KE28" s="637"/>
      <c r="KF28" s="637"/>
      <c r="KG28" s="637"/>
      <c r="KH28" s="637"/>
      <c r="KI28" s="637"/>
      <c r="KJ28" s="637"/>
      <c r="KK28" s="637"/>
      <c r="KL28" s="637"/>
      <c r="KM28" s="637"/>
      <c r="KN28" s="637"/>
      <c r="KO28" s="637"/>
      <c r="KP28" s="637"/>
      <c r="KQ28" s="637"/>
      <c r="KR28" s="637"/>
      <c r="KS28" s="637"/>
      <c r="KT28" s="637"/>
      <c r="KU28" s="637"/>
      <c r="KV28" s="637"/>
      <c r="KW28" s="637"/>
      <c r="KX28" s="637"/>
      <c r="KY28" s="637"/>
      <c r="KZ28" s="637"/>
      <c r="LA28" s="637"/>
      <c r="LB28" s="637"/>
      <c r="LC28" s="637"/>
      <c r="LD28" s="637"/>
      <c r="LE28" s="637"/>
      <c r="LF28" s="637"/>
      <c r="LG28" s="637"/>
      <c r="LH28" s="637"/>
      <c r="LI28" s="637"/>
      <c r="LJ28" s="637"/>
      <c r="LK28" s="637"/>
      <c r="LL28" s="637"/>
      <c r="LM28" s="637"/>
      <c r="LN28" s="637"/>
      <c r="LO28" s="637"/>
      <c r="LP28" s="637"/>
      <c r="LQ28" s="637"/>
      <c r="LR28" s="637"/>
      <c r="LS28" s="637"/>
      <c r="LT28" s="637"/>
      <c r="LU28" s="637"/>
      <c r="LV28" s="637"/>
      <c r="LW28" s="637"/>
      <c r="LX28" s="637"/>
      <c r="LY28" s="637"/>
      <c r="LZ28" s="637"/>
      <c r="MA28" s="637"/>
      <c r="MB28" s="637"/>
      <c r="MC28" s="637"/>
      <c r="MD28" s="637"/>
      <c r="ME28" s="637"/>
      <c r="MF28" s="637"/>
      <c r="MG28" s="637"/>
      <c r="MH28" s="637"/>
      <c r="MI28" s="637"/>
      <c r="MJ28" s="637"/>
      <c r="MK28" s="637"/>
      <c r="ML28" s="637"/>
      <c r="MM28" s="637"/>
      <c r="MN28" s="637"/>
      <c r="MO28" s="637"/>
      <c r="MP28" s="637"/>
      <c r="MQ28" s="637"/>
      <c r="MR28" s="637"/>
      <c r="MS28" s="637"/>
      <c r="MT28" s="637"/>
      <c r="MU28" s="637"/>
      <c r="MV28" s="637"/>
      <c r="MW28" s="637"/>
      <c r="MX28" s="637"/>
      <c r="MY28" s="637"/>
      <c r="MZ28" s="637"/>
      <c r="NA28" s="637"/>
      <c r="NB28" s="637"/>
      <c r="NC28" s="637"/>
      <c r="ND28" s="637"/>
      <c r="NE28" s="637"/>
      <c r="NF28" s="637"/>
      <c r="NG28" s="637"/>
      <c r="NH28" s="637"/>
      <c r="NI28" s="637"/>
      <c r="NJ28" s="637"/>
      <c r="NK28" s="637"/>
      <c r="NL28" s="637"/>
      <c r="NM28" s="637"/>
      <c r="NN28" s="637"/>
      <c r="NO28" s="637"/>
      <c r="NP28" s="637"/>
      <c r="NQ28" s="637"/>
      <c r="NR28" s="637"/>
      <c r="NS28" s="637"/>
      <c r="NT28" s="637"/>
      <c r="NU28" s="637"/>
      <c r="NV28" s="637"/>
      <c r="NW28" s="637"/>
      <c r="NX28" s="637"/>
      <c r="NY28" s="637"/>
      <c r="NZ28" s="637"/>
      <c r="OA28" s="637"/>
      <c r="OB28" s="637"/>
      <c r="OC28" s="637"/>
      <c r="OD28" s="637"/>
      <c r="OE28" s="637"/>
      <c r="OF28" s="637"/>
      <c r="OG28" s="637"/>
      <c r="OH28" s="637"/>
      <c r="OI28" s="637"/>
      <c r="OJ28" s="637"/>
      <c r="OK28" s="637"/>
      <c r="OL28" s="637"/>
      <c r="OM28" s="637"/>
      <c r="ON28" s="637"/>
      <c r="OO28" s="637"/>
      <c r="OP28" s="637"/>
      <c r="OQ28" s="637"/>
      <c r="OR28" s="637"/>
      <c r="OS28" s="637"/>
      <c r="OT28" s="637"/>
      <c r="OU28" s="637"/>
      <c r="OV28" s="637"/>
      <c r="OW28" s="637"/>
      <c r="OX28" s="637"/>
      <c r="OY28" s="637"/>
      <c r="OZ28" s="637"/>
      <c r="PA28" s="637"/>
      <c r="PB28" s="637"/>
      <c r="PC28" s="637"/>
      <c r="PD28" s="637"/>
      <c r="PE28" s="637"/>
      <c r="PF28" s="637"/>
      <c r="PG28" s="637"/>
      <c r="PH28" s="637"/>
      <c r="PI28" s="637"/>
      <c r="PJ28" s="637"/>
      <c r="PK28" s="637"/>
      <c r="PL28" s="637"/>
      <c r="PM28" s="637"/>
      <c r="PN28" s="637"/>
      <c r="PO28" s="637"/>
      <c r="PP28" s="637"/>
      <c r="PQ28" s="637"/>
      <c r="PR28" s="637"/>
      <c r="PS28" s="637"/>
      <c r="PT28" s="637"/>
      <c r="PU28" s="637"/>
      <c r="PV28" s="637"/>
      <c r="PW28" s="637"/>
      <c r="PX28" s="637"/>
      <c r="PY28" s="637"/>
      <c r="PZ28" s="637"/>
      <c r="QA28" s="637"/>
      <c r="QB28" s="637"/>
      <c r="QC28" s="637"/>
      <c r="QD28" s="637"/>
      <c r="QE28" s="637"/>
      <c r="QF28" s="637"/>
      <c r="QG28" s="637"/>
      <c r="QH28" s="637"/>
      <c r="QI28" s="637"/>
      <c r="QJ28" s="637"/>
      <c r="QK28" s="637"/>
      <c r="QL28" s="637"/>
      <c r="QM28" s="637"/>
      <c r="QN28" s="637"/>
      <c r="QO28" s="637"/>
      <c r="QP28" s="637"/>
      <c r="QQ28" s="637"/>
      <c r="QR28" s="637"/>
      <c r="QS28" s="637"/>
      <c r="QT28" s="637"/>
      <c r="QU28" s="637"/>
      <c r="QV28" s="637"/>
      <c r="QW28" s="637"/>
      <c r="QX28" s="637"/>
      <c r="QY28" s="637"/>
      <c r="QZ28" s="637"/>
      <c r="RA28" s="637"/>
      <c r="RB28" s="637"/>
      <c r="RC28" s="637"/>
      <c r="RD28" s="637"/>
      <c r="RE28" s="637"/>
      <c r="RF28" s="637"/>
      <c r="RG28" s="637"/>
      <c r="RH28" s="637"/>
      <c r="RI28" s="637"/>
      <c r="RJ28" s="637"/>
      <c r="RK28" s="637"/>
      <c r="RL28" s="637"/>
      <c r="RM28" s="637"/>
      <c r="RN28" s="637"/>
      <c r="RO28" s="637"/>
      <c r="RP28" s="637"/>
      <c r="RQ28" s="637"/>
      <c r="RR28" s="637"/>
      <c r="RS28" s="637"/>
      <c r="RT28" s="637"/>
      <c r="RU28" s="637"/>
      <c r="RV28" s="637"/>
      <c r="RW28" s="637"/>
      <c r="RX28" s="637"/>
      <c r="RY28" s="637"/>
      <c r="RZ28" s="637"/>
      <c r="SA28" s="637"/>
      <c r="SB28" s="637"/>
      <c r="SC28" s="637"/>
      <c r="SD28" s="637"/>
      <c r="SE28" s="637"/>
      <c r="SF28" s="637"/>
      <c r="SG28" s="637"/>
      <c r="SH28" s="637"/>
      <c r="SI28" s="637"/>
      <c r="SJ28" s="637"/>
      <c r="SK28" s="637"/>
      <c r="SL28" s="637"/>
      <c r="SM28" s="637"/>
      <c r="SN28" s="637"/>
      <c r="SO28" s="637"/>
      <c r="SP28" s="637"/>
      <c r="SQ28" s="637"/>
      <c r="SR28" s="637"/>
      <c r="SS28" s="637"/>
      <c r="ST28" s="637"/>
      <c r="SU28" s="637"/>
      <c r="SV28" s="637"/>
      <c r="SW28" s="637"/>
      <c r="SX28" s="637"/>
      <c r="SY28" s="637"/>
      <c r="SZ28" s="637"/>
      <c r="TA28" s="637"/>
      <c r="TB28" s="637"/>
      <c r="TC28" s="637"/>
      <c r="TD28" s="637"/>
      <c r="TE28" s="637"/>
      <c r="TF28" s="637"/>
      <c r="TG28" s="637"/>
      <c r="TH28" s="637"/>
      <c r="TI28" s="637"/>
      <c r="TJ28" s="637"/>
      <c r="TK28" s="637"/>
      <c r="TL28" s="637"/>
      <c r="TM28" s="637"/>
      <c r="TN28" s="637"/>
      <c r="TO28" s="637"/>
      <c r="TP28" s="637"/>
      <c r="TQ28" s="637"/>
      <c r="TR28" s="637"/>
      <c r="TS28" s="637"/>
      <c r="TT28" s="637"/>
      <c r="TU28" s="637"/>
      <c r="TV28" s="637"/>
      <c r="TW28" s="637"/>
      <c r="TX28" s="637"/>
      <c r="TY28" s="637"/>
      <c r="TZ28" s="637"/>
      <c r="UA28" s="637"/>
      <c r="UB28" s="637"/>
      <c r="UC28" s="637"/>
      <c r="UD28" s="637"/>
      <c r="UE28" s="637"/>
      <c r="UF28" s="637"/>
      <c r="UG28" s="637"/>
      <c r="UH28" s="637"/>
      <c r="UI28" s="637"/>
      <c r="UJ28" s="637"/>
      <c r="UK28" s="637"/>
      <c r="UL28" s="637"/>
      <c r="UM28" s="637"/>
      <c r="UN28" s="637"/>
      <c r="UO28" s="637"/>
      <c r="UP28" s="637"/>
      <c r="UQ28" s="637"/>
      <c r="UR28" s="637"/>
      <c r="US28" s="637"/>
      <c r="UT28" s="637"/>
      <c r="UU28" s="637"/>
      <c r="UV28" s="637"/>
      <c r="UW28" s="637"/>
      <c r="UX28" s="637"/>
      <c r="UY28" s="637"/>
      <c r="UZ28" s="637"/>
      <c r="VA28" s="637"/>
      <c r="VB28" s="637"/>
      <c r="VC28" s="637"/>
      <c r="VD28" s="637"/>
      <c r="VE28" s="637"/>
      <c r="VF28" s="637"/>
      <c r="VG28" s="637"/>
      <c r="VH28" s="637"/>
      <c r="VI28" s="637"/>
      <c r="VJ28" s="637"/>
      <c r="VK28" s="637"/>
      <c r="VL28" s="637"/>
      <c r="VM28" s="637"/>
      <c r="VN28" s="637"/>
      <c r="VO28" s="637"/>
      <c r="VP28" s="637"/>
      <c r="VQ28" s="637"/>
      <c r="VR28" s="637"/>
      <c r="VS28" s="637"/>
      <c r="VT28" s="637"/>
      <c r="VU28" s="637"/>
      <c r="VV28" s="637"/>
      <c r="VW28" s="637"/>
      <c r="VX28" s="637"/>
      <c r="VY28" s="637"/>
      <c r="VZ28" s="637"/>
      <c r="WA28" s="637"/>
      <c r="WB28" s="637"/>
      <c r="WC28" s="637"/>
      <c r="WD28" s="637"/>
      <c r="WE28" s="637"/>
      <c r="WF28" s="637"/>
      <c r="WG28" s="637"/>
      <c r="WH28" s="637"/>
      <c r="WI28" s="637"/>
      <c r="WJ28" s="637"/>
      <c r="WK28" s="637"/>
      <c r="WL28" s="637"/>
      <c r="WM28" s="637"/>
      <c r="WN28" s="637"/>
      <c r="WO28" s="637"/>
      <c r="WP28" s="637"/>
      <c r="WQ28" s="637"/>
      <c r="WR28" s="637"/>
      <c r="WS28" s="637"/>
      <c r="WT28" s="637"/>
      <c r="WU28" s="637"/>
      <c r="WV28" s="637"/>
      <c r="WW28" s="637"/>
      <c r="WX28" s="637"/>
      <c r="WY28" s="637"/>
      <c r="WZ28" s="637"/>
      <c r="XA28" s="637"/>
      <c r="XB28" s="637"/>
      <c r="XC28" s="637"/>
      <c r="XD28" s="637"/>
      <c r="XE28" s="637"/>
      <c r="XF28" s="637"/>
      <c r="XG28" s="637"/>
      <c r="XH28" s="637"/>
      <c r="XI28" s="637"/>
      <c r="XJ28" s="637"/>
      <c r="XK28" s="637"/>
      <c r="XL28" s="637"/>
      <c r="XM28" s="637"/>
      <c r="XN28" s="637"/>
      <c r="XO28" s="637"/>
      <c r="XP28" s="637"/>
      <c r="XQ28" s="637"/>
      <c r="XR28" s="637"/>
      <c r="XS28" s="637"/>
      <c r="XT28" s="637"/>
      <c r="XU28" s="637"/>
      <c r="XV28" s="637"/>
      <c r="XW28" s="637"/>
      <c r="XX28" s="637"/>
      <c r="XY28" s="637"/>
      <c r="XZ28" s="637"/>
      <c r="YA28" s="637"/>
      <c r="YB28" s="637"/>
      <c r="YC28" s="637"/>
      <c r="YD28" s="637"/>
      <c r="YE28" s="637"/>
      <c r="YF28" s="637"/>
      <c r="YG28" s="637"/>
      <c r="YH28" s="637"/>
      <c r="YI28" s="637"/>
      <c r="YJ28" s="637"/>
      <c r="YK28" s="637"/>
      <c r="YL28" s="637"/>
      <c r="YM28" s="637"/>
      <c r="YN28" s="637"/>
      <c r="YO28" s="637"/>
      <c r="YP28" s="637"/>
      <c r="YQ28" s="637"/>
      <c r="YR28" s="637"/>
      <c r="YS28" s="637"/>
      <c r="YT28" s="637"/>
      <c r="YU28" s="637"/>
      <c r="YV28" s="637"/>
      <c r="YW28" s="637"/>
      <c r="YX28" s="637"/>
      <c r="YY28" s="637"/>
      <c r="YZ28" s="637"/>
      <c r="ZA28" s="637"/>
      <c r="ZB28" s="637"/>
      <c r="ZC28" s="637"/>
      <c r="ZD28" s="637"/>
      <c r="ZE28" s="637"/>
      <c r="ZF28" s="637"/>
      <c r="ZG28" s="637"/>
      <c r="ZH28" s="637"/>
      <c r="ZI28" s="637"/>
      <c r="ZJ28" s="637"/>
      <c r="ZK28" s="637"/>
      <c r="ZL28" s="637"/>
      <c r="ZM28" s="637"/>
      <c r="ZN28" s="637"/>
      <c r="ZO28" s="637"/>
      <c r="ZP28" s="637"/>
      <c r="ZQ28" s="637"/>
      <c r="ZR28" s="637"/>
      <c r="ZS28" s="637"/>
      <c r="ZT28" s="637"/>
      <c r="ZU28" s="637"/>
      <c r="ZV28" s="637"/>
      <c r="ZW28" s="637"/>
      <c r="ZX28" s="637"/>
      <c r="ZY28" s="637"/>
      <c r="ZZ28" s="637"/>
      <c r="AAA28" s="637"/>
      <c r="AAB28" s="637"/>
      <c r="AAC28" s="637"/>
      <c r="AAD28" s="637"/>
      <c r="AAE28" s="637"/>
      <c r="AAF28" s="637"/>
      <c r="AAG28" s="637"/>
      <c r="AAH28" s="637"/>
      <c r="AAI28" s="637"/>
      <c r="AAJ28" s="637"/>
      <c r="AAK28" s="637"/>
      <c r="AAL28" s="637"/>
      <c r="AAM28" s="637"/>
      <c r="AAN28" s="637"/>
      <c r="AAO28" s="637"/>
      <c r="AAP28" s="637"/>
      <c r="AAQ28" s="637"/>
      <c r="AAR28" s="637"/>
      <c r="AAS28" s="637"/>
      <c r="AAT28" s="637"/>
      <c r="AAU28" s="637"/>
      <c r="AAV28" s="637"/>
      <c r="AAW28" s="637"/>
      <c r="AAX28" s="637"/>
      <c r="AAY28" s="637"/>
      <c r="AAZ28" s="637"/>
      <c r="ABA28" s="637"/>
      <c r="ABB28" s="637"/>
      <c r="ABC28" s="637"/>
      <c r="ABD28" s="637"/>
      <c r="ABE28" s="637"/>
      <c r="ABF28" s="637"/>
      <c r="ABG28" s="637"/>
      <c r="ABH28" s="637"/>
      <c r="ABI28" s="637"/>
      <c r="ABJ28" s="637"/>
      <c r="ABK28" s="637"/>
      <c r="ABL28" s="637"/>
      <c r="ABM28" s="637"/>
      <c r="ABN28" s="637"/>
      <c r="ABO28" s="637"/>
      <c r="ABP28" s="637"/>
      <c r="ABQ28" s="637"/>
      <c r="ABR28" s="637"/>
      <c r="ABS28" s="637"/>
      <c r="ABT28" s="637"/>
      <c r="ABU28" s="637"/>
      <c r="ABV28" s="637"/>
      <c r="ABW28" s="637"/>
      <c r="ABX28" s="637"/>
      <c r="ABY28" s="637"/>
      <c r="ABZ28" s="637"/>
      <c r="ACA28" s="637"/>
      <c r="ACB28" s="637"/>
      <c r="ACC28" s="637"/>
      <c r="ACD28" s="637"/>
      <c r="ACE28" s="637"/>
      <c r="ACF28" s="637"/>
      <c r="ACG28" s="637"/>
      <c r="ACH28" s="637"/>
      <c r="ACI28" s="637"/>
      <c r="ACJ28" s="637"/>
      <c r="ACK28" s="637"/>
      <c r="ACL28" s="637"/>
      <c r="ACM28" s="637"/>
      <c r="ACN28" s="637"/>
      <c r="ACO28" s="637"/>
      <c r="ACP28" s="637"/>
      <c r="ACQ28" s="637"/>
      <c r="ACR28" s="637"/>
      <c r="ACS28" s="637"/>
      <c r="ACT28" s="637"/>
      <c r="ACU28" s="637"/>
      <c r="ACV28" s="637"/>
      <c r="ACW28" s="637"/>
      <c r="ACX28" s="637"/>
      <c r="ACY28" s="637"/>
      <c r="ACZ28" s="637"/>
      <c r="ADA28" s="637"/>
      <c r="ADB28" s="637"/>
      <c r="ADC28" s="637"/>
      <c r="ADD28" s="637"/>
      <c r="ADE28" s="637"/>
      <c r="ADF28" s="637"/>
      <c r="ADG28" s="637"/>
      <c r="ADH28" s="637"/>
      <c r="ADI28" s="637"/>
      <c r="ADJ28" s="637"/>
      <c r="ADK28" s="637"/>
      <c r="ADL28" s="637"/>
      <c r="ADM28" s="637"/>
      <c r="ADN28" s="637"/>
      <c r="ADO28" s="637"/>
      <c r="ADP28" s="637"/>
      <c r="ADQ28" s="637"/>
      <c r="ADR28" s="637"/>
      <c r="ADS28" s="637"/>
      <c r="ADT28" s="637"/>
      <c r="ADU28" s="637"/>
      <c r="ADV28" s="637"/>
      <c r="ADW28" s="637"/>
      <c r="ADX28" s="637"/>
      <c r="ADY28" s="637"/>
      <c r="ADZ28" s="637"/>
      <c r="AEA28" s="637"/>
      <c r="AEB28" s="637"/>
      <c r="AEC28" s="637"/>
      <c r="AED28" s="637"/>
      <c r="AEE28" s="637"/>
      <c r="AEF28" s="637"/>
      <c r="AEG28" s="637"/>
      <c r="AEH28" s="637"/>
      <c r="AEI28" s="637"/>
      <c r="AEJ28" s="637"/>
      <c r="AEK28" s="637"/>
      <c r="AEL28" s="637"/>
      <c r="AEM28" s="637"/>
      <c r="AEN28" s="637"/>
      <c r="AEO28" s="637"/>
      <c r="AEP28" s="637"/>
      <c r="AEQ28" s="637"/>
      <c r="AER28" s="637"/>
      <c r="AES28" s="637"/>
      <c r="AET28" s="637"/>
      <c r="AEU28" s="637"/>
      <c r="AEV28" s="637"/>
      <c r="AEW28" s="637"/>
      <c r="AEX28" s="637"/>
      <c r="AEY28" s="637"/>
      <c r="AEZ28" s="637"/>
      <c r="AFA28" s="637"/>
      <c r="AFB28" s="637"/>
      <c r="AFC28" s="637"/>
      <c r="AFD28" s="637"/>
      <c r="AFE28" s="637"/>
      <c r="AFF28" s="637"/>
      <c r="AFG28" s="637"/>
      <c r="AFH28" s="637"/>
      <c r="AFI28" s="637"/>
      <c r="AFJ28" s="637"/>
      <c r="AFK28" s="637"/>
      <c r="AFL28" s="637"/>
      <c r="AFM28" s="637"/>
      <c r="AFN28" s="637"/>
      <c r="AFO28" s="637"/>
      <c r="AFP28" s="637"/>
      <c r="AFQ28" s="637"/>
      <c r="AFR28" s="637"/>
      <c r="AFS28" s="637"/>
      <c r="AFT28" s="637"/>
      <c r="AFU28" s="637"/>
      <c r="AFV28" s="637"/>
      <c r="AFW28" s="637"/>
      <c r="AFX28" s="637"/>
      <c r="AFY28" s="637"/>
      <c r="AFZ28" s="637"/>
      <c r="AGA28" s="637"/>
      <c r="AGB28" s="637"/>
      <c r="AGC28" s="637"/>
      <c r="AGD28" s="637"/>
      <c r="AGE28" s="637"/>
      <c r="AGF28" s="637"/>
      <c r="AGG28" s="637"/>
      <c r="AGH28" s="637"/>
      <c r="AGI28" s="637"/>
      <c r="AGJ28" s="637"/>
      <c r="AGK28" s="637"/>
      <c r="AGL28" s="637"/>
      <c r="AGM28" s="637"/>
      <c r="AGN28" s="637"/>
      <c r="AGO28" s="637"/>
      <c r="AGP28" s="637"/>
      <c r="AGQ28" s="637"/>
      <c r="AGR28" s="637"/>
      <c r="AGS28" s="637"/>
      <c r="AGT28" s="637"/>
      <c r="AGU28" s="637"/>
      <c r="AGV28" s="637"/>
      <c r="AGW28" s="637"/>
      <c r="AGX28" s="637"/>
      <c r="AGY28" s="637"/>
      <c r="AGZ28" s="637"/>
      <c r="AHA28" s="637"/>
      <c r="AHB28" s="637"/>
      <c r="AHC28" s="637"/>
      <c r="AHD28" s="637"/>
      <c r="AHE28" s="637"/>
      <c r="AHF28" s="637"/>
      <c r="AHG28" s="637"/>
      <c r="AHH28" s="637"/>
      <c r="AHI28" s="637"/>
      <c r="AHJ28" s="637"/>
      <c r="AHK28" s="637"/>
      <c r="AHL28" s="637"/>
      <c r="AHM28" s="637"/>
      <c r="AHN28" s="637"/>
      <c r="AHO28" s="637"/>
      <c r="AHP28" s="637"/>
      <c r="AHQ28" s="637"/>
      <c r="AHR28" s="637"/>
      <c r="AHS28" s="637"/>
      <c r="AHT28" s="637"/>
      <c r="AHU28" s="637"/>
      <c r="AHV28" s="637"/>
      <c r="AHW28" s="637"/>
      <c r="AHX28" s="637"/>
      <c r="AHY28" s="637"/>
      <c r="AHZ28" s="637"/>
      <c r="AIA28" s="637"/>
      <c r="AIB28" s="637"/>
      <c r="AIC28" s="637"/>
      <c r="AID28" s="637"/>
      <c r="AIE28" s="637"/>
      <c r="AIF28" s="637"/>
      <c r="AIG28" s="637"/>
      <c r="AIH28" s="637"/>
      <c r="AII28" s="637"/>
      <c r="AIJ28" s="637"/>
      <c r="AIK28" s="637"/>
      <c r="AIL28" s="637"/>
      <c r="AIM28" s="637"/>
      <c r="AIN28" s="637"/>
      <c r="AIO28" s="637"/>
      <c r="AIP28" s="637"/>
      <c r="AIQ28" s="637"/>
      <c r="AIR28" s="637"/>
      <c r="AIS28" s="637"/>
      <c r="AIT28" s="637"/>
      <c r="AIU28" s="637"/>
      <c r="AIV28" s="637"/>
      <c r="AIW28" s="637"/>
      <c r="AIX28" s="637"/>
      <c r="AIY28" s="637"/>
      <c r="AIZ28" s="637"/>
      <c r="AJA28" s="637"/>
      <c r="AJB28" s="637"/>
      <c r="AJC28" s="637"/>
      <c r="AJD28" s="637"/>
      <c r="AJE28" s="637"/>
      <c r="AJF28" s="637"/>
      <c r="AJG28" s="637"/>
      <c r="AJH28" s="637"/>
      <c r="AJI28" s="637"/>
      <c r="AJJ28" s="637"/>
      <c r="AJK28" s="637"/>
      <c r="AJL28" s="637"/>
      <c r="AJM28" s="637"/>
      <c r="AJN28" s="637"/>
      <c r="AJO28" s="637"/>
      <c r="AJP28" s="637"/>
      <c r="AJQ28" s="637"/>
      <c r="AJR28" s="637"/>
      <c r="AJS28" s="637"/>
      <c r="AJT28" s="637"/>
      <c r="AJU28" s="637"/>
      <c r="AJV28" s="637"/>
      <c r="AJW28" s="637"/>
      <c r="AJX28" s="637"/>
      <c r="AJY28" s="637"/>
      <c r="AJZ28" s="637"/>
      <c r="AKA28" s="637"/>
      <c r="AKB28" s="637"/>
      <c r="AKC28" s="637"/>
      <c r="AKD28" s="637"/>
      <c r="AKE28" s="637"/>
      <c r="AKF28" s="637"/>
      <c r="AKG28" s="637"/>
      <c r="AKH28" s="637"/>
      <c r="AKI28" s="637"/>
      <c r="AKJ28" s="637"/>
      <c r="AKK28" s="637"/>
      <c r="AKL28" s="637"/>
      <c r="AKM28" s="637"/>
      <c r="AKN28" s="637"/>
      <c r="AKO28" s="637"/>
      <c r="AKP28" s="637"/>
      <c r="AKQ28" s="637"/>
      <c r="AKR28" s="637"/>
      <c r="AKS28" s="637"/>
      <c r="AKT28" s="637"/>
      <c r="AKU28" s="637"/>
      <c r="AKV28" s="637"/>
      <c r="AKW28" s="637"/>
      <c r="AKX28" s="637"/>
      <c r="AKY28" s="637"/>
      <c r="AKZ28" s="637"/>
      <c r="ALA28" s="637"/>
      <c r="ALB28" s="637"/>
      <c r="ALC28" s="637"/>
      <c r="ALD28" s="637"/>
      <c r="ALE28" s="637"/>
      <c r="ALF28" s="637"/>
      <c r="ALG28" s="637"/>
      <c r="ALH28" s="637"/>
      <c r="ALI28" s="637"/>
      <c r="ALJ28" s="637"/>
      <c r="ALK28" s="637"/>
      <c r="ALL28" s="637"/>
      <c r="ALM28" s="637"/>
      <c r="ALN28" s="637"/>
      <c r="ALO28" s="637"/>
      <c r="ALP28" s="637"/>
      <c r="ALQ28" s="637"/>
      <c r="ALR28" s="637"/>
      <c r="ALS28" s="637"/>
      <c r="ALT28" s="637"/>
      <c r="ALU28" s="637"/>
      <c r="ALV28" s="637"/>
      <c r="ALW28" s="637"/>
      <c r="ALX28" s="637"/>
      <c r="ALY28" s="637"/>
      <c r="ALZ28" s="637"/>
      <c r="AMA28" s="637"/>
      <c r="AMB28" s="637"/>
      <c r="AMC28" s="637"/>
      <c r="AMD28" s="637"/>
      <c r="AME28" s="637"/>
      <c r="AMF28" s="637"/>
      <c r="AMG28" s="637"/>
      <c r="AMH28" s="637"/>
      <c r="AMI28" s="637"/>
      <c r="AMJ28" s="637"/>
    </row>
    <row r="29" spans="1:1024" s="638" customFormat="1" ht="12.75">
      <c r="A29" s="984"/>
      <c r="B29" s="985"/>
      <c r="C29" s="986"/>
      <c r="D29" s="981" t="s">
        <v>861</v>
      </c>
      <c r="E29" s="982"/>
      <c r="F29" s="982">
        <f>SUM(G29:R29)</f>
        <v>26179</v>
      </c>
      <c r="G29" s="987">
        <f>18880-85</f>
        <v>18795</v>
      </c>
      <c r="H29" s="987">
        <v>5179</v>
      </c>
      <c r="I29" s="987">
        <f>2120+85</f>
        <v>2205</v>
      </c>
      <c r="J29" s="987"/>
      <c r="K29" s="987"/>
      <c r="L29" s="987"/>
      <c r="M29" s="987"/>
      <c r="N29" s="987"/>
      <c r="O29" s="987"/>
      <c r="P29" s="987"/>
      <c r="Q29" s="987"/>
      <c r="R29" s="984"/>
      <c r="S29" s="637"/>
      <c r="T29" s="637"/>
      <c r="U29" s="637"/>
      <c r="V29" s="637"/>
      <c r="W29" s="637"/>
      <c r="X29" s="637"/>
      <c r="Y29" s="637"/>
      <c r="Z29" s="637"/>
      <c r="AA29" s="637"/>
      <c r="AB29" s="637"/>
      <c r="AC29" s="637"/>
      <c r="AD29" s="637"/>
      <c r="AE29" s="637"/>
      <c r="AF29" s="637"/>
      <c r="AG29" s="637"/>
      <c r="AH29" s="637"/>
      <c r="AI29" s="637"/>
      <c r="AJ29" s="637"/>
      <c r="AK29" s="637"/>
      <c r="AL29" s="637"/>
      <c r="AM29" s="637"/>
      <c r="AN29" s="637"/>
      <c r="AO29" s="637"/>
      <c r="AP29" s="637"/>
      <c r="AQ29" s="637"/>
      <c r="AR29" s="637"/>
      <c r="AS29" s="637"/>
      <c r="AT29" s="637"/>
      <c r="AU29" s="637"/>
      <c r="AV29" s="637"/>
      <c r="AW29" s="637"/>
      <c r="AX29" s="637"/>
      <c r="AY29" s="637"/>
      <c r="AZ29" s="637"/>
      <c r="BA29" s="637"/>
      <c r="BB29" s="637"/>
      <c r="BC29" s="637"/>
      <c r="BD29" s="637"/>
      <c r="BE29" s="637"/>
      <c r="BF29" s="637"/>
      <c r="BG29" s="637"/>
      <c r="BH29" s="637"/>
      <c r="BI29" s="637"/>
      <c r="BJ29" s="637"/>
      <c r="BK29" s="637"/>
      <c r="BL29" s="637"/>
      <c r="BM29" s="637"/>
      <c r="BN29" s="637"/>
      <c r="BO29" s="637"/>
      <c r="BP29" s="637"/>
      <c r="BQ29" s="637"/>
      <c r="BR29" s="637"/>
      <c r="BS29" s="637"/>
      <c r="BT29" s="637"/>
      <c r="BU29" s="637"/>
      <c r="BV29" s="637"/>
      <c r="BW29" s="637"/>
      <c r="BX29" s="637"/>
      <c r="BY29" s="637"/>
      <c r="BZ29" s="637"/>
      <c r="CA29" s="637"/>
      <c r="CB29" s="637"/>
      <c r="CC29" s="637"/>
      <c r="CD29" s="637"/>
      <c r="CE29" s="637"/>
      <c r="CF29" s="637"/>
      <c r="CG29" s="637"/>
      <c r="CH29" s="637"/>
      <c r="CI29" s="637"/>
      <c r="CJ29" s="637"/>
      <c r="CK29" s="637"/>
      <c r="CL29" s="637"/>
      <c r="CM29" s="637"/>
      <c r="CN29" s="637"/>
      <c r="CO29" s="637"/>
      <c r="CP29" s="637"/>
      <c r="CQ29" s="637"/>
      <c r="CR29" s="637"/>
      <c r="CS29" s="637"/>
      <c r="CT29" s="637"/>
      <c r="CU29" s="637"/>
      <c r="CV29" s="637"/>
      <c r="CW29" s="637"/>
      <c r="CX29" s="637"/>
      <c r="CY29" s="637"/>
      <c r="CZ29" s="637"/>
      <c r="DA29" s="637"/>
      <c r="DB29" s="637"/>
      <c r="DC29" s="637"/>
      <c r="DD29" s="637"/>
      <c r="DE29" s="637"/>
      <c r="DF29" s="637"/>
      <c r="DG29" s="637"/>
      <c r="DH29" s="637"/>
      <c r="DI29" s="637"/>
      <c r="DJ29" s="637"/>
      <c r="DK29" s="637"/>
      <c r="DL29" s="637"/>
      <c r="DM29" s="637"/>
      <c r="DN29" s="637"/>
      <c r="DO29" s="637"/>
      <c r="DP29" s="637"/>
      <c r="DQ29" s="637"/>
      <c r="DR29" s="637"/>
      <c r="DS29" s="637"/>
      <c r="DT29" s="637"/>
      <c r="DU29" s="637"/>
      <c r="DV29" s="637"/>
      <c r="DW29" s="637"/>
      <c r="DX29" s="637"/>
      <c r="DY29" s="637"/>
      <c r="DZ29" s="637"/>
      <c r="EA29" s="637"/>
      <c r="EB29" s="637"/>
      <c r="EC29" s="637"/>
      <c r="ED29" s="637"/>
      <c r="EE29" s="637"/>
      <c r="EF29" s="637"/>
      <c r="EG29" s="637"/>
      <c r="EH29" s="637"/>
      <c r="EI29" s="637"/>
      <c r="EJ29" s="637"/>
      <c r="EK29" s="637"/>
      <c r="EL29" s="637"/>
      <c r="EM29" s="637"/>
      <c r="EN29" s="637"/>
      <c r="EO29" s="637"/>
      <c r="EP29" s="637"/>
      <c r="EQ29" s="637"/>
      <c r="ER29" s="637"/>
      <c r="ES29" s="637"/>
      <c r="ET29" s="637"/>
      <c r="EU29" s="637"/>
      <c r="EV29" s="637"/>
      <c r="EW29" s="637"/>
      <c r="EX29" s="637"/>
      <c r="EY29" s="637"/>
      <c r="EZ29" s="637"/>
      <c r="FA29" s="637"/>
      <c r="FB29" s="637"/>
      <c r="FC29" s="637"/>
      <c r="FD29" s="637"/>
      <c r="FE29" s="637"/>
      <c r="FF29" s="637"/>
      <c r="FG29" s="637"/>
      <c r="FH29" s="637"/>
      <c r="FI29" s="637"/>
      <c r="FJ29" s="637"/>
      <c r="FK29" s="637"/>
      <c r="FL29" s="637"/>
      <c r="FM29" s="637"/>
      <c r="FN29" s="637"/>
      <c r="FO29" s="637"/>
      <c r="FP29" s="637"/>
      <c r="FQ29" s="637"/>
      <c r="FR29" s="637"/>
      <c r="FS29" s="637"/>
      <c r="FT29" s="637"/>
      <c r="FU29" s="637"/>
      <c r="FV29" s="637"/>
      <c r="FW29" s="637"/>
      <c r="FX29" s="637"/>
      <c r="FY29" s="637"/>
      <c r="FZ29" s="637"/>
      <c r="GA29" s="637"/>
      <c r="GB29" s="637"/>
      <c r="GC29" s="637"/>
      <c r="GD29" s="637"/>
      <c r="GE29" s="637"/>
      <c r="GF29" s="637"/>
      <c r="GG29" s="637"/>
      <c r="GH29" s="637"/>
      <c r="GI29" s="637"/>
      <c r="GJ29" s="637"/>
      <c r="GK29" s="637"/>
      <c r="GL29" s="637"/>
      <c r="GM29" s="637"/>
      <c r="GN29" s="637"/>
      <c r="GO29" s="637"/>
      <c r="GP29" s="637"/>
      <c r="GQ29" s="637"/>
      <c r="GR29" s="637"/>
      <c r="GS29" s="637"/>
      <c r="GT29" s="637"/>
      <c r="GU29" s="637"/>
      <c r="GV29" s="637"/>
      <c r="GW29" s="637"/>
      <c r="GX29" s="637"/>
      <c r="GY29" s="637"/>
      <c r="GZ29" s="637"/>
      <c r="HA29" s="637"/>
      <c r="HB29" s="637"/>
      <c r="HC29" s="637"/>
      <c r="HD29" s="637"/>
      <c r="HE29" s="637"/>
      <c r="HF29" s="637"/>
      <c r="HG29" s="637"/>
      <c r="HH29" s="637"/>
      <c r="HI29" s="637"/>
      <c r="HJ29" s="637"/>
      <c r="HK29" s="637"/>
      <c r="HL29" s="637"/>
      <c r="HM29" s="637"/>
      <c r="HN29" s="637"/>
      <c r="HO29" s="637"/>
      <c r="HP29" s="637"/>
      <c r="HQ29" s="637"/>
      <c r="HR29" s="637"/>
      <c r="HS29" s="637"/>
      <c r="HT29" s="637"/>
      <c r="HU29" s="637"/>
      <c r="HV29" s="637"/>
      <c r="HW29" s="637"/>
      <c r="HX29" s="637"/>
      <c r="HY29" s="637"/>
      <c r="HZ29" s="637"/>
      <c r="IA29" s="637"/>
      <c r="IB29" s="637"/>
      <c r="IC29" s="637"/>
      <c r="ID29" s="637"/>
      <c r="IE29" s="637"/>
      <c r="IF29" s="637"/>
      <c r="IG29" s="637"/>
      <c r="IH29" s="637"/>
      <c r="II29" s="637"/>
      <c r="IJ29" s="637"/>
      <c r="IK29" s="637"/>
      <c r="IL29" s="637"/>
      <c r="IM29" s="637"/>
      <c r="IN29" s="637"/>
      <c r="IO29" s="637"/>
      <c r="IP29" s="637"/>
      <c r="IQ29" s="637"/>
      <c r="IR29" s="637"/>
      <c r="IS29" s="637"/>
      <c r="IT29" s="637"/>
      <c r="IU29" s="637"/>
      <c r="IV29" s="637"/>
      <c r="IW29" s="637"/>
      <c r="IX29" s="637"/>
      <c r="IY29" s="637"/>
      <c r="IZ29" s="637"/>
      <c r="JA29" s="637"/>
      <c r="JB29" s="637"/>
      <c r="JC29" s="637"/>
      <c r="JD29" s="637"/>
      <c r="JE29" s="637"/>
      <c r="JF29" s="637"/>
      <c r="JG29" s="637"/>
      <c r="JH29" s="637"/>
      <c r="JI29" s="637"/>
      <c r="JJ29" s="637"/>
      <c r="JK29" s="637"/>
      <c r="JL29" s="637"/>
      <c r="JM29" s="637"/>
      <c r="JN29" s="637"/>
      <c r="JO29" s="637"/>
      <c r="JP29" s="637"/>
      <c r="JQ29" s="637"/>
      <c r="JR29" s="637"/>
      <c r="JS29" s="637"/>
      <c r="JT29" s="637"/>
      <c r="JU29" s="637"/>
      <c r="JV29" s="637"/>
      <c r="JW29" s="637"/>
      <c r="JX29" s="637"/>
      <c r="JY29" s="637"/>
      <c r="JZ29" s="637"/>
      <c r="KA29" s="637"/>
      <c r="KB29" s="637"/>
      <c r="KC29" s="637"/>
      <c r="KD29" s="637"/>
      <c r="KE29" s="637"/>
      <c r="KF29" s="637"/>
      <c r="KG29" s="637"/>
      <c r="KH29" s="637"/>
      <c r="KI29" s="637"/>
      <c r="KJ29" s="637"/>
      <c r="KK29" s="637"/>
      <c r="KL29" s="637"/>
      <c r="KM29" s="637"/>
      <c r="KN29" s="637"/>
      <c r="KO29" s="637"/>
      <c r="KP29" s="637"/>
      <c r="KQ29" s="637"/>
      <c r="KR29" s="637"/>
      <c r="KS29" s="637"/>
      <c r="KT29" s="637"/>
      <c r="KU29" s="637"/>
      <c r="KV29" s="637"/>
      <c r="KW29" s="637"/>
      <c r="KX29" s="637"/>
      <c r="KY29" s="637"/>
      <c r="KZ29" s="637"/>
      <c r="LA29" s="637"/>
      <c r="LB29" s="637"/>
      <c r="LC29" s="637"/>
      <c r="LD29" s="637"/>
      <c r="LE29" s="637"/>
      <c r="LF29" s="637"/>
      <c r="LG29" s="637"/>
      <c r="LH29" s="637"/>
      <c r="LI29" s="637"/>
      <c r="LJ29" s="637"/>
      <c r="LK29" s="637"/>
      <c r="LL29" s="637"/>
      <c r="LM29" s="637"/>
      <c r="LN29" s="637"/>
      <c r="LO29" s="637"/>
      <c r="LP29" s="637"/>
      <c r="LQ29" s="637"/>
      <c r="LR29" s="637"/>
      <c r="LS29" s="637"/>
      <c r="LT29" s="637"/>
      <c r="LU29" s="637"/>
      <c r="LV29" s="637"/>
      <c r="LW29" s="637"/>
      <c r="LX29" s="637"/>
      <c r="LY29" s="637"/>
      <c r="LZ29" s="637"/>
      <c r="MA29" s="637"/>
      <c r="MB29" s="637"/>
      <c r="MC29" s="637"/>
      <c r="MD29" s="637"/>
      <c r="ME29" s="637"/>
      <c r="MF29" s="637"/>
      <c r="MG29" s="637"/>
      <c r="MH29" s="637"/>
      <c r="MI29" s="637"/>
      <c r="MJ29" s="637"/>
      <c r="MK29" s="637"/>
      <c r="ML29" s="637"/>
      <c r="MM29" s="637"/>
      <c r="MN29" s="637"/>
      <c r="MO29" s="637"/>
      <c r="MP29" s="637"/>
      <c r="MQ29" s="637"/>
      <c r="MR29" s="637"/>
      <c r="MS29" s="637"/>
      <c r="MT29" s="637"/>
      <c r="MU29" s="637"/>
      <c r="MV29" s="637"/>
      <c r="MW29" s="637"/>
      <c r="MX29" s="637"/>
      <c r="MY29" s="637"/>
      <c r="MZ29" s="637"/>
      <c r="NA29" s="637"/>
      <c r="NB29" s="637"/>
      <c r="NC29" s="637"/>
      <c r="ND29" s="637"/>
      <c r="NE29" s="637"/>
      <c r="NF29" s="637"/>
      <c r="NG29" s="637"/>
      <c r="NH29" s="637"/>
      <c r="NI29" s="637"/>
      <c r="NJ29" s="637"/>
      <c r="NK29" s="637"/>
      <c r="NL29" s="637"/>
      <c r="NM29" s="637"/>
      <c r="NN29" s="637"/>
      <c r="NO29" s="637"/>
      <c r="NP29" s="637"/>
      <c r="NQ29" s="637"/>
      <c r="NR29" s="637"/>
      <c r="NS29" s="637"/>
      <c r="NT29" s="637"/>
      <c r="NU29" s="637"/>
      <c r="NV29" s="637"/>
      <c r="NW29" s="637"/>
      <c r="NX29" s="637"/>
      <c r="NY29" s="637"/>
      <c r="NZ29" s="637"/>
      <c r="OA29" s="637"/>
      <c r="OB29" s="637"/>
      <c r="OC29" s="637"/>
      <c r="OD29" s="637"/>
      <c r="OE29" s="637"/>
      <c r="OF29" s="637"/>
      <c r="OG29" s="637"/>
      <c r="OH29" s="637"/>
      <c r="OI29" s="637"/>
      <c r="OJ29" s="637"/>
      <c r="OK29" s="637"/>
      <c r="OL29" s="637"/>
      <c r="OM29" s="637"/>
      <c r="ON29" s="637"/>
      <c r="OO29" s="637"/>
      <c r="OP29" s="637"/>
      <c r="OQ29" s="637"/>
      <c r="OR29" s="637"/>
      <c r="OS29" s="637"/>
      <c r="OT29" s="637"/>
      <c r="OU29" s="637"/>
      <c r="OV29" s="637"/>
      <c r="OW29" s="637"/>
      <c r="OX29" s="637"/>
      <c r="OY29" s="637"/>
      <c r="OZ29" s="637"/>
      <c r="PA29" s="637"/>
      <c r="PB29" s="637"/>
      <c r="PC29" s="637"/>
      <c r="PD29" s="637"/>
      <c r="PE29" s="637"/>
      <c r="PF29" s="637"/>
      <c r="PG29" s="637"/>
      <c r="PH29" s="637"/>
      <c r="PI29" s="637"/>
      <c r="PJ29" s="637"/>
      <c r="PK29" s="637"/>
      <c r="PL29" s="637"/>
      <c r="PM29" s="637"/>
      <c r="PN29" s="637"/>
      <c r="PO29" s="637"/>
      <c r="PP29" s="637"/>
      <c r="PQ29" s="637"/>
      <c r="PR29" s="637"/>
      <c r="PS29" s="637"/>
      <c r="PT29" s="637"/>
      <c r="PU29" s="637"/>
      <c r="PV29" s="637"/>
      <c r="PW29" s="637"/>
      <c r="PX29" s="637"/>
      <c r="PY29" s="637"/>
      <c r="PZ29" s="637"/>
      <c r="QA29" s="637"/>
      <c r="QB29" s="637"/>
      <c r="QC29" s="637"/>
      <c r="QD29" s="637"/>
      <c r="QE29" s="637"/>
      <c r="QF29" s="637"/>
      <c r="QG29" s="637"/>
      <c r="QH29" s="637"/>
      <c r="QI29" s="637"/>
      <c r="QJ29" s="637"/>
      <c r="QK29" s="637"/>
      <c r="QL29" s="637"/>
      <c r="QM29" s="637"/>
      <c r="QN29" s="637"/>
      <c r="QO29" s="637"/>
      <c r="QP29" s="637"/>
      <c r="QQ29" s="637"/>
      <c r="QR29" s="637"/>
      <c r="QS29" s="637"/>
      <c r="QT29" s="637"/>
      <c r="QU29" s="637"/>
      <c r="QV29" s="637"/>
      <c r="QW29" s="637"/>
      <c r="QX29" s="637"/>
      <c r="QY29" s="637"/>
      <c r="QZ29" s="637"/>
      <c r="RA29" s="637"/>
      <c r="RB29" s="637"/>
      <c r="RC29" s="637"/>
      <c r="RD29" s="637"/>
      <c r="RE29" s="637"/>
      <c r="RF29" s="637"/>
      <c r="RG29" s="637"/>
      <c r="RH29" s="637"/>
      <c r="RI29" s="637"/>
      <c r="RJ29" s="637"/>
      <c r="RK29" s="637"/>
      <c r="RL29" s="637"/>
      <c r="RM29" s="637"/>
      <c r="RN29" s="637"/>
      <c r="RO29" s="637"/>
      <c r="RP29" s="637"/>
      <c r="RQ29" s="637"/>
      <c r="RR29" s="637"/>
      <c r="RS29" s="637"/>
      <c r="RT29" s="637"/>
      <c r="RU29" s="637"/>
      <c r="RV29" s="637"/>
      <c r="RW29" s="637"/>
      <c r="RX29" s="637"/>
      <c r="RY29" s="637"/>
      <c r="RZ29" s="637"/>
      <c r="SA29" s="637"/>
      <c r="SB29" s="637"/>
      <c r="SC29" s="637"/>
      <c r="SD29" s="637"/>
      <c r="SE29" s="637"/>
      <c r="SF29" s="637"/>
      <c r="SG29" s="637"/>
      <c r="SH29" s="637"/>
      <c r="SI29" s="637"/>
      <c r="SJ29" s="637"/>
      <c r="SK29" s="637"/>
      <c r="SL29" s="637"/>
      <c r="SM29" s="637"/>
      <c r="SN29" s="637"/>
      <c r="SO29" s="637"/>
      <c r="SP29" s="637"/>
      <c r="SQ29" s="637"/>
      <c r="SR29" s="637"/>
      <c r="SS29" s="637"/>
      <c r="ST29" s="637"/>
      <c r="SU29" s="637"/>
      <c r="SV29" s="637"/>
      <c r="SW29" s="637"/>
      <c r="SX29" s="637"/>
      <c r="SY29" s="637"/>
      <c r="SZ29" s="637"/>
      <c r="TA29" s="637"/>
      <c r="TB29" s="637"/>
      <c r="TC29" s="637"/>
      <c r="TD29" s="637"/>
      <c r="TE29" s="637"/>
      <c r="TF29" s="637"/>
      <c r="TG29" s="637"/>
      <c r="TH29" s="637"/>
      <c r="TI29" s="637"/>
      <c r="TJ29" s="637"/>
      <c r="TK29" s="637"/>
      <c r="TL29" s="637"/>
      <c r="TM29" s="637"/>
      <c r="TN29" s="637"/>
      <c r="TO29" s="637"/>
      <c r="TP29" s="637"/>
      <c r="TQ29" s="637"/>
      <c r="TR29" s="637"/>
      <c r="TS29" s="637"/>
      <c r="TT29" s="637"/>
      <c r="TU29" s="637"/>
      <c r="TV29" s="637"/>
      <c r="TW29" s="637"/>
      <c r="TX29" s="637"/>
      <c r="TY29" s="637"/>
      <c r="TZ29" s="637"/>
      <c r="UA29" s="637"/>
      <c r="UB29" s="637"/>
      <c r="UC29" s="637"/>
      <c r="UD29" s="637"/>
      <c r="UE29" s="637"/>
      <c r="UF29" s="637"/>
      <c r="UG29" s="637"/>
      <c r="UH29" s="637"/>
      <c r="UI29" s="637"/>
      <c r="UJ29" s="637"/>
      <c r="UK29" s="637"/>
      <c r="UL29" s="637"/>
      <c r="UM29" s="637"/>
      <c r="UN29" s="637"/>
      <c r="UO29" s="637"/>
      <c r="UP29" s="637"/>
      <c r="UQ29" s="637"/>
      <c r="UR29" s="637"/>
      <c r="US29" s="637"/>
      <c r="UT29" s="637"/>
      <c r="UU29" s="637"/>
      <c r="UV29" s="637"/>
      <c r="UW29" s="637"/>
      <c r="UX29" s="637"/>
      <c r="UY29" s="637"/>
      <c r="UZ29" s="637"/>
      <c r="VA29" s="637"/>
      <c r="VB29" s="637"/>
      <c r="VC29" s="637"/>
      <c r="VD29" s="637"/>
      <c r="VE29" s="637"/>
      <c r="VF29" s="637"/>
      <c r="VG29" s="637"/>
      <c r="VH29" s="637"/>
      <c r="VI29" s="637"/>
      <c r="VJ29" s="637"/>
      <c r="VK29" s="637"/>
      <c r="VL29" s="637"/>
      <c r="VM29" s="637"/>
      <c r="VN29" s="637"/>
      <c r="VO29" s="637"/>
      <c r="VP29" s="637"/>
      <c r="VQ29" s="637"/>
      <c r="VR29" s="637"/>
      <c r="VS29" s="637"/>
      <c r="VT29" s="637"/>
      <c r="VU29" s="637"/>
      <c r="VV29" s="637"/>
      <c r="VW29" s="637"/>
      <c r="VX29" s="637"/>
      <c r="VY29" s="637"/>
      <c r="VZ29" s="637"/>
      <c r="WA29" s="637"/>
      <c r="WB29" s="637"/>
      <c r="WC29" s="637"/>
      <c r="WD29" s="637"/>
      <c r="WE29" s="637"/>
      <c r="WF29" s="637"/>
      <c r="WG29" s="637"/>
      <c r="WH29" s="637"/>
      <c r="WI29" s="637"/>
      <c r="WJ29" s="637"/>
      <c r="WK29" s="637"/>
      <c r="WL29" s="637"/>
      <c r="WM29" s="637"/>
      <c r="WN29" s="637"/>
      <c r="WO29" s="637"/>
      <c r="WP29" s="637"/>
      <c r="WQ29" s="637"/>
      <c r="WR29" s="637"/>
      <c r="WS29" s="637"/>
      <c r="WT29" s="637"/>
      <c r="WU29" s="637"/>
      <c r="WV29" s="637"/>
      <c r="WW29" s="637"/>
      <c r="WX29" s="637"/>
      <c r="WY29" s="637"/>
      <c r="WZ29" s="637"/>
      <c r="XA29" s="637"/>
      <c r="XB29" s="637"/>
      <c r="XC29" s="637"/>
      <c r="XD29" s="637"/>
      <c r="XE29" s="637"/>
      <c r="XF29" s="637"/>
      <c r="XG29" s="637"/>
      <c r="XH29" s="637"/>
      <c r="XI29" s="637"/>
      <c r="XJ29" s="637"/>
      <c r="XK29" s="637"/>
      <c r="XL29" s="637"/>
      <c r="XM29" s="637"/>
      <c r="XN29" s="637"/>
      <c r="XO29" s="637"/>
      <c r="XP29" s="637"/>
      <c r="XQ29" s="637"/>
      <c r="XR29" s="637"/>
      <c r="XS29" s="637"/>
      <c r="XT29" s="637"/>
      <c r="XU29" s="637"/>
      <c r="XV29" s="637"/>
      <c r="XW29" s="637"/>
      <c r="XX29" s="637"/>
      <c r="XY29" s="637"/>
      <c r="XZ29" s="637"/>
      <c r="YA29" s="637"/>
      <c r="YB29" s="637"/>
      <c r="YC29" s="637"/>
      <c r="YD29" s="637"/>
      <c r="YE29" s="637"/>
      <c r="YF29" s="637"/>
      <c r="YG29" s="637"/>
      <c r="YH29" s="637"/>
      <c r="YI29" s="637"/>
      <c r="YJ29" s="637"/>
      <c r="YK29" s="637"/>
      <c r="YL29" s="637"/>
      <c r="YM29" s="637"/>
      <c r="YN29" s="637"/>
      <c r="YO29" s="637"/>
      <c r="YP29" s="637"/>
      <c r="YQ29" s="637"/>
      <c r="YR29" s="637"/>
      <c r="YS29" s="637"/>
      <c r="YT29" s="637"/>
      <c r="YU29" s="637"/>
      <c r="YV29" s="637"/>
      <c r="YW29" s="637"/>
      <c r="YX29" s="637"/>
      <c r="YY29" s="637"/>
      <c r="YZ29" s="637"/>
      <c r="ZA29" s="637"/>
      <c r="ZB29" s="637"/>
      <c r="ZC29" s="637"/>
      <c r="ZD29" s="637"/>
      <c r="ZE29" s="637"/>
      <c r="ZF29" s="637"/>
      <c r="ZG29" s="637"/>
      <c r="ZH29" s="637"/>
      <c r="ZI29" s="637"/>
      <c r="ZJ29" s="637"/>
      <c r="ZK29" s="637"/>
      <c r="ZL29" s="637"/>
      <c r="ZM29" s="637"/>
      <c r="ZN29" s="637"/>
      <c r="ZO29" s="637"/>
      <c r="ZP29" s="637"/>
      <c r="ZQ29" s="637"/>
      <c r="ZR29" s="637"/>
      <c r="ZS29" s="637"/>
      <c r="ZT29" s="637"/>
      <c r="ZU29" s="637"/>
      <c r="ZV29" s="637"/>
      <c r="ZW29" s="637"/>
      <c r="ZX29" s="637"/>
      <c r="ZY29" s="637"/>
      <c r="ZZ29" s="637"/>
      <c r="AAA29" s="637"/>
      <c r="AAB29" s="637"/>
      <c r="AAC29" s="637"/>
      <c r="AAD29" s="637"/>
      <c r="AAE29" s="637"/>
      <c r="AAF29" s="637"/>
      <c r="AAG29" s="637"/>
      <c r="AAH29" s="637"/>
      <c r="AAI29" s="637"/>
      <c r="AAJ29" s="637"/>
      <c r="AAK29" s="637"/>
      <c r="AAL29" s="637"/>
      <c r="AAM29" s="637"/>
      <c r="AAN29" s="637"/>
      <c r="AAO29" s="637"/>
      <c r="AAP29" s="637"/>
      <c r="AAQ29" s="637"/>
      <c r="AAR29" s="637"/>
      <c r="AAS29" s="637"/>
      <c r="AAT29" s="637"/>
      <c r="AAU29" s="637"/>
      <c r="AAV29" s="637"/>
      <c r="AAW29" s="637"/>
      <c r="AAX29" s="637"/>
      <c r="AAY29" s="637"/>
      <c r="AAZ29" s="637"/>
      <c r="ABA29" s="637"/>
      <c r="ABB29" s="637"/>
      <c r="ABC29" s="637"/>
      <c r="ABD29" s="637"/>
      <c r="ABE29" s="637"/>
      <c r="ABF29" s="637"/>
      <c r="ABG29" s="637"/>
      <c r="ABH29" s="637"/>
      <c r="ABI29" s="637"/>
      <c r="ABJ29" s="637"/>
      <c r="ABK29" s="637"/>
      <c r="ABL29" s="637"/>
      <c r="ABM29" s="637"/>
      <c r="ABN29" s="637"/>
      <c r="ABO29" s="637"/>
      <c r="ABP29" s="637"/>
      <c r="ABQ29" s="637"/>
      <c r="ABR29" s="637"/>
      <c r="ABS29" s="637"/>
      <c r="ABT29" s="637"/>
      <c r="ABU29" s="637"/>
      <c r="ABV29" s="637"/>
      <c r="ABW29" s="637"/>
      <c r="ABX29" s="637"/>
      <c r="ABY29" s="637"/>
      <c r="ABZ29" s="637"/>
      <c r="ACA29" s="637"/>
      <c r="ACB29" s="637"/>
      <c r="ACC29" s="637"/>
      <c r="ACD29" s="637"/>
      <c r="ACE29" s="637"/>
      <c r="ACF29" s="637"/>
      <c r="ACG29" s="637"/>
      <c r="ACH29" s="637"/>
      <c r="ACI29" s="637"/>
      <c r="ACJ29" s="637"/>
      <c r="ACK29" s="637"/>
      <c r="ACL29" s="637"/>
      <c r="ACM29" s="637"/>
      <c r="ACN29" s="637"/>
      <c r="ACO29" s="637"/>
      <c r="ACP29" s="637"/>
      <c r="ACQ29" s="637"/>
      <c r="ACR29" s="637"/>
      <c r="ACS29" s="637"/>
      <c r="ACT29" s="637"/>
      <c r="ACU29" s="637"/>
      <c r="ACV29" s="637"/>
      <c r="ACW29" s="637"/>
      <c r="ACX29" s="637"/>
      <c r="ACY29" s="637"/>
      <c r="ACZ29" s="637"/>
      <c r="ADA29" s="637"/>
      <c r="ADB29" s="637"/>
      <c r="ADC29" s="637"/>
      <c r="ADD29" s="637"/>
      <c r="ADE29" s="637"/>
      <c r="ADF29" s="637"/>
      <c r="ADG29" s="637"/>
      <c r="ADH29" s="637"/>
      <c r="ADI29" s="637"/>
      <c r="ADJ29" s="637"/>
      <c r="ADK29" s="637"/>
      <c r="ADL29" s="637"/>
      <c r="ADM29" s="637"/>
      <c r="ADN29" s="637"/>
      <c r="ADO29" s="637"/>
      <c r="ADP29" s="637"/>
      <c r="ADQ29" s="637"/>
      <c r="ADR29" s="637"/>
      <c r="ADS29" s="637"/>
      <c r="ADT29" s="637"/>
      <c r="ADU29" s="637"/>
      <c r="ADV29" s="637"/>
      <c r="ADW29" s="637"/>
      <c r="ADX29" s="637"/>
      <c r="ADY29" s="637"/>
      <c r="ADZ29" s="637"/>
      <c r="AEA29" s="637"/>
      <c r="AEB29" s="637"/>
      <c r="AEC29" s="637"/>
      <c r="AED29" s="637"/>
      <c r="AEE29" s="637"/>
      <c r="AEF29" s="637"/>
      <c r="AEG29" s="637"/>
      <c r="AEH29" s="637"/>
      <c r="AEI29" s="637"/>
      <c r="AEJ29" s="637"/>
      <c r="AEK29" s="637"/>
      <c r="AEL29" s="637"/>
      <c r="AEM29" s="637"/>
      <c r="AEN29" s="637"/>
      <c r="AEO29" s="637"/>
      <c r="AEP29" s="637"/>
      <c r="AEQ29" s="637"/>
      <c r="AER29" s="637"/>
      <c r="AES29" s="637"/>
      <c r="AET29" s="637"/>
      <c r="AEU29" s="637"/>
      <c r="AEV29" s="637"/>
      <c r="AEW29" s="637"/>
      <c r="AEX29" s="637"/>
      <c r="AEY29" s="637"/>
      <c r="AEZ29" s="637"/>
      <c r="AFA29" s="637"/>
      <c r="AFB29" s="637"/>
      <c r="AFC29" s="637"/>
      <c r="AFD29" s="637"/>
      <c r="AFE29" s="637"/>
      <c r="AFF29" s="637"/>
      <c r="AFG29" s="637"/>
      <c r="AFH29" s="637"/>
      <c r="AFI29" s="637"/>
      <c r="AFJ29" s="637"/>
      <c r="AFK29" s="637"/>
      <c r="AFL29" s="637"/>
      <c r="AFM29" s="637"/>
      <c r="AFN29" s="637"/>
      <c r="AFO29" s="637"/>
      <c r="AFP29" s="637"/>
      <c r="AFQ29" s="637"/>
      <c r="AFR29" s="637"/>
      <c r="AFS29" s="637"/>
      <c r="AFT29" s="637"/>
      <c r="AFU29" s="637"/>
      <c r="AFV29" s="637"/>
      <c r="AFW29" s="637"/>
      <c r="AFX29" s="637"/>
      <c r="AFY29" s="637"/>
      <c r="AFZ29" s="637"/>
      <c r="AGA29" s="637"/>
      <c r="AGB29" s="637"/>
      <c r="AGC29" s="637"/>
      <c r="AGD29" s="637"/>
      <c r="AGE29" s="637"/>
      <c r="AGF29" s="637"/>
      <c r="AGG29" s="637"/>
      <c r="AGH29" s="637"/>
      <c r="AGI29" s="637"/>
      <c r="AGJ29" s="637"/>
      <c r="AGK29" s="637"/>
      <c r="AGL29" s="637"/>
      <c r="AGM29" s="637"/>
      <c r="AGN29" s="637"/>
      <c r="AGO29" s="637"/>
      <c r="AGP29" s="637"/>
      <c r="AGQ29" s="637"/>
      <c r="AGR29" s="637"/>
      <c r="AGS29" s="637"/>
      <c r="AGT29" s="637"/>
      <c r="AGU29" s="637"/>
      <c r="AGV29" s="637"/>
      <c r="AGW29" s="637"/>
      <c r="AGX29" s="637"/>
      <c r="AGY29" s="637"/>
      <c r="AGZ29" s="637"/>
      <c r="AHA29" s="637"/>
      <c r="AHB29" s="637"/>
      <c r="AHC29" s="637"/>
      <c r="AHD29" s="637"/>
      <c r="AHE29" s="637"/>
      <c r="AHF29" s="637"/>
      <c r="AHG29" s="637"/>
      <c r="AHH29" s="637"/>
      <c r="AHI29" s="637"/>
      <c r="AHJ29" s="637"/>
      <c r="AHK29" s="637"/>
      <c r="AHL29" s="637"/>
      <c r="AHM29" s="637"/>
      <c r="AHN29" s="637"/>
      <c r="AHO29" s="637"/>
      <c r="AHP29" s="637"/>
      <c r="AHQ29" s="637"/>
      <c r="AHR29" s="637"/>
      <c r="AHS29" s="637"/>
      <c r="AHT29" s="637"/>
      <c r="AHU29" s="637"/>
      <c r="AHV29" s="637"/>
      <c r="AHW29" s="637"/>
      <c r="AHX29" s="637"/>
      <c r="AHY29" s="637"/>
      <c r="AHZ29" s="637"/>
      <c r="AIA29" s="637"/>
      <c r="AIB29" s="637"/>
      <c r="AIC29" s="637"/>
      <c r="AID29" s="637"/>
      <c r="AIE29" s="637"/>
      <c r="AIF29" s="637"/>
      <c r="AIG29" s="637"/>
      <c r="AIH29" s="637"/>
      <c r="AII29" s="637"/>
      <c r="AIJ29" s="637"/>
      <c r="AIK29" s="637"/>
      <c r="AIL29" s="637"/>
      <c r="AIM29" s="637"/>
      <c r="AIN29" s="637"/>
      <c r="AIO29" s="637"/>
      <c r="AIP29" s="637"/>
      <c r="AIQ29" s="637"/>
      <c r="AIR29" s="637"/>
      <c r="AIS29" s="637"/>
      <c r="AIT29" s="637"/>
      <c r="AIU29" s="637"/>
      <c r="AIV29" s="637"/>
      <c r="AIW29" s="637"/>
      <c r="AIX29" s="637"/>
      <c r="AIY29" s="637"/>
      <c r="AIZ29" s="637"/>
      <c r="AJA29" s="637"/>
      <c r="AJB29" s="637"/>
      <c r="AJC29" s="637"/>
      <c r="AJD29" s="637"/>
      <c r="AJE29" s="637"/>
      <c r="AJF29" s="637"/>
      <c r="AJG29" s="637"/>
      <c r="AJH29" s="637"/>
      <c r="AJI29" s="637"/>
      <c r="AJJ29" s="637"/>
      <c r="AJK29" s="637"/>
      <c r="AJL29" s="637"/>
      <c r="AJM29" s="637"/>
      <c r="AJN29" s="637"/>
      <c r="AJO29" s="637"/>
      <c r="AJP29" s="637"/>
      <c r="AJQ29" s="637"/>
      <c r="AJR29" s="637"/>
      <c r="AJS29" s="637"/>
      <c r="AJT29" s="637"/>
      <c r="AJU29" s="637"/>
      <c r="AJV29" s="637"/>
      <c r="AJW29" s="637"/>
      <c r="AJX29" s="637"/>
      <c r="AJY29" s="637"/>
      <c r="AJZ29" s="637"/>
      <c r="AKA29" s="637"/>
      <c r="AKB29" s="637"/>
      <c r="AKC29" s="637"/>
      <c r="AKD29" s="637"/>
      <c r="AKE29" s="637"/>
      <c r="AKF29" s="637"/>
      <c r="AKG29" s="637"/>
      <c r="AKH29" s="637"/>
      <c r="AKI29" s="637"/>
      <c r="AKJ29" s="637"/>
      <c r="AKK29" s="637"/>
      <c r="AKL29" s="637"/>
      <c r="AKM29" s="637"/>
      <c r="AKN29" s="637"/>
      <c r="AKO29" s="637"/>
      <c r="AKP29" s="637"/>
      <c r="AKQ29" s="637"/>
      <c r="AKR29" s="637"/>
      <c r="AKS29" s="637"/>
      <c r="AKT29" s="637"/>
      <c r="AKU29" s="637"/>
      <c r="AKV29" s="637"/>
      <c r="AKW29" s="637"/>
      <c r="AKX29" s="637"/>
      <c r="AKY29" s="637"/>
      <c r="AKZ29" s="637"/>
      <c r="ALA29" s="637"/>
      <c r="ALB29" s="637"/>
      <c r="ALC29" s="637"/>
      <c r="ALD29" s="637"/>
      <c r="ALE29" s="637"/>
      <c r="ALF29" s="637"/>
      <c r="ALG29" s="637"/>
      <c r="ALH29" s="637"/>
      <c r="ALI29" s="637"/>
      <c r="ALJ29" s="637"/>
      <c r="ALK29" s="637"/>
      <c r="ALL29" s="637"/>
      <c r="ALM29" s="637"/>
      <c r="ALN29" s="637"/>
      <c r="ALO29" s="637"/>
      <c r="ALP29" s="637"/>
      <c r="ALQ29" s="637"/>
      <c r="ALR29" s="637"/>
      <c r="ALS29" s="637"/>
      <c r="ALT29" s="637"/>
      <c r="ALU29" s="637"/>
      <c r="ALV29" s="637"/>
      <c r="ALW29" s="637"/>
      <c r="ALX29" s="637"/>
      <c r="ALY29" s="637"/>
      <c r="ALZ29" s="637"/>
      <c r="AMA29" s="637"/>
      <c r="AMB29" s="637"/>
      <c r="AMC29" s="637"/>
      <c r="AMD29" s="637"/>
      <c r="AME29" s="637"/>
      <c r="AMF29" s="637"/>
      <c r="AMG29" s="637"/>
      <c r="AMH29" s="637"/>
      <c r="AMI29" s="637"/>
      <c r="AMJ29" s="637"/>
    </row>
    <row r="30" spans="1:1024" s="638" customFormat="1" ht="12.75">
      <c r="A30" s="984"/>
      <c r="B30" s="985"/>
      <c r="C30" s="986"/>
      <c r="D30" s="981" t="s">
        <v>1041</v>
      </c>
      <c r="E30" s="982"/>
      <c r="F30" s="982">
        <f t="shared" si="1"/>
        <v>15993</v>
      </c>
      <c r="G30" s="987">
        <f>18880-85-7000</f>
        <v>11795</v>
      </c>
      <c r="H30" s="987">
        <f>4179-730</f>
        <v>3449</v>
      </c>
      <c r="I30" s="987">
        <f>2120+85-1500</f>
        <v>705</v>
      </c>
      <c r="J30" s="987"/>
      <c r="K30" s="987"/>
      <c r="L30" s="987"/>
      <c r="M30" s="987"/>
      <c r="N30" s="987">
        <v>44</v>
      </c>
      <c r="O30" s="987"/>
      <c r="P30" s="987"/>
      <c r="Q30" s="987"/>
      <c r="R30" s="984"/>
      <c r="S30" s="637"/>
      <c r="T30" s="637"/>
      <c r="U30" s="637"/>
      <c r="V30" s="637"/>
      <c r="W30" s="637"/>
      <c r="X30" s="637"/>
      <c r="Y30" s="637"/>
      <c r="Z30" s="637"/>
      <c r="AA30" s="637"/>
      <c r="AB30" s="637"/>
      <c r="AC30" s="637"/>
      <c r="AD30" s="637"/>
      <c r="AE30" s="637"/>
      <c r="AF30" s="637"/>
      <c r="AG30" s="637"/>
      <c r="AH30" s="637"/>
      <c r="AI30" s="637"/>
      <c r="AJ30" s="637"/>
      <c r="AK30" s="637"/>
      <c r="AL30" s="637"/>
      <c r="AM30" s="637"/>
      <c r="AN30" s="637"/>
      <c r="AO30" s="637"/>
      <c r="AP30" s="637"/>
      <c r="AQ30" s="637"/>
      <c r="AR30" s="637"/>
      <c r="AS30" s="637"/>
      <c r="AT30" s="637"/>
      <c r="AU30" s="637"/>
      <c r="AV30" s="637"/>
      <c r="AW30" s="637"/>
      <c r="AX30" s="637"/>
      <c r="AY30" s="637"/>
      <c r="AZ30" s="637"/>
      <c r="BA30" s="637"/>
      <c r="BB30" s="637"/>
      <c r="BC30" s="637"/>
      <c r="BD30" s="637"/>
      <c r="BE30" s="637"/>
      <c r="BF30" s="637"/>
      <c r="BG30" s="637"/>
      <c r="BH30" s="637"/>
      <c r="BI30" s="637"/>
      <c r="BJ30" s="637"/>
      <c r="BK30" s="637"/>
      <c r="BL30" s="637"/>
      <c r="BM30" s="637"/>
      <c r="BN30" s="637"/>
      <c r="BO30" s="637"/>
      <c r="BP30" s="637"/>
      <c r="BQ30" s="637"/>
      <c r="BR30" s="637"/>
      <c r="BS30" s="637"/>
      <c r="BT30" s="637"/>
      <c r="BU30" s="637"/>
      <c r="BV30" s="637"/>
      <c r="BW30" s="637"/>
      <c r="BX30" s="637"/>
      <c r="BY30" s="637"/>
      <c r="BZ30" s="637"/>
      <c r="CA30" s="637"/>
      <c r="CB30" s="637"/>
      <c r="CC30" s="637"/>
      <c r="CD30" s="637"/>
      <c r="CE30" s="637"/>
      <c r="CF30" s="637"/>
      <c r="CG30" s="637"/>
      <c r="CH30" s="637"/>
      <c r="CI30" s="637"/>
      <c r="CJ30" s="637"/>
      <c r="CK30" s="637"/>
      <c r="CL30" s="637"/>
      <c r="CM30" s="637"/>
      <c r="CN30" s="637"/>
      <c r="CO30" s="637"/>
      <c r="CP30" s="637"/>
      <c r="CQ30" s="637"/>
      <c r="CR30" s="637"/>
      <c r="CS30" s="637"/>
      <c r="CT30" s="637"/>
      <c r="CU30" s="637"/>
      <c r="CV30" s="637"/>
      <c r="CW30" s="637"/>
      <c r="CX30" s="637"/>
      <c r="CY30" s="637"/>
      <c r="CZ30" s="637"/>
      <c r="DA30" s="637"/>
      <c r="DB30" s="637"/>
      <c r="DC30" s="637"/>
      <c r="DD30" s="637"/>
      <c r="DE30" s="637"/>
      <c r="DF30" s="637"/>
      <c r="DG30" s="637"/>
      <c r="DH30" s="637"/>
      <c r="DI30" s="637"/>
      <c r="DJ30" s="637"/>
      <c r="DK30" s="637"/>
      <c r="DL30" s="637"/>
      <c r="DM30" s="637"/>
      <c r="DN30" s="637"/>
      <c r="DO30" s="637"/>
      <c r="DP30" s="637"/>
      <c r="DQ30" s="637"/>
      <c r="DR30" s="637"/>
      <c r="DS30" s="637"/>
      <c r="DT30" s="637"/>
      <c r="DU30" s="637"/>
      <c r="DV30" s="637"/>
      <c r="DW30" s="637"/>
      <c r="DX30" s="637"/>
      <c r="DY30" s="637"/>
      <c r="DZ30" s="637"/>
      <c r="EA30" s="637"/>
      <c r="EB30" s="637"/>
      <c r="EC30" s="637"/>
      <c r="ED30" s="637"/>
      <c r="EE30" s="637"/>
      <c r="EF30" s="637"/>
      <c r="EG30" s="637"/>
      <c r="EH30" s="637"/>
      <c r="EI30" s="637"/>
      <c r="EJ30" s="637"/>
      <c r="EK30" s="637"/>
      <c r="EL30" s="637"/>
      <c r="EM30" s="637"/>
      <c r="EN30" s="637"/>
      <c r="EO30" s="637"/>
      <c r="EP30" s="637"/>
      <c r="EQ30" s="637"/>
      <c r="ER30" s="637"/>
      <c r="ES30" s="637"/>
      <c r="ET30" s="637"/>
      <c r="EU30" s="637"/>
      <c r="EV30" s="637"/>
      <c r="EW30" s="637"/>
      <c r="EX30" s="637"/>
      <c r="EY30" s="637"/>
      <c r="EZ30" s="637"/>
      <c r="FA30" s="637"/>
      <c r="FB30" s="637"/>
      <c r="FC30" s="637"/>
      <c r="FD30" s="637"/>
      <c r="FE30" s="637"/>
      <c r="FF30" s="637"/>
      <c r="FG30" s="637"/>
      <c r="FH30" s="637"/>
      <c r="FI30" s="637"/>
      <c r="FJ30" s="637"/>
      <c r="FK30" s="637"/>
      <c r="FL30" s="637"/>
      <c r="FM30" s="637"/>
      <c r="FN30" s="637"/>
      <c r="FO30" s="637"/>
      <c r="FP30" s="637"/>
      <c r="FQ30" s="637"/>
      <c r="FR30" s="637"/>
      <c r="FS30" s="637"/>
      <c r="FT30" s="637"/>
      <c r="FU30" s="637"/>
      <c r="FV30" s="637"/>
      <c r="FW30" s="637"/>
      <c r="FX30" s="637"/>
      <c r="FY30" s="637"/>
      <c r="FZ30" s="637"/>
      <c r="GA30" s="637"/>
      <c r="GB30" s="637"/>
      <c r="GC30" s="637"/>
      <c r="GD30" s="637"/>
      <c r="GE30" s="637"/>
      <c r="GF30" s="637"/>
      <c r="GG30" s="637"/>
      <c r="GH30" s="637"/>
      <c r="GI30" s="637"/>
      <c r="GJ30" s="637"/>
      <c r="GK30" s="637"/>
      <c r="GL30" s="637"/>
      <c r="GM30" s="637"/>
      <c r="GN30" s="637"/>
      <c r="GO30" s="637"/>
      <c r="GP30" s="637"/>
      <c r="GQ30" s="637"/>
      <c r="GR30" s="637"/>
      <c r="GS30" s="637"/>
      <c r="GT30" s="637"/>
      <c r="GU30" s="637"/>
      <c r="GV30" s="637"/>
      <c r="GW30" s="637"/>
      <c r="GX30" s="637"/>
      <c r="GY30" s="637"/>
      <c r="GZ30" s="637"/>
      <c r="HA30" s="637"/>
      <c r="HB30" s="637"/>
      <c r="HC30" s="637"/>
      <c r="HD30" s="637"/>
      <c r="HE30" s="637"/>
      <c r="HF30" s="637"/>
      <c r="HG30" s="637"/>
      <c r="HH30" s="637"/>
      <c r="HI30" s="637"/>
      <c r="HJ30" s="637"/>
      <c r="HK30" s="637"/>
      <c r="HL30" s="637"/>
      <c r="HM30" s="637"/>
      <c r="HN30" s="637"/>
      <c r="HO30" s="637"/>
      <c r="HP30" s="637"/>
      <c r="HQ30" s="637"/>
      <c r="HR30" s="637"/>
      <c r="HS30" s="637"/>
      <c r="HT30" s="637"/>
      <c r="HU30" s="637"/>
      <c r="HV30" s="637"/>
      <c r="HW30" s="637"/>
      <c r="HX30" s="637"/>
      <c r="HY30" s="637"/>
      <c r="HZ30" s="637"/>
      <c r="IA30" s="637"/>
      <c r="IB30" s="637"/>
      <c r="IC30" s="637"/>
      <c r="ID30" s="637"/>
      <c r="IE30" s="637"/>
      <c r="IF30" s="637"/>
      <c r="IG30" s="637"/>
      <c r="IH30" s="637"/>
      <c r="II30" s="637"/>
      <c r="IJ30" s="637"/>
      <c r="IK30" s="637"/>
      <c r="IL30" s="637"/>
      <c r="IM30" s="637"/>
      <c r="IN30" s="637"/>
      <c r="IO30" s="637"/>
      <c r="IP30" s="637"/>
      <c r="IQ30" s="637"/>
      <c r="IR30" s="637"/>
      <c r="IS30" s="637"/>
      <c r="IT30" s="637"/>
      <c r="IU30" s="637"/>
      <c r="IV30" s="637"/>
      <c r="IW30" s="637"/>
      <c r="IX30" s="637"/>
      <c r="IY30" s="637"/>
      <c r="IZ30" s="637"/>
      <c r="JA30" s="637"/>
      <c r="JB30" s="637"/>
      <c r="JC30" s="637"/>
      <c r="JD30" s="637"/>
      <c r="JE30" s="637"/>
      <c r="JF30" s="637"/>
      <c r="JG30" s="637"/>
      <c r="JH30" s="637"/>
      <c r="JI30" s="637"/>
      <c r="JJ30" s="637"/>
      <c r="JK30" s="637"/>
      <c r="JL30" s="637"/>
      <c r="JM30" s="637"/>
      <c r="JN30" s="637"/>
      <c r="JO30" s="637"/>
      <c r="JP30" s="637"/>
      <c r="JQ30" s="637"/>
      <c r="JR30" s="637"/>
      <c r="JS30" s="637"/>
      <c r="JT30" s="637"/>
      <c r="JU30" s="637"/>
      <c r="JV30" s="637"/>
      <c r="JW30" s="637"/>
      <c r="JX30" s="637"/>
      <c r="JY30" s="637"/>
      <c r="JZ30" s="637"/>
      <c r="KA30" s="637"/>
      <c r="KB30" s="637"/>
      <c r="KC30" s="637"/>
      <c r="KD30" s="637"/>
      <c r="KE30" s="637"/>
      <c r="KF30" s="637"/>
      <c r="KG30" s="637"/>
      <c r="KH30" s="637"/>
      <c r="KI30" s="637"/>
      <c r="KJ30" s="637"/>
      <c r="KK30" s="637"/>
      <c r="KL30" s="637"/>
      <c r="KM30" s="637"/>
      <c r="KN30" s="637"/>
      <c r="KO30" s="637"/>
      <c r="KP30" s="637"/>
      <c r="KQ30" s="637"/>
      <c r="KR30" s="637"/>
      <c r="KS30" s="637"/>
      <c r="KT30" s="637"/>
      <c r="KU30" s="637"/>
      <c r="KV30" s="637"/>
      <c r="KW30" s="637"/>
      <c r="KX30" s="637"/>
      <c r="KY30" s="637"/>
      <c r="KZ30" s="637"/>
      <c r="LA30" s="637"/>
      <c r="LB30" s="637"/>
      <c r="LC30" s="637"/>
      <c r="LD30" s="637"/>
      <c r="LE30" s="637"/>
      <c r="LF30" s="637"/>
      <c r="LG30" s="637"/>
      <c r="LH30" s="637"/>
      <c r="LI30" s="637"/>
      <c r="LJ30" s="637"/>
      <c r="LK30" s="637"/>
      <c r="LL30" s="637"/>
      <c r="LM30" s="637"/>
      <c r="LN30" s="637"/>
      <c r="LO30" s="637"/>
      <c r="LP30" s="637"/>
      <c r="LQ30" s="637"/>
      <c r="LR30" s="637"/>
      <c r="LS30" s="637"/>
      <c r="LT30" s="637"/>
      <c r="LU30" s="637"/>
      <c r="LV30" s="637"/>
      <c r="LW30" s="637"/>
      <c r="LX30" s="637"/>
      <c r="LY30" s="637"/>
      <c r="LZ30" s="637"/>
      <c r="MA30" s="637"/>
      <c r="MB30" s="637"/>
      <c r="MC30" s="637"/>
      <c r="MD30" s="637"/>
      <c r="ME30" s="637"/>
      <c r="MF30" s="637"/>
      <c r="MG30" s="637"/>
      <c r="MH30" s="637"/>
      <c r="MI30" s="637"/>
      <c r="MJ30" s="637"/>
      <c r="MK30" s="637"/>
      <c r="ML30" s="637"/>
      <c r="MM30" s="637"/>
      <c r="MN30" s="637"/>
      <c r="MO30" s="637"/>
      <c r="MP30" s="637"/>
      <c r="MQ30" s="637"/>
      <c r="MR30" s="637"/>
      <c r="MS30" s="637"/>
      <c r="MT30" s="637"/>
      <c r="MU30" s="637"/>
      <c r="MV30" s="637"/>
      <c r="MW30" s="637"/>
      <c r="MX30" s="637"/>
      <c r="MY30" s="637"/>
      <c r="MZ30" s="637"/>
      <c r="NA30" s="637"/>
      <c r="NB30" s="637"/>
      <c r="NC30" s="637"/>
      <c r="ND30" s="637"/>
      <c r="NE30" s="637"/>
      <c r="NF30" s="637"/>
      <c r="NG30" s="637"/>
      <c r="NH30" s="637"/>
      <c r="NI30" s="637"/>
      <c r="NJ30" s="637"/>
      <c r="NK30" s="637"/>
      <c r="NL30" s="637"/>
      <c r="NM30" s="637"/>
      <c r="NN30" s="637"/>
      <c r="NO30" s="637"/>
      <c r="NP30" s="637"/>
      <c r="NQ30" s="637"/>
      <c r="NR30" s="637"/>
      <c r="NS30" s="637"/>
      <c r="NT30" s="637"/>
      <c r="NU30" s="637"/>
      <c r="NV30" s="637"/>
      <c r="NW30" s="637"/>
      <c r="NX30" s="637"/>
      <c r="NY30" s="637"/>
      <c r="NZ30" s="637"/>
      <c r="OA30" s="637"/>
      <c r="OB30" s="637"/>
      <c r="OC30" s="637"/>
      <c r="OD30" s="637"/>
      <c r="OE30" s="637"/>
      <c r="OF30" s="637"/>
      <c r="OG30" s="637"/>
      <c r="OH30" s="637"/>
      <c r="OI30" s="637"/>
      <c r="OJ30" s="637"/>
      <c r="OK30" s="637"/>
      <c r="OL30" s="637"/>
      <c r="OM30" s="637"/>
      <c r="ON30" s="637"/>
      <c r="OO30" s="637"/>
      <c r="OP30" s="637"/>
      <c r="OQ30" s="637"/>
      <c r="OR30" s="637"/>
      <c r="OS30" s="637"/>
      <c r="OT30" s="637"/>
      <c r="OU30" s="637"/>
      <c r="OV30" s="637"/>
      <c r="OW30" s="637"/>
      <c r="OX30" s="637"/>
      <c r="OY30" s="637"/>
      <c r="OZ30" s="637"/>
      <c r="PA30" s="637"/>
      <c r="PB30" s="637"/>
      <c r="PC30" s="637"/>
      <c r="PD30" s="637"/>
      <c r="PE30" s="637"/>
      <c r="PF30" s="637"/>
      <c r="PG30" s="637"/>
      <c r="PH30" s="637"/>
      <c r="PI30" s="637"/>
      <c r="PJ30" s="637"/>
      <c r="PK30" s="637"/>
      <c r="PL30" s="637"/>
      <c r="PM30" s="637"/>
      <c r="PN30" s="637"/>
      <c r="PO30" s="637"/>
      <c r="PP30" s="637"/>
      <c r="PQ30" s="637"/>
      <c r="PR30" s="637"/>
      <c r="PS30" s="637"/>
      <c r="PT30" s="637"/>
      <c r="PU30" s="637"/>
      <c r="PV30" s="637"/>
      <c r="PW30" s="637"/>
      <c r="PX30" s="637"/>
      <c r="PY30" s="637"/>
      <c r="PZ30" s="637"/>
      <c r="QA30" s="637"/>
      <c r="QB30" s="637"/>
      <c r="QC30" s="637"/>
      <c r="QD30" s="637"/>
      <c r="QE30" s="637"/>
      <c r="QF30" s="637"/>
      <c r="QG30" s="637"/>
      <c r="QH30" s="637"/>
      <c r="QI30" s="637"/>
      <c r="QJ30" s="637"/>
      <c r="QK30" s="637"/>
      <c r="QL30" s="637"/>
      <c r="QM30" s="637"/>
      <c r="QN30" s="637"/>
      <c r="QO30" s="637"/>
      <c r="QP30" s="637"/>
      <c r="QQ30" s="637"/>
      <c r="QR30" s="637"/>
      <c r="QS30" s="637"/>
      <c r="QT30" s="637"/>
      <c r="QU30" s="637"/>
      <c r="QV30" s="637"/>
      <c r="QW30" s="637"/>
      <c r="QX30" s="637"/>
      <c r="QY30" s="637"/>
      <c r="QZ30" s="637"/>
      <c r="RA30" s="637"/>
      <c r="RB30" s="637"/>
      <c r="RC30" s="637"/>
      <c r="RD30" s="637"/>
      <c r="RE30" s="637"/>
      <c r="RF30" s="637"/>
      <c r="RG30" s="637"/>
      <c r="RH30" s="637"/>
      <c r="RI30" s="637"/>
      <c r="RJ30" s="637"/>
      <c r="RK30" s="637"/>
      <c r="RL30" s="637"/>
      <c r="RM30" s="637"/>
      <c r="RN30" s="637"/>
      <c r="RO30" s="637"/>
      <c r="RP30" s="637"/>
      <c r="RQ30" s="637"/>
      <c r="RR30" s="637"/>
      <c r="RS30" s="637"/>
      <c r="RT30" s="637"/>
      <c r="RU30" s="637"/>
      <c r="RV30" s="637"/>
      <c r="RW30" s="637"/>
      <c r="RX30" s="637"/>
      <c r="RY30" s="637"/>
      <c r="RZ30" s="637"/>
      <c r="SA30" s="637"/>
      <c r="SB30" s="637"/>
      <c r="SC30" s="637"/>
      <c r="SD30" s="637"/>
      <c r="SE30" s="637"/>
      <c r="SF30" s="637"/>
      <c r="SG30" s="637"/>
      <c r="SH30" s="637"/>
      <c r="SI30" s="637"/>
      <c r="SJ30" s="637"/>
      <c r="SK30" s="637"/>
      <c r="SL30" s="637"/>
      <c r="SM30" s="637"/>
      <c r="SN30" s="637"/>
      <c r="SO30" s="637"/>
      <c r="SP30" s="637"/>
      <c r="SQ30" s="637"/>
      <c r="SR30" s="637"/>
      <c r="SS30" s="637"/>
      <c r="ST30" s="637"/>
      <c r="SU30" s="637"/>
      <c r="SV30" s="637"/>
      <c r="SW30" s="637"/>
      <c r="SX30" s="637"/>
      <c r="SY30" s="637"/>
      <c r="SZ30" s="637"/>
      <c r="TA30" s="637"/>
      <c r="TB30" s="637"/>
      <c r="TC30" s="637"/>
      <c r="TD30" s="637"/>
      <c r="TE30" s="637"/>
      <c r="TF30" s="637"/>
      <c r="TG30" s="637"/>
      <c r="TH30" s="637"/>
      <c r="TI30" s="637"/>
      <c r="TJ30" s="637"/>
      <c r="TK30" s="637"/>
      <c r="TL30" s="637"/>
      <c r="TM30" s="637"/>
      <c r="TN30" s="637"/>
      <c r="TO30" s="637"/>
      <c r="TP30" s="637"/>
      <c r="TQ30" s="637"/>
      <c r="TR30" s="637"/>
      <c r="TS30" s="637"/>
      <c r="TT30" s="637"/>
      <c r="TU30" s="637"/>
      <c r="TV30" s="637"/>
      <c r="TW30" s="637"/>
      <c r="TX30" s="637"/>
      <c r="TY30" s="637"/>
      <c r="TZ30" s="637"/>
      <c r="UA30" s="637"/>
      <c r="UB30" s="637"/>
      <c r="UC30" s="637"/>
      <c r="UD30" s="637"/>
      <c r="UE30" s="637"/>
      <c r="UF30" s="637"/>
      <c r="UG30" s="637"/>
      <c r="UH30" s="637"/>
      <c r="UI30" s="637"/>
      <c r="UJ30" s="637"/>
      <c r="UK30" s="637"/>
      <c r="UL30" s="637"/>
      <c r="UM30" s="637"/>
      <c r="UN30" s="637"/>
      <c r="UO30" s="637"/>
      <c r="UP30" s="637"/>
      <c r="UQ30" s="637"/>
      <c r="UR30" s="637"/>
      <c r="US30" s="637"/>
      <c r="UT30" s="637"/>
      <c r="UU30" s="637"/>
      <c r="UV30" s="637"/>
      <c r="UW30" s="637"/>
      <c r="UX30" s="637"/>
      <c r="UY30" s="637"/>
      <c r="UZ30" s="637"/>
      <c r="VA30" s="637"/>
      <c r="VB30" s="637"/>
      <c r="VC30" s="637"/>
      <c r="VD30" s="637"/>
      <c r="VE30" s="637"/>
      <c r="VF30" s="637"/>
      <c r="VG30" s="637"/>
      <c r="VH30" s="637"/>
      <c r="VI30" s="637"/>
      <c r="VJ30" s="637"/>
      <c r="VK30" s="637"/>
      <c r="VL30" s="637"/>
      <c r="VM30" s="637"/>
      <c r="VN30" s="637"/>
      <c r="VO30" s="637"/>
      <c r="VP30" s="637"/>
      <c r="VQ30" s="637"/>
      <c r="VR30" s="637"/>
      <c r="VS30" s="637"/>
      <c r="VT30" s="637"/>
      <c r="VU30" s="637"/>
      <c r="VV30" s="637"/>
      <c r="VW30" s="637"/>
      <c r="VX30" s="637"/>
      <c r="VY30" s="637"/>
      <c r="VZ30" s="637"/>
      <c r="WA30" s="637"/>
      <c r="WB30" s="637"/>
      <c r="WC30" s="637"/>
      <c r="WD30" s="637"/>
      <c r="WE30" s="637"/>
      <c r="WF30" s="637"/>
      <c r="WG30" s="637"/>
      <c r="WH30" s="637"/>
      <c r="WI30" s="637"/>
      <c r="WJ30" s="637"/>
      <c r="WK30" s="637"/>
      <c r="WL30" s="637"/>
      <c r="WM30" s="637"/>
      <c r="WN30" s="637"/>
      <c r="WO30" s="637"/>
      <c r="WP30" s="637"/>
      <c r="WQ30" s="637"/>
      <c r="WR30" s="637"/>
      <c r="WS30" s="637"/>
      <c r="WT30" s="637"/>
      <c r="WU30" s="637"/>
      <c r="WV30" s="637"/>
      <c r="WW30" s="637"/>
      <c r="WX30" s="637"/>
      <c r="WY30" s="637"/>
      <c r="WZ30" s="637"/>
      <c r="XA30" s="637"/>
      <c r="XB30" s="637"/>
      <c r="XC30" s="637"/>
      <c r="XD30" s="637"/>
      <c r="XE30" s="637"/>
      <c r="XF30" s="637"/>
      <c r="XG30" s="637"/>
      <c r="XH30" s="637"/>
      <c r="XI30" s="637"/>
      <c r="XJ30" s="637"/>
      <c r="XK30" s="637"/>
      <c r="XL30" s="637"/>
      <c r="XM30" s="637"/>
      <c r="XN30" s="637"/>
      <c r="XO30" s="637"/>
      <c r="XP30" s="637"/>
      <c r="XQ30" s="637"/>
      <c r="XR30" s="637"/>
      <c r="XS30" s="637"/>
      <c r="XT30" s="637"/>
      <c r="XU30" s="637"/>
      <c r="XV30" s="637"/>
      <c r="XW30" s="637"/>
      <c r="XX30" s="637"/>
      <c r="XY30" s="637"/>
      <c r="XZ30" s="637"/>
      <c r="YA30" s="637"/>
      <c r="YB30" s="637"/>
      <c r="YC30" s="637"/>
      <c r="YD30" s="637"/>
      <c r="YE30" s="637"/>
      <c r="YF30" s="637"/>
      <c r="YG30" s="637"/>
      <c r="YH30" s="637"/>
      <c r="YI30" s="637"/>
      <c r="YJ30" s="637"/>
      <c r="YK30" s="637"/>
      <c r="YL30" s="637"/>
      <c r="YM30" s="637"/>
      <c r="YN30" s="637"/>
      <c r="YO30" s="637"/>
      <c r="YP30" s="637"/>
      <c r="YQ30" s="637"/>
      <c r="YR30" s="637"/>
      <c r="YS30" s="637"/>
      <c r="YT30" s="637"/>
      <c r="YU30" s="637"/>
      <c r="YV30" s="637"/>
      <c r="YW30" s="637"/>
      <c r="YX30" s="637"/>
      <c r="YY30" s="637"/>
      <c r="YZ30" s="637"/>
      <c r="ZA30" s="637"/>
      <c r="ZB30" s="637"/>
      <c r="ZC30" s="637"/>
      <c r="ZD30" s="637"/>
      <c r="ZE30" s="637"/>
      <c r="ZF30" s="637"/>
      <c r="ZG30" s="637"/>
      <c r="ZH30" s="637"/>
      <c r="ZI30" s="637"/>
      <c r="ZJ30" s="637"/>
      <c r="ZK30" s="637"/>
      <c r="ZL30" s="637"/>
      <c r="ZM30" s="637"/>
      <c r="ZN30" s="637"/>
      <c r="ZO30" s="637"/>
      <c r="ZP30" s="637"/>
      <c r="ZQ30" s="637"/>
      <c r="ZR30" s="637"/>
      <c r="ZS30" s="637"/>
      <c r="ZT30" s="637"/>
      <c r="ZU30" s="637"/>
      <c r="ZV30" s="637"/>
      <c r="ZW30" s="637"/>
      <c r="ZX30" s="637"/>
      <c r="ZY30" s="637"/>
      <c r="ZZ30" s="637"/>
      <c r="AAA30" s="637"/>
      <c r="AAB30" s="637"/>
      <c r="AAC30" s="637"/>
      <c r="AAD30" s="637"/>
      <c r="AAE30" s="637"/>
      <c r="AAF30" s="637"/>
      <c r="AAG30" s="637"/>
      <c r="AAH30" s="637"/>
      <c r="AAI30" s="637"/>
      <c r="AAJ30" s="637"/>
      <c r="AAK30" s="637"/>
      <c r="AAL30" s="637"/>
      <c r="AAM30" s="637"/>
      <c r="AAN30" s="637"/>
      <c r="AAO30" s="637"/>
      <c r="AAP30" s="637"/>
      <c r="AAQ30" s="637"/>
      <c r="AAR30" s="637"/>
      <c r="AAS30" s="637"/>
      <c r="AAT30" s="637"/>
      <c r="AAU30" s="637"/>
      <c r="AAV30" s="637"/>
      <c r="AAW30" s="637"/>
      <c r="AAX30" s="637"/>
      <c r="AAY30" s="637"/>
      <c r="AAZ30" s="637"/>
      <c r="ABA30" s="637"/>
      <c r="ABB30" s="637"/>
      <c r="ABC30" s="637"/>
      <c r="ABD30" s="637"/>
      <c r="ABE30" s="637"/>
      <c r="ABF30" s="637"/>
      <c r="ABG30" s="637"/>
      <c r="ABH30" s="637"/>
      <c r="ABI30" s="637"/>
      <c r="ABJ30" s="637"/>
      <c r="ABK30" s="637"/>
      <c r="ABL30" s="637"/>
      <c r="ABM30" s="637"/>
      <c r="ABN30" s="637"/>
      <c r="ABO30" s="637"/>
      <c r="ABP30" s="637"/>
      <c r="ABQ30" s="637"/>
      <c r="ABR30" s="637"/>
      <c r="ABS30" s="637"/>
      <c r="ABT30" s="637"/>
      <c r="ABU30" s="637"/>
      <c r="ABV30" s="637"/>
      <c r="ABW30" s="637"/>
      <c r="ABX30" s="637"/>
      <c r="ABY30" s="637"/>
      <c r="ABZ30" s="637"/>
      <c r="ACA30" s="637"/>
      <c r="ACB30" s="637"/>
      <c r="ACC30" s="637"/>
      <c r="ACD30" s="637"/>
      <c r="ACE30" s="637"/>
      <c r="ACF30" s="637"/>
      <c r="ACG30" s="637"/>
      <c r="ACH30" s="637"/>
      <c r="ACI30" s="637"/>
      <c r="ACJ30" s="637"/>
      <c r="ACK30" s="637"/>
      <c r="ACL30" s="637"/>
      <c r="ACM30" s="637"/>
      <c r="ACN30" s="637"/>
      <c r="ACO30" s="637"/>
      <c r="ACP30" s="637"/>
      <c r="ACQ30" s="637"/>
      <c r="ACR30" s="637"/>
      <c r="ACS30" s="637"/>
      <c r="ACT30" s="637"/>
      <c r="ACU30" s="637"/>
      <c r="ACV30" s="637"/>
      <c r="ACW30" s="637"/>
      <c r="ACX30" s="637"/>
      <c r="ACY30" s="637"/>
      <c r="ACZ30" s="637"/>
      <c r="ADA30" s="637"/>
      <c r="ADB30" s="637"/>
      <c r="ADC30" s="637"/>
      <c r="ADD30" s="637"/>
      <c r="ADE30" s="637"/>
      <c r="ADF30" s="637"/>
      <c r="ADG30" s="637"/>
      <c r="ADH30" s="637"/>
      <c r="ADI30" s="637"/>
      <c r="ADJ30" s="637"/>
      <c r="ADK30" s="637"/>
      <c r="ADL30" s="637"/>
      <c r="ADM30" s="637"/>
      <c r="ADN30" s="637"/>
      <c r="ADO30" s="637"/>
      <c r="ADP30" s="637"/>
      <c r="ADQ30" s="637"/>
      <c r="ADR30" s="637"/>
      <c r="ADS30" s="637"/>
      <c r="ADT30" s="637"/>
      <c r="ADU30" s="637"/>
      <c r="ADV30" s="637"/>
      <c r="ADW30" s="637"/>
      <c r="ADX30" s="637"/>
      <c r="ADY30" s="637"/>
      <c r="ADZ30" s="637"/>
      <c r="AEA30" s="637"/>
      <c r="AEB30" s="637"/>
      <c r="AEC30" s="637"/>
      <c r="AED30" s="637"/>
      <c r="AEE30" s="637"/>
      <c r="AEF30" s="637"/>
      <c r="AEG30" s="637"/>
      <c r="AEH30" s="637"/>
      <c r="AEI30" s="637"/>
      <c r="AEJ30" s="637"/>
      <c r="AEK30" s="637"/>
      <c r="AEL30" s="637"/>
      <c r="AEM30" s="637"/>
      <c r="AEN30" s="637"/>
      <c r="AEO30" s="637"/>
      <c r="AEP30" s="637"/>
      <c r="AEQ30" s="637"/>
      <c r="AER30" s="637"/>
      <c r="AES30" s="637"/>
      <c r="AET30" s="637"/>
      <c r="AEU30" s="637"/>
      <c r="AEV30" s="637"/>
      <c r="AEW30" s="637"/>
      <c r="AEX30" s="637"/>
      <c r="AEY30" s="637"/>
      <c r="AEZ30" s="637"/>
      <c r="AFA30" s="637"/>
      <c r="AFB30" s="637"/>
      <c r="AFC30" s="637"/>
      <c r="AFD30" s="637"/>
      <c r="AFE30" s="637"/>
      <c r="AFF30" s="637"/>
      <c r="AFG30" s="637"/>
      <c r="AFH30" s="637"/>
      <c r="AFI30" s="637"/>
      <c r="AFJ30" s="637"/>
      <c r="AFK30" s="637"/>
      <c r="AFL30" s="637"/>
      <c r="AFM30" s="637"/>
      <c r="AFN30" s="637"/>
      <c r="AFO30" s="637"/>
      <c r="AFP30" s="637"/>
      <c r="AFQ30" s="637"/>
      <c r="AFR30" s="637"/>
      <c r="AFS30" s="637"/>
      <c r="AFT30" s="637"/>
      <c r="AFU30" s="637"/>
      <c r="AFV30" s="637"/>
      <c r="AFW30" s="637"/>
      <c r="AFX30" s="637"/>
      <c r="AFY30" s="637"/>
      <c r="AFZ30" s="637"/>
      <c r="AGA30" s="637"/>
      <c r="AGB30" s="637"/>
      <c r="AGC30" s="637"/>
      <c r="AGD30" s="637"/>
      <c r="AGE30" s="637"/>
      <c r="AGF30" s="637"/>
      <c r="AGG30" s="637"/>
      <c r="AGH30" s="637"/>
      <c r="AGI30" s="637"/>
      <c r="AGJ30" s="637"/>
      <c r="AGK30" s="637"/>
      <c r="AGL30" s="637"/>
      <c r="AGM30" s="637"/>
      <c r="AGN30" s="637"/>
      <c r="AGO30" s="637"/>
      <c r="AGP30" s="637"/>
      <c r="AGQ30" s="637"/>
      <c r="AGR30" s="637"/>
      <c r="AGS30" s="637"/>
      <c r="AGT30" s="637"/>
      <c r="AGU30" s="637"/>
      <c r="AGV30" s="637"/>
      <c r="AGW30" s="637"/>
      <c r="AGX30" s="637"/>
      <c r="AGY30" s="637"/>
      <c r="AGZ30" s="637"/>
      <c r="AHA30" s="637"/>
      <c r="AHB30" s="637"/>
      <c r="AHC30" s="637"/>
      <c r="AHD30" s="637"/>
      <c r="AHE30" s="637"/>
      <c r="AHF30" s="637"/>
      <c r="AHG30" s="637"/>
      <c r="AHH30" s="637"/>
      <c r="AHI30" s="637"/>
      <c r="AHJ30" s="637"/>
      <c r="AHK30" s="637"/>
      <c r="AHL30" s="637"/>
      <c r="AHM30" s="637"/>
      <c r="AHN30" s="637"/>
      <c r="AHO30" s="637"/>
      <c r="AHP30" s="637"/>
      <c r="AHQ30" s="637"/>
      <c r="AHR30" s="637"/>
      <c r="AHS30" s="637"/>
      <c r="AHT30" s="637"/>
      <c r="AHU30" s="637"/>
      <c r="AHV30" s="637"/>
      <c r="AHW30" s="637"/>
      <c r="AHX30" s="637"/>
      <c r="AHY30" s="637"/>
      <c r="AHZ30" s="637"/>
      <c r="AIA30" s="637"/>
      <c r="AIB30" s="637"/>
      <c r="AIC30" s="637"/>
      <c r="AID30" s="637"/>
      <c r="AIE30" s="637"/>
      <c r="AIF30" s="637"/>
      <c r="AIG30" s="637"/>
      <c r="AIH30" s="637"/>
      <c r="AII30" s="637"/>
      <c r="AIJ30" s="637"/>
      <c r="AIK30" s="637"/>
      <c r="AIL30" s="637"/>
      <c r="AIM30" s="637"/>
      <c r="AIN30" s="637"/>
      <c r="AIO30" s="637"/>
      <c r="AIP30" s="637"/>
      <c r="AIQ30" s="637"/>
      <c r="AIR30" s="637"/>
      <c r="AIS30" s="637"/>
      <c r="AIT30" s="637"/>
      <c r="AIU30" s="637"/>
      <c r="AIV30" s="637"/>
      <c r="AIW30" s="637"/>
      <c r="AIX30" s="637"/>
      <c r="AIY30" s="637"/>
      <c r="AIZ30" s="637"/>
      <c r="AJA30" s="637"/>
      <c r="AJB30" s="637"/>
      <c r="AJC30" s="637"/>
      <c r="AJD30" s="637"/>
      <c r="AJE30" s="637"/>
      <c r="AJF30" s="637"/>
      <c r="AJG30" s="637"/>
      <c r="AJH30" s="637"/>
      <c r="AJI30" s="637"/>
      <c r="AJJ30" s="637"/>
      <c r="AJK30" s="637"/>
      <c r="AJL30" s="637"/>
      <c r="AJM30" s="637"/>
      <c r="AJN30" s="637"/>
      <c r="AJO30" s="637"/>
      <c r="AJP30" s="637"/>
      <c r="AJQ30" s="637"/>
      <c r="AJR30" s="637"/>
      <c r="AJS30" s="637"/>
      <c r="AJT30" s="637"/>
      <c r="AJU30" s="637"/>
      <c r="AJV30" s="637"/>
      <c r="AJW30" s="637"/>
      <c r="AJX30" s="637"/>
      <c r="AJY30" s="637"/>
      <c r="AJZ30" s="637"/>
      <c r="AKA30" s="637"/>
      <c r="AKB30" s="637"/>
      <c r="AKC30" s="637"/>
      <c r="AKD30" s="637"/>
      <c r="AKE30" s="637"/>
      <c r="AKF30" s="637"/>
      <c r="AKG30" s="637"/>
      <c r="AKH30" s="637"/>
      <c r="AKI30" s="637"/>
      <c r="AKJ30" s="637"/>
      <c r="AKK30" s="637"/>
      <c r="AKL30" s="637"/>
      <c r="AKM30" s="637"/>
      <c r="AKN30" s="637"/>
      <c r="AKO30" s="637"/>
      <c r="AKP30" s="637"/>
      <c r="AKQ30" s="637"/>
      <c r="AKR30" s="637"/>
      <c r="AKS30" s="637"/>
      <c r="AKT30" s="637"/>
      <c r="AKU30" s="637"/>
      <c r="AKV30" s="637"/>
      <c r="AKW30" s="637"/>
      <c r="AKX30" s="637"/>
      <c r="AKY30" s="637"/>
      <c r="AKZ30" s="637"/>
      <c r="ALA30" s="637"/>
      <c r="ALB30" s="637"/>
      <c r="ALC30" s="637"/>
      <c r="ALD30" s="637"/>
      <c r="ALE30" s="637"/>
      <c r="ALF30" s="637"/>
      <c r="ALG30" s="637"/>
      <c r="ALH30" s="637"/>
      <c r="ALI30" s="637"/>
      <c r="ALJ30" s="637"/>
      <c r="ALK30" s="637"/>
      <c r="ALL30" s="637"/>
      <c r="ALM30" s="637"/>
      <c r="ALN30" s="637"/>
      <c r="ALO30" s="637"/>
      <c r="ALP30" s="637"/>
      <c r="ALQ30" s="637"/>
      <c r="ALR30" s="637"/>
      <c r="ALS30" s="637"/>
      <c r="ALT30" s="637"/>
      <c r="ALU30" s="637"/>
      <c r="ALV30" s="637"/>
      <c r="ALW30" s="637"/>
      <c r="ALX30" s="637"/>
      <c r="ALY30" s="637"/>
      <c r="ALZ30" s="637"/>
      <c r="AMA30" s="637"/>
      <c r="AMB30" s="637"/>
      <c r="AMC30" s="637"/>
      <c r="AMD30" s="637"/>
      <c r="AME30" s="637"/>
      <c r="AMF30" s="637"/>
      <c r="AMG30" s="637"/>
      <c r="AMH30" s="637"/>
      <c r="AMI30" s="637"/>
      <c r="AMJ30" s="637"/>
    </row>
    <row r="31" spans="1:1024" s="638" customFormat="1" ht="12.75" hidden="1">
      <c r="A31" s="984"/>
      <c r="B31" s="985"/>
      <c r="C31" s="986"/>
      <c r="D31" s="988"/>
      <c r="E31" s="989"/>
      <c r="F31" s="989">
        <f t="shared" si="1"/>
        <v>15615</v>
      </c>
      <c r="G31" s="990">
        <v>11463</v>
      </c>
      <c r="H31" s="990">
        <v>3445</v>
      </c>
      <c r="I31" s="990">
        <v>663</v>
      </c>
      <c r="J31" s="990"/>
      <c r="K31" s="990"/>
      <c r="L31" s="990"/>
      <c r="M31" s="990"/>
      <c r="N31" s="990">
        <v>44</v>
      </c>
      <c r="O31" s="990"/>
      <c r="P31" s="990"/>
      <c r="Q31" s="990"/>
      <c r="R31" s="991"/>
      <c r="S31" s="637"/>
      <c r="T31" s="637"/>
      <c r="U31" s="637"/>
      <c r="V31" s="637"/>
      <c r="W31" s="637"/>
      <c r="X31" s="637"/>
      <c r="Y31" s="637"/>
      <c r="Z31" s="637"/>
      <c r="AA31" s="637"/>
      <c r="AB31" s="637"/>
      <c r="AC31" s="637"/>
      <c r="AD31" s="637"/>
      <c r="AE31" s="637"/>
      <c r="AF31" s="637"/>
      <c r="AG31" s="637"/>
      <c r="AH31" s="637"/>
      <c r="AI31" s="637"/>
      <c r="AJ31" s="637"/>
      <c r="AK31" s="637"/>
      <c r="AL31" s="637"/>
      <c r="AM31" s="637"/>
      <c r="AN31" s="637"/>
      <c r="AO31" s="637"/>
      <c r="AP31" s="637"/>
      <c r="AQ31" s="637"/>
      <c r="AR31" s="637"/>
      <c r="AS31" s="637"/>
      <c r="AT31" s="637"/>
      <c r="AU31" s="637"/>
      <c r="AV31" s="637"/>
      <c r="AW31" s="637"/>
      <c r="AX31" s="637"/>
      <c r="AY31" s="637"/>
      <c r="AZ31" s="637"/>
      <c r="BA31" s="637"/>
      <c r="BB31" s="637"/>
      <c r="BC31" s="637"/>
      <c r="BD31" s="637"/>
      <c r="BE31" s="637"/>
      <c r="BF31" s="637"/>
      <c r="BG31" s="637"/>
      <c r="BH31" s="637"/>
      <c r="BI31" s="637"/>
      <c r="BJ31" s="637"/>
      <c r="BK31" s="637"/>
      <c r="BL31" s="637"/>
      <c r="BM31" s="637"/>
      <c r="BN31" s="637"/>
      <c r="BO31" s="637"/>
      <c r="BP31" s="637"/>
      <c r="BQ31" s="637"/>
      <c r="BR31" s="637"/>
      <c r="BS31" s="637"/>
      <c r="BT31" s="637"/>
      <c r="BU31" s="637"/>
      <c r="BV31" s="637"/>
      <c r="BW31" s="637"/>
      <c r="BX31" s="637"/>
      <c r="BY31" s="637"/>
      <c r="BZ31" s="637"/>
      <c r="CA31" s="637"/>
      <c r="CB31" s="637"/>
      <c r="CC31" s="637"/>
      <c r="CD31" s="637"/>
      <c r="CE31" s="637"/>
      <c r="CF31" s="637"/>
      <c r="CG31" s="637"/>
      <c r="CH31" s="637"/>
      <c r="CI31" s="637"/>
      <c r="CJ31" s="637"/>
      <c r="CK31" s="637"/>
      <c r="CL31" s="637"/>
      <c r="CM31" s="637"/>
      <c r="CN31" s="637"/>
      <c r="CO31" s="637"/>
      <c r="CP31" s="637"/>
      <c r="CQ31" s="637"/>
      <c r="CR31" s="637"/>
      <c r="CS31" s="637"/>
      <c r="CT31" s="637"/>
      <c r="CU31" s="637"/>
      <c r="CV31" s="637"/>
      <c r="CW31" s="637"/>
      <c r="CX31" s="637"/>
      <c r="CY31" s="637"/>
      <c r="CZ31" s="637"/>
      <c r="DA31" s="637"/>
      <c r="DB31" s="637"/>
      <c r="DC31" s="637"/>
      <c r="DD31" s="637"/>
      <c r="DE31" s="637"/>
      <c r="DF31" s="637"/>
      <c r="DG31" s="637"/>
      <c r="DH31" s="637"/>
      <c r="DI31" s="637"/>
      <c r="DJ31" s="637"/>
      <c r="DK31" s="637"/>
      <c r="DL31" s="637"/>
      <c r="DM31" s="637"/>
      <c r="DN31" s="637"/>
      <c r="DO31" s="637"/>
      <c r="DP31" s="637"/>
      <c r="DQ31" s="637"/>
      <c r="DR31" s="637"/>
      <c r="DS31" s="637"/>
      <c r="DT31" s="637"/>
      <c r="DU31" s="637"/>
      <c r="DV31" s="637"/>
      <c r="DW31" s="637"/>
      <c r="DX31" s="637"/>
      <c r="DY31" s="637"/>
      <c r="DZ31" s="637"/>
      <c r="EA31" s="637"/>
      <c r="EB31" s="637"/>
      <c r="EC31" s="637"/>
      <c r="ED31" s="637"/>
      <c r="EE31" s="637"/>
      <c r="EF31" s="637"/>
      <c r="EG31" s="637"/>
      <c r="EH31" s="637"/>
      <c r="EI31" s="637"/>
      <c r="EJ31" s="637"/>
      <c r="EK31" s="637"/>
      <c r="EL31" s="637"/>
      <c r="EM31" s="637"/>
      <c r="EN31" s="637"/>
      <c r="EO31" s="637"/>
      <c r="EP31" s="637"/>
      <c r="EQ31" s="637"/>
      <c r="ER31" s="637"/>
      <c r="ES31" s="637"/>
      <c r="ET31" s="637"/>
      <c r="EU31" s="637"/>
      <c r="EV31" s="637"/>
      <c r="EW31" s="637"/>
      <c r="EX31" s="637"/>
      <c r="EY31" s="637"/>
      <c r="EZ31" s="637"/>
      <c r="FA31" s="637"/>
      <c r="FB31" s="637"/>
      <c r="FC31" s="637"/>
      <c r="FD31" s="637"/>
      <c r="FE31" s="637"/>
      <c r="FF31" s="637"/>
      <c r="FG31" s="637"/>
      <c r="FH31" s="637"/>
      <c r="FI31" s="637"/>
      <c r="FJ31" s="637"/>
      <c r="FK31" s="637"/>
      <c r="FL31" s="637"/>
      <c r="FM31" s="637"/>
      <c r="FN31" s="637"/>
      <c r="FO31" s="637"/>
      <c r="FP31" s="637"/>
      <c r="FQ31" s="637"/>
      <c r="FR31" s="637"/>
      <c r="FS31" s="637"/>
      <c r="FT31" s="637"/>
      <c r="FU31" s="637"/>
      <c r="FV31" s="637"/>
      <c r="FW31" s="637"/>
      <c r="FX31" s="637"/>
      <c r="FY31" s="637"/>
      <c r="FZ31" s="637"/>
      <c r="GA31" s="637"/>
      <c r="GB31" s="637"/>
      <c r="GC31" s="637"/>
      <c r="GD31" s="637"/>
      <c r="GE31" s="637"/>
      <c r="GF31" s="637"/>
      <c r="GG31" s="637"/>
      <c r="GH31" s="637"/>
      <c r="GI31" s="637"/>
      <c r="GJ31" s="637"/>
      <c r="GK31" s="637"/>
      <c r="GL31" s="637"/>
      <c r="GM31" s="637"/>
      <c r="GN31" s="637"/>
      <c r="GO31" s="637"/>
      <c r="GP31" s="637"/>
      <c r="GQ31" s="637"/>
      <c r="GR31" s="637"/>
      <c r="GS31" s="637"/>
      <c r="GT31" s="637"/>
      <c r="GU31" s="637"/>
      <c r="GV31" s="637"/>
      <c r="GW31" s="637"/>
      <c r="GX31" s="637"/>
      <c r="GY31" s="637"/>
      <c r="GZ31" s="637"/>
      <c r="HA31" s="637"/>
      <c r="HB31" s="637"/>
      <c r="HC31" s="637"/>
      <c r="HD31" s="637"/>
      <c r="HE31" s="637"/>
      <c r="HF31" s="637"/>
      <c r="HG31" s="637"/>
      <c r="HH31" s="637"/>
      <c r="HI31" s="637"/>
      <c r="HJ31" s="637"/>
      <c r="HK31" s="637"/>
      <c r="HL31" s="637"/>
      <c r="HM31" s="637"/>
      <c r="HN31" s="637"/>
      <c r="HO31" s="637"/>
      <c r="HP31" s="637"/>
      <c r="HQ31" s="637"/>
      <c r="HR31" s="637"/>
      <c r="HS31" s="637"/>
      <c r="HT31" s="637"/>
      <c r="HU31" s="637"/>
      <c r="HV31" s="637"/>
      <c r="HW31" s="637"/>
      <c r="HX31" s="637"/>
      <c r="HY31" s="637"/>
      <c r="HZ31" s="637"/>
      <c r="IA31" s="637"/>
      <c r="IB31" s="637"/>
      <c r="IC31" s="637"/>
      <c r="ID31" s="637"/>
      <c r="IE31" s="637"/>
      <c r="IF31" s="637"/>
      <c r="IG31" s="637"/>
      <c r="IH31" s="637"/>
      <c r="II31" s="637"/>
      <c r="IJ31" s="637"/>
      <c r="IK31" s="637"/>
      <c r="IL31" s="637"/>
      <c r="IM31" s="637"/>
      <c r="IN31" s="637"/>
      <c r="IO31" s="637"/>
      <c r="IP31" s="637"/>
      <c r="IQ31" s="637"/>
      <c r="IR31" s="637"/>
      <c r="IS31" s="637"/>
      <c r="IT31" s="637"/>
      <c r="IU31" s="637"/>
      <c r="IV31" s="637"/>
      <c r="IW31" s="637"/>
      <c r="IX31" s="637"/>
      <c r="IY31" s="637"/>
      <c r="IZ31" s="637"/>
      <c r="JA31" s="637"/>
      <c r="JB31" s="637"/>
      <c r="JC31" s="637"/>
      <c r="JD31" s="637"/>
      <c r="JE31" s="637"/>
      <c r="JF31" s="637"/>
      <c r="JG31" s="637"/>
      <c r="JH31" s="637"/>
      <c r="JI31" s="637"/>
      <c r="JJ31" s="637"/>
      <c r="JK31" s="637"/>
      <c r="JL31" s="637"/>
      <c r="JM31" s="637"/>
      <c r="JN31" s="637"/>
      <c r="JO31" s="637"/>
      <c r="JP31" s="637"/>
      <c r="JQ31" s="637"/>
      <c r="JR31" s="637"/>
      <c r="JS31" s="637"/>
      <c r="JT31" s="637"/>
      <c r="JU31" s="637"/>
      <c r="JV31" s="637"/>
      <c r="JW31" s="637"/>
      <c r="JX31" s="637"/>
      <c r="JY31" s="637"/>
      <c r="JZ31" s="637"/>
      <c r="KA31" s="637"/>
      <c r="KB31" s="637"/>
      <c r="KC31" s="637"/>
      <c r="KD31" s="637"/>
      <c r="KE31" s="637"/>
      <c r="KF31" s="637"/>
      <c r="KG31" s="637"/>
      <c r="KH31" s="637"/>
      <c r="KI31" s="637"/>
      <c r="KJ31" s="637"/>
      <c r="KK31" s="637"/>
      <c r="KL31" s="637"/>
      <c r="KM31" s="637"/>
      <c r="KN31" s="637"/>
      <c r="KO31" s="637"/>
      <c r="KP31" s="637"/>
      <c r="KQ31" s="637"/>
      <c r="KR31" s="637"/>
      <c r="KS31" s="637"/>
      <c r="KT31" s="637"/>
      <c r="KU31" s="637"/>
      <c r="KV31" s="637"/>
      <c r="KW31" s="637"/>
      <c r="KX31" s="637"/>
      <c r="KY31" s="637"/>
      <c r="KZ31" s="637"/>
      <c r="LA31" s="637"/>
      <c r="LB31" s="637"/>
      <c r="LC31" s="637"/>
      <c r="LD31" s="637"/>
      <c r="LE31" s="637"/>
      <c r="LF31" s="637"/>
      <c r="LG31" s="637"/>
      <c r="LH31" s="637"/>
      <c r="LI31" s="637"/>
      <c r="LJ31" s="637"/>
      <c r="LK31" s="637"/>
      <c r="LL31" s="637"/>
      <c r="LM31" s="637"/>
      <c r="LN31" s="637"/>
      <c r="LO31" s="637"/>
      <c r="LP31" s="637"/>
      <c r="LQ31" s="637"/>
      <c r="LR31" s="637"/>
      <c r="LS31" s="637"/>
      <c r="LT31" s="637"/>
      <c r="LU31" s="637"/>
      <c r="LV31" s="637"/>
      <c r="LW31" s="637"/>
      <c r="LX31" s="637"/>
      <c r="LY31" s="637"/>
      <c r="LZ31" s="637"/>
      <c r="MA31" s="637"/>
      <c r="MB31" s="637"/>
      <c r="MC31" s="637"/>
      <c r="MD31" s="637"/>
      <c r="ME31" s="637"/>
      <c r="MF31" s="637"/>
      <c r="MG31" s="637"/>
      <c r="MH31" s="637"/>
      <c r="MI31" s="637"/>
      <c r="MJ31" s="637"/>
      <c r="MK31" s="637"/>
      <c r="ML31" s="637"/>
      <c r="MM31" s="637"/>
      <c r="MN31" s="637"/>
      <c r="MO31" s="637"/>
      <c r="MP31" s="637"/>
      <c r="MQ31" s="637"/>
      <c r="MR31" s="637"/>
      <c r="MS31" s="637"/>
      <c r="MT31" s="637"/>
      <c r="MU31" s="637"/>
      <c r="MV31" s="637"/>
      <c r="MW31" s="637"/>
      <c r="MX31" s="637"/>
      <c r="MY31" s="637"/>
      <c r="MZ31" s="637"/>
      <c r="NA31" s="637"/>
      <c r="NB31" s="637"/>
      <c r="NC31" s="637"/>
      <c r="ND31" s="637"/>
      <c r="NE31" s="637"/>
      <c r="NF31" s="637"/>
      <c r="NG31" s="637"/>
      <c r="NH31" s="637"/>
      <c r="NI31" s="637"/>
      <c r="NJ31" s="637"/>
      <c r="NK31" s="637"/>
      <c r="NL31" s="637"/>
      <c r="NM31" s="637"/>
      <c r="NN31" s="637"/>
      <c r="NO31" s="637"/>
      <c r="NP31" s="637"/>
      <c r="NQ31" s="637"/>
      <c r="NR31" s="637"/>
      <c r="NS31" s="637"/>
      <c r="NT31" s="637"/>
      <c r="NU31" s="637"/>
      <c r="NV31" s="637"/>
      <c r="NW31" s="637"/>
      <c r="NX31" s="637"/>
      <c r="NY31" s="637"/>
      <c r="NZ31" s="637"/>
      <c r="OA31" s="637"/>
      <c r="OB31" s="637"/>
      <c r="OC31" s="637"/>
      <c r="OD31" s="637"/>
      <c r="OE31" s="637"/>
      <c r="OF31" s="637"/>
      <c r="OG31" s="637"/>
      <c r="OH31" s="637"/>
      <c r="OI31" s="637"/>
      <c r="OJ31" s="637"/>
      <c r="OK31" s="637"/>
      <c r="OL31" s="637"/>
      <c r="OM31" s="637"/>
      <c r="ON31" s="637"/>
      <c r="OO31" s="637"/>
      <c r="OP31" s="637"/>
      <c r="OQ31" s="637"/>
      <c r="OR31" s="637"/>
      <c r="OS31" s="637"/>
      <c r="OT31" s="637"/>
      <c r="OU31" s="637"/>
      <c r="OV31" s="637"/>
      <c r="OW31" s="637"/>
      <c r="OX31" s="637"/>
      <c r="OY31" s="637"/>
      <c r="OZ31" s="637"/>
      <c r="PA31" s="637"/>
      <c r="PB31" s="637"/>
      <c r="PC31" s="637"/>
      <c r="PD31" s="637"/>
      <c r="PE31" s="637"/>
      <c r="PF31" s="637"/>
      <c r="PG31" s="637"/>
      <c r="PH31" s="637"/>
      <c r="PI31" s="637"/>
      <c r="PJ31" s="637"/>
      <c r="PK31" s="637"/>
      <c r="PL31" s="637"/>
      <c r="PM31" s="637"/>
      <c r="PN31" s="637"/>
      <c r="PO31" s="637"/>
      <c r="PP31" s="637"/>
      <c r="PQ31" s="637"/>
      <c r="PR31" s="637"/>
      <c r="PS31" s="637"/>
      <c r="PT31" s="637"/>
      <c r="PU31" s="637"/>
      <c r="PV31" s="637"/>
      <c r="PW31" s="637"/>
      <c r="PX31" s="637"/>
      <c r="PY31" s="637"/>
      <c r="PZ31" s="637"/>
      <c r="QA31" s="637"/>
      <c r="QB31" s="637"/>
      <c r="QC31" s="637"/>
      <c r="QD31" s="637"/>
      <c r="QE31" s="637"/>
      <c r="QF31" s="637"/>
      <c r="QG31" s="637"/>
      <c r="QH31" s="637"/>
      <c r="QI31" s="637"/>
      <c r="QJ31" s="637"/>
      <c r="QK31" s="637"/>
      <c r="QL31" s="637"/>
      <c r="QM31" s="637"/>
      <c r="QN31" s="637"/>
      <c r="QO31" s="637"/>
      <c r="QP31" s="637"/>
      <c r="QQ31" s="637"/>
      <c r="QR31" s="637"/>
      <c r="QS31" s="637"/>
      <c r="QT31" s="637"/>
      <c r="QU31" s="637"/>
      <c r="QV31" s="637"/>
      <c r="QW31" s="637"/>
      <c r="QX31" s="637"/>
      <c r="QY31" s="637"/>
      <c r="QZ31" s="637"/>
      <c r="RA31" s="637"/>
      <c r="RB31" s="637"/>
      <c r="RC31" s="637"/>
      <c r="RD31" s="637"/>
      <c r="RE31" s="637"/>
      <c r="RF31" s="637"/>
      <c r="RG31" s="637"/>
      <c r="RH31" s="637"/>
      <c r="RI31" s="637"/>
      <c r="RJ31" s="637"/>
      <c r="RK31" s="637"/>
      <c r="RL31" s="637"/>
      <c r="RM31" s="637"/>
      <c r="RN31" s="637"/>
      <c r="RO31" s="637"/>
      <c r="RP31" s="637"/>
      <c r="RQ31" s="637"/>
      <c r="RR31" s="637"/>
      <c r="RS31" s="637"/>
      <c r="RT31" s="637"/>
      <c r="RU31" s="637"/>
      <c r="RV31" s="637"/>
      <c r="RW31" s="637"/>
      <c r="RX31" s="637"/>
      <c r="RY31" s="637"/>
      <c r="RZ31" s="637"/>
      <c r="SA31" s="637"/>
      <c r="SB31" s="637"/>
      <c r="SC31" s="637"/>
      <c r="SD31" s="637"/>
      <c r="SE31" s="637"/>
      <c r="SF31" s="637"/>
      <c r="SG31" s="637"/>
      <c r="SH31" s="637"/>
      <c r="SI31" s="637"/>
      <c r="SJ31" s="637"/>
      <c r="SK31" s="637"/>
      <c r="SL31" s="637"/>
      <c r="SM31" s="637"/>
      <c r="SN31" s="637"/>
      <c r="SO31" s="637"/>
      <c r="SP31" s="637"/>
      <c r="SQ31" s="637"/>
      <c r="SR31" s="637"/>
      <c r="SS31" s="637"/>
      <c r="ST31" s="637"/>
      <c r="SU31" s="637"/>
      <c r="SV31" s="637"/>
      <c r="SW31" s="637"/>
      <c r="SX31" s="637"/>
      <c r="SY31" s="637"/>
      <c r="SZ31" s="637"/>
      <c r="TA31" s="637"/>
      <c r="TB31" s="637"/>
      <c r="TC31" s="637"/>
      <c r="TD31" s="637"/>
      <c r="TE31" s="637"/>
      <c r="TF31" s="637"/>
      <c r="TG31" s="637"/>
      <c r="TH31" s="637"/>
      <c r="TI31" s="637"/>
      <c r="TJ31" s="637"/>
      <c r="TK31" s="637"/>
      <c r="TL31" s="637"/>
      <c r="TM31" s="637"/>
      <c r="TN31" s="637"/>
      <c r="TO31" s="637"/>
      <c r="TP31" s="637"/>
      <c r="TQ31" s="637"/>
      <c r="TR31" s="637"/>
      <c r="TS31" s="637"/>
      <c r="TT31" s="637"/>
      <c r="TU31" s="637"/>
      <c r="TV31" s="637"/>
      <c r="TW31" s="637"/>
      <c r="TX31" s="637"/>
      <c r="TY31" s="637"/>
      <c r="TZ31" s="637"/>
      <c r="UA31" s="637"/>
      <c r="UB31" s="637"/>
      <c r="UC31" s="637"/>
      <c r="UD31" s="637"/>
      <c r="UE31" s="637"/>
      <c r="UF31" s="637"/>
      <c r="UG31" s="637"/>
      <c r="UH31" s="637"/>
      <c r="UI31" s="637"/>
      <c r="UJ31" s="637"/>
      <c r="UK31" s="637"/>
      <c r="UL31" s="637"/>
      <c r="UM31" s="637"/>
      <c r="UN31" s="637"/>
      <c r="UO31" s="637"/>
      <c r="UP31" s="637"/>
      <c r="UQ31" s="637"/>
      <c r="UR31" s="637"/>
      <c r="US31" s="637"/>
      <c r="UT31" s="637"/>
      <c r="UU31" s="637"/>
      <c r="UV31" s="637"/>
      <c r="UW31" s="637"/>
      <c r="UX31" s="637"/>
      <c r="UY31" s="637"/>
      <c r="UZ31" s="637"/>
      <c r="VA31" s="637"/>
      <c r="VB31" s="637"/>
      <c r="VC31" s="637"/>
      <c r="VD31" s="637"/>
      <c r="VE31" s="637"/>
      <c r="VF31" s="637"/>
      <c r="VG31" s="637"/>
      <c r="VH31" s="637"/>
      <c r="VI31" s="637"/>
      <c r="VJ31" s="637"/>
      <c r="VK31" s="637"/>
      <c r="VL31" s="637"/>
      <c r="VM31" s="637"/>
      <c r="VN31" s="637"/>
      <c r="VO31" s="637"/>
      <c r="VP31" s="637"/>
      <c r="VQ31" s="637"/>
      <c r="VR31" s="637"/>
      <c r="VS31" s="637"/>
      <c r="VT31" s="637"/>
      <c r="VU31" s="637"/>
      <c r="VV31" s="637"/>
      <c r="VW31" s="637"/>
      <c r="VX31" s="637"/>
      <c r="VY31" s="637"/>
      <c r="VZ31" s="637"/>
      <c r="WA31" s="637"/>
      <c r="WB31" s="637"/>
      <c r="WC31" s="637"/>
      <c r="WD31" s="637"/>
      <c r="WE31" s="637"/>
      <c r="WF31" s="637"/>
      <c r="WG31" s="637"/>
      <c r="WH31" s="637"/>
      <c r="WI31" s="637"/>
      <c r="WJ31" s="637"/>
      <c r="WK31" s="637"/>
      <c r="WL31" s="637"/>
      <c r="WM31" s="637"/>
      <c r="WN31" s="637"/>
      <c r="WO31" s="637"/>
      <c r="WP31" s="637"/>
      <c r="WQ31" s="637"/>
      <c r="WR31" s="637"/>
      <c r="WS31" s="637"/>
      <c r="WT31" s="637"/>
      <c r="WU31" s="637"/>
      <c r="WV31" s="637"/>
      <c r="WW31" s="637"/>
      <c r="WX31" s="637"/>
      <c r="WY31" s="637"/>
      <c r="WZ31" s="637"/>
      <c r="XA31" s="637"/>
      <c r="XB31" s="637"/>
      <c r="XC31" s="637"/>
      <c r="XD31" s="637"/>
      <c r="XE31" s="637"/>
      <c r="XF31" s="637"/>
      <c r="XG31" s="637"/>
      <c r="XH31" s="637"/>
      <c r="XI31" s="637"/>
      <c r="XJ31" s="637"/>
      <c r="XK31" s="637"/>
      <c r="XL31" s="637"/>
      <c r="XM31" s="637"/>
      <c r="XN31" s="637"/>
      <c r="XO31" s="637"/>
      <c r="XP31" s="637"/>
      <c r="XQ31" s="637"/>
      <c r="XR31" s="637"/>
      <c r="XS31" s="637"/>
      <c r="XT31" s="637"/>
      <c r="XU31" s="637"/>
      <c r="XV31" s="637"/>
      <c r="XW31" s="637"/>
      <c r="XX31" s="637"/>
      <c r="XY31" s="637"/>
      <c r="XZ31" s="637"/>
      <c r="YA31" s="637"/>
      <c r="YB31" s="637"/>
      <c r="YC31" s="637"/>
      <c r="YD31" s="637"/>
      <c r="YE31" s="637"/>
      <c r="YF31" s="637"/>
      <c r="YG31" s="637"/>
      <c r="YH31" s="637"/>
      <c r="YI31" s="637"/>
      <c r="YJ31" s="637"/>
      <c r="YK31" s="637"/>
      <c r="YL31" s="637"/>
      <c r="YM31" s="637"/>
      <c r="YN31" s="637"/>
      <c r="YO31" s="637"/>
      <c r="YP31" s="637"/>
      <c r="YQ31" s="637"/>
      <c r="YR31" s="637"/>
      <c r="YS31" s="637"/>
      <c r="YT31" s="637"/>
      <c r="YU31" s="637"/>
      <c r="YV31" s="637"/>
      <c r="YW31" s="637"/>
      <c r="YX31" s="637"/>
      <c r="YY31" s="637"/>
      <c r="YZ31" s="637"/>
      <c r="ZA31" s="637"/>
      <c r="ZB31" s="637"/>
      <c r="ZC31" s="637"/>
      <c r="ZD31" s="637"/>
      <c r="ZE31" s="637"/>
      <c r="ZF31" s="637"/>
      <c r="ZG31" s="637"/>
      <c r="ZH31" s="637"/>
      <c r="ZI31" s="637"/>
      <c r="ZJ31" s="637"/>
      <c r="ZK31" s="637"/>
      <c r="ZL31" s="637"/>
      <c r="ZM31" s="637"/>
      <c r="ZN31" s="637"/>
      <c r="ZO31" s="637"/>
      <c r="ZP31" s="637"/>
      <c r="ZQ31" s="637"/>
      <c r="ZR31" s="637"/>
      <c r="ZS31" s="637"/>
      <c r="ZT31" s="637"/>
      <c r="ZU31" s="637"/>
      <c r="ZV31" s="637"/>
      <c r="ZW31" s="637"/>
      <c r="ZX31" s="637"/>
      <c r="ZY31" s="637"/>
      <c r="ZZ31" s="637"/>
      <c r="AAA31" s="637"/>
      <c r="AAB31" s="637"/>
      <c r="AAC31" s="637"/>
      <c r="AAD31" s="637"/>
      <c r="AAE31" s="637"/>
      <c r="AAF31" s="637"/>
      <c r="AAG31" s="637"/>
      <c r="AAH31" s="637"/>
      <c r="AAI31" s="637"/>
      <c r="AAJ31" s="637"/>
      <c r="AAK31" s="637"/>
      <c r="AAL31" s="637"/>
      <c r="AAM31" s="637"/>
      <c r="AAN31" s="637"/>
      <c r="AAO31" s="637"/>
      <c r="AAP31" s="637"/>
      <c r="AAQ31" s="637"/>
      <c r="AAR31" s="637"/>
      <c r="AAS31" s="637"/>
      <c r="AAT31" s="637"/>
      <c r="AAU31" s="637"/>
      <c r="AAV31" s="637"/>
      <c r="AAW31" s="637"/>
      <c r="AAX31" s="637"/>
      <c r="AAY31" s="637"/>
      <c r="AAZ31" s="637"/>
      <c r="ABA31" s="637"/>
      <c r="ABB31" s="637"/>
      <c r="ABC31" s="637"/>
      <c r="ABD31" s="637"/>
      <c r="ABE31" s="637"/>
      <c r="ABF31" s="637"/>
      <c r="ABG31" s="637"/>
      <c r="ABH31" s="637"/>
      <c r="ABI31" s="637"/>
      <c r="ABJ31" s="637"/>
      <c r="ABK31" s="637"/>
      <c r="ABL31" s="637"/>
      <c r="ABM31" s="637"/>
      <c r="ABN31" s="637"/>
      <c r="ABO31" s="637"/>
      <c r="ABP31" s="637"/>
      <c r="ABQ31" s="637"/>
      <c r="ABR31" s="637"/>
      <c r="ABS31" s="637"/>
      <c r="ABT31" s="637"/>
      <c r="ABU31" s="637"/>
      <c r="ABV31" s="637"/>
      <c r="ABW31" s="637"/>
      <c r="ABX31" s="637"/>
      <c r="ABY31" s="637"/>
      <c r="ABZ31" s="637"/>
      <c r="ACA31" s="637"/>
      <c r="ACB31" s="637"/>
      <c r="ACC31" s="637"/>
      <c r="ACD31" s="637"/>
      <c r="ACE31" s="637"/>
      <c r="ACF31" s="637"/>
      <c r="ACG31" s="637"/>
      <c r="ACH31" s="637"/>
      <c r="ACI31" s="637"/>
      <c r="ACJ31" s="637"/>
      <c r="ACK31" s="637"/>
      <c r="ACL31" s="637"/>
      <c r="ACM31" s="637"/>
      <c r="ACN31" s="637"/>
      <c r="ACO31" s="637"/>
      <c r="ACP31" s="637"/>
      <c r="ACQ31" s="637"/>
      <c r="ACR31" s="637"/>
      <c r="ACS31" s="637"/>
      <c r="ACT31" s="637"/>
      <c r="ACU31" s="637"/>
      <c r="ACV31" s="637"/>
      <c r="ACW31" s="637"/>
      <c r="ACX31" s="637"/>
      <c r="ACY31" s="637"/>
      <c r="ACZ31" s="637"/>
      <c r="ADA31" s="637"/>
      <c r="ADB31" s="637"/>
      <c r="ADC31" s="637"/>
      <c r="ADD31" s="637"/>
      <c r="ADE31" s="637"/>
      <c r="ADF31" s="637"/>
      <c r="ADG31" s="637"/>
      <c r="ADH31" s="637"/>
      <c r="ADI31" s="637"/>
      <c r="ADJ31" s="637"/>
      <c r="ADK31" s="637"/>
      <c r="ADL31" s="637"/>
      <c r="ADM31" s="637"/>
      <c r="ADN31" s="637"/>
      <c r="ADO31" s="637"/>
      <c r="ADP31" s="637"/>
      <c r="ADQ31" s="637"/>
      <c r="ADR31" s="637"/>
      <c r="ADS31" s="637"/>
      <c r="ADT31" s="637"/>
      <c r="ADU31" s="637"/>
      <c r="ADV31" s="637"/>
      <c r="ADW31" s="637"/>
      <c r="ADX31" s="637"/>
      <c r="ADY31" s="637"/>
      <c r="ADZ31" s="637"/>
      <c r="AEA31" s="637"/>
      <c r="AEB31" s="637"/>
      <c r="AEC31" s="637"/>
      <c r="AED31" s="637"/>
      <c r="AEE31" s="637"/>
      <c r="AEF31" s="637"/>
      <c r="AEG31" s="637"/>
      <c r="AEH31" s="637"/>
      <c r="AEI31" s="637"/>
      <c r="AEJ31" s="637"/>
      <c r="AEK31" s="637"/>
      <c r="AEL31" s="637"/>
      <c r="AEM31" s="637"/>
      <c r="AEN31" s="637"/>
      <c r="AEO31" s="637"/>
      <c r="AEP31" s="637"/>
      <c r="AEQ31" s="637"/>
      <c r="AER31" s="637"/>
      <c r="AES31" s="637"/>
      <c r="AET31" s="637"/>
      <c r="AEU31" s="637"/>
      <c r="AEV31" s="637"/>
      <c r="AEW31" s="637"/>
      <c r="AEX31" s="637"/>
      <c r="AEY31" s="637"/>
      <c r="AEZ31" s="637"/>
      <c r="AFA31" s="637"/>
      <c r="AFB31" s="637"/>
      <c r="AFC31" s="637"/>
      <c r="AFD31" s="637"/>
      <c r="AFE31" s="637"/>
      <c r="AFF31" s="637"/>
      <c r="AFG31" s="637"/>
      <c r="AFH31" s="637"/>
      <c r="AFI31" s="637"/>
      <c r="AFJ31" s="637"/>
      <c r="AFK31" s="637"/>
      <c r="AFL31" s="637"/>
      <c r="AFM31" s="637"/>
      <c r="AFN31" s="637"/>
      <c r="AFO31" s="637"/>
      <c r="AFP31" s="637"/>
      <c r="AFQ31" s="637"/>
      <c r="AFR31" s="637"/>
      <c r="AFS31" s="637"/>
      <c r="AFT31" s="637"/>
      <c r="AFU31" s="637"/>
      <c r="AFV31" s="637"/>
      <c r="AFW31" s="637"/>
      <c r="AFX31" s="637"/>
      <c r="AFY31" s="637"/>
      <c r="AFZ31" s="637"/>
      <c r="AGA31" s="637"/>
      <c r="AGB31" s="637"/>
      <c r="AGC31" s="637"/>
      <c r="AGD31" s="637"/>
      <c r="AGE31" s="637"/>
      <c r="AGF31" s="637"/>
      <c r="AGG31" s="637"/>
      <c r="AGH31" s="637"/>
      <c r="AGI31" s="637"/>
      <c r="AGJ31" s="637"/>
      <c r="AGK31" s="637"/>
      <c r="AGL31" s="637"/>
      <c r="AGM31" s="637"/>
      <c r="AGN31" s="637"/>
      <c r="AGO31" s="637"/>
      <c r="AGP31" s="637"/>
      <c r="AGQ31" s="637"/>
      <c r="AGR31" s="637"/>
      <c r="AGS31" s="637"/>
      <c r="AGT31" s="637"/>
      <c r="AGU31" s="637"/>
      <c r="AGV31" s="637"/>
      <c r="AGW31" s="637"/>
      <c r="AGX31" s="637"/>
      <c r="AGY31" s="637"/>
      <c r="AGZ31" s="637"/>
      <c r="AHA31" s="637"/>
      <c r="AHB31" s="637"/>
      <c r="AHC31" s="637"/>
      <c r="AHD31" s="637"/>
      <c r="AHE31" s="637"/>
      <c r="AHF31" s="637"/>
      <c r="AHG31" s="637"/>
      <c r="AHH31" s="637"/>
      <c r="AHI31" s="637"/>
      <c r="AHJ31" s="637"/>
      <c r="AHK31" s="637"/>
      <c r="AHL31" s="637"/>
      <c r="AHM31" s="637"/>
      <c r="AHN31" s="637"/>
      <c r="AHO31" s="637"/>
      <c r="AHP31" s="637"/>
      <c r="AHQ31" s="637"/>
      <c r="AHR31" s="637"/>
      <c r="AHS31" s="637"/>
      <c r="AHT31" s="637"/>
      <c r="AHU31" s="637"/>
      <c r="AHV31" s="637"/>
      <c r="AHW31" s="637"/>
      <c r="AHX31" s="637"/>
      <c r="AHY31" s="637"/>
      <c r="AHZ31" s="637"/>
      <c r="AIA31" s="637"/>
      <c r="AIB31" s="637"/>
      <c r="AIC31" s="637"/>
      <c r="AID31" s="637"/>
      <c r="AIE31" s="637"/>
      <c r="AIF31" s="637"/>
      <c r="AIG31" s="637"/>
      <c r="AIH31" s="637"/>
      <c r="AII31" s="637"/>
      <c r="AIJ31" s="637"/>
      <c r="AIK31" s="637"/>
      <c r="AIL31" s="637"/>
      <c r="AIM31" s="637"/>
      <c r="AIN31" s="637"/>
      <c r="AIO31" s="637"/>
      <c r="AIP31" s="637"/>
      <c r="AIQ31" s="637"/>
      <c r="AIR31" s="637"/>
      <c r="AIS31" s="637"/>
      <c r="AIT31" s="637"/>
      <c r="AIU31" s="637"/>
      <c r="AIV31" s="637"/>
      <c r="AIW31" s="637"/>
      <c r="AIX31" s="637"/>
      <c r="AIY31" s="637"/>
      <c r="AIZ31" s="637"/>
      <c r="AJA31" s="637"/>
      <c r="AJB31" s="637"/>
      <c r="AJC31" s="637"/>
      <c r="AJD31" s="637"/>
      <c r="AJE31" s="637"/>
      <c r="AJF31" s="637"/>
      <c r="AJG31" s="637"/>
      <c r="AJH31" s="637"/>
      <c r="AJI31" s="637"/>
      <c r="AJJ31" s="637"/>
      <c r="AJK31" s="637"/>
      <c r="AJL31" s="637"/>
      <c r="AJM31" s="637"/>
      <c r="AJN31" s="637"/>
      <c r="AJO31" s="637"/>
      <c r="AJP31" s="637"/>
      <c r="AJQ31" s="637"/>
      <c r="AJR31" s="637"/>
      <c r="AJS31" s="637"/>
      <c r="AJT31" s="637"/>
      <c r="AJU31" s="637"/>
      <c r="AJV31" s="637"/>
      <c r="AJW31" s="637"/>
      <c r="AJX31" s="637"/>
      <c r="AJY31" s="637"/>
      <c r="AJZ31" s="637"/>
      <c r="AKA31" s="637"/>
      <c r="AKB31" s="637"/>
      <c r="AKC31" s="637"/>
      <c r="AKD31" s="637"/>
      <c r="AKE31" s="637"/>
      <c r="AKF31" s="637"/>
      <c r="AKG31" s="637"/>
      <c r="AKH31" s="637"/>
      <c r="AKI31" s="637"/>
      <c r="AKJ31" s="637"/>
      <c r="AKK31" s="637"/>
      <c r="AKL31" s="637"/>
      <c r="AKM31" s="637"/>
      <c r="AKN31" s="637"/>
      <c r="AKO31" s="637"/>
      <c r="AKP31" s="637"/>
      <c r="AKQ31" s="637"/>
      <c r="AKR31" s="637"/>
      <c r="AKS31" s="637"/>
      <c r="AKT31" s="637"/>
      <c r="AKU31" s="637"/>
      <c r="AKV31" s="637"/>
      <c r="AKW31" s="637"/>
      <c r="AKX31" s="637"/>
      <c r="AKY31" s="637"/>
      <c r="AKZ31" s="637"/>
      <c r="ALA31" s="637"/>
      <c r="ALB31" s="637"/>
      <c r="ALC31" s="637"/>
      <c r="ALD31" s="637"/>
      <c r="ALE31" s="637"/>
      <c r="ALF31" s="637"/>
      <c r="ALG31" s="637"/>
      <c r="ALH31" s="637"/>
      <c r="ALI31" s="637"/>
      <c r="ALJ31" s="637"/>
      <c r="ALK31" s="637"/>
      <c r="ALL31" s="637"/>
      <c r="ALM31" s="637"/>
      <c r="ALN31" s="637"/>
      <c r="ALO31" s="637"/>
      <c r="ALP31" s="637"/>
      <c r="ALQ31" s="637"/>
      <c r="ALR31" s="637"/>
      <c r="ALS31" s="637"/>
      <c r="ALT31" s="637"/>
      <c r="ALU31" s="637"/>
      <c r="ALV31" s="637"/>
      <c r="ALW31" s="637"/>
      <c r="ALX31" s="637"/>
      <c r="ALY31" s="637"/>
      <c r="ALZ31" s="637"/>
      <c r="AMA31" s="637"/>
      <c r="AMB31" s="637"/>
      <c r="AMC31" s="637"/>
      <c r="AMD31" s="637"/>
      <c r="AME31" s="637"/>
      <c r="AMF31" s="637"/>
      <c r="AMG31" s="637"/>
      <c r="AMH31" s="637"/>
      <c r="AMI31" s="637"/>
      <c r="AMJ31" s="637"/>
    </row>
    <row r="32" spans="1:1024" s="638" customFormat="1" ht="12.75">
      <c r="A32" s="984" t="s">
        <v>120</v>
      </c>
      <c r="B32" s="985" t="s">
        <v>139</v>
      </c>
      <c r="C32" s="986" t="s">
        <v>140</v>
      </c>
      <c r="D32" s="981" t="s">
        <v>4</v>
      </c>
      <c r="E32" s="982"/>
      <c r="F32" s="982">
        <f t="shared" si="1"/>
        <v>36907</v>
      </c>
      <c r="G32" s="987">
        <v>28341</v>
      </c>
      <c r="H32" s="987">
        <v>8112</v>
      </c>
      <c r="I32" s="987">
        <v>254</v>
      </c>
      <c r="J32" s="987"/>
      <c r="K32" s="987"/>
      <c r="L32" s="987"/>
      <c r="M32" s="987"/>
      <c r="N32" s="987">
        <v>200</v>
      </c>
      <c r="O32" s="987"/>
      <c r="P32" s="987"/>
      <c r="Q32" s="987"/>
      <c r="R32" s="984"/>
      <c r="S32" s="637"/>
      <c r="T32" s="637"/>
      <c r="U32" s="637"/>
      <c r="V32" s="637"/>
      <c r="W32" s="637"/>
      <c r="X32" s="637"/>
      <c r="Y32" s="637"/>
      <c r="Z32" s="637"/>
      <c r="AA32" s="637"/>
      <c r="AB32" s="637"/>
      <c r="AC32" s="637"/>
      <c r="AD32" s="637"/>
      <c r="AE32" s="637"/>
      <c r="AF32" s="637"/>
      <c r="AG32" s="637"/>
      <c r="AH32" s="637"/>
      <c r="AI32" s="637"/>
      <c r="AJ32" s="637"/>
      <c r="AK32" s="637"/>
      <c r="AL32" s="637"/>
      <c r="AM32" s="637"/>
      <c r="AN32" s="637"/>
      <c r="AO32" s="637"/>
      <c r="AP32" s="637"/>
      <c r="AQ32" s="637"/>
      <c r="AR32" s="637"/>
      <c r="AS32" s="637"/>
      <c r="AT32" s="637"/>
      <c r="AU32" s="637"/>
      <c r="AV32" s="637"/>
      <c r="AW32" s="637"/>
      <c r="AX32" s="637"/>
      <c r="AY32" s="637"/>
      <c r="AZ32" s="637"/>
      <c r="BA32" s="637"/>
      <c r="BB32" s="637"/>
      <c r="BC32" s="637"/>
      <c r="BD32" s="637"/>
      <c r="BE32" s="637"/>
      <c r="BF32" s="637"/>
      <c r="BG32" s="637"/>
      <c r="BH32" s="637"/>
      <c r="BI32" s="637"/>
      <c r="BJ32" s="637"/>
      <c r="BK32" s="637"/>
      <c r="BL32" s="637"/>
      <c r="BM32" s="637"/>
      <c r="BN32" s="637"/>
      <c r="BO32" s="637"/>
      <c r="BP32" s="637"/>
      <c r="BQ32" s="637"/>
      <c r="BR32" s="637"/>
      <c r="BS32" s="637"/>
      <c r="BT32" s="637"/>
      <c r="BU32" s="637"/>
      <c r="BV32" s="637"/>
      <c r="BW32" s="637"/>
      <c r="BX32" s="637"/>
      <c r="BY32" s="637"/>
      <c r="BZ32" s="637"/>
      <c r="CA32" s="637"/>
      <c r="CB32" s="637"/>
      <c r="CC32" s="637"/>
      <c r="CD32" s="637"/>
      <c r="CE32" s="637"/>
      <c r="CF32" s="637"/>
      <c r="CG32" s="637"/>
      <c r="CH32" s="637"/>
      <c r="CI32" s="637"/>
      <c r="CJ32" s="637"/>
      <c r="CK32" s="637"/>
      <c r="CL32" s="637"/>
      <c r="CM32" s="637"/>
      <c r="CN32" s="637"/>
      <c r="CO32" s="637"/>
      <c r="CP32" s="637"/>
      <c r="CQ32" s="637"/>
      <c r="CR32" s="637"/>
      <c r="CS32" s="637"/>
      <c r="CT32" s="637"/>
      <c r="CU32" s="637"/>
      <c r="CV32" s="637"/>
      <c r="CW32" s="637"/>
      <c r="CX32" s="637"/>
      <c r="CY32" s="637"/>
      <c r="CZ32" s="637"/>
      <c r="DA32" s="637"/>
      <c r="DB32" s="637"/>
      <c r="DC32" s="637"/>
      <c r="DD32" s="637"/>
      <c r="DE32" s="637"/>
      <c r="DF32" s="637"/>
      <c r="DG32" s="637"/>
      <c r="DH32" s="637"/>
      <c r="DI32" s="637"/>
      <c r="DJ32" s="637"/>
      <c r="DK32" s="637"/>
      <c r="DL32" s="637"/>
      <c r="DM32" s="637"/>
      <c r="DN32" s="637"/>
      <c r="DO32" s="637"/>
      <c r="DP32" s="637"/>
      <c r="DQ32" s="637"/>
      <c r="DR32" s="637"/>
      <c r="DS32" s="637"/>
      <c r="DT32" s="637"/>
      <c r="DU32" s="637"/>
      <c r="DV32" s="637"/>
      <c r="DW32" s="637"/>
      <c r="DX32" s="637"/>
      <c r="DY32" s="637"/>
      <c r="DZ32" s="637"/>
      <c r="EA32" s="637"/>
      <c r="EB32" s="637"/>
      <c r="EC32" s="637"/>
      <c r="ED32" s="637"/>
      <c r="EE32" s="637"/>
      <c r="EF32" s="637"/>
      <c r="EG32" s="637"/>
      <c r="EH32" s="637"/>
      <c r="EI32" s="637"/>
      <c r="EJ32" s="637"/>
      <c r="EK32" s="637"/>
      <c r="EL32" s="637"/>
      <c r="EM32" s="637"/>
      <c r="EN32" s="637"/>
      <c r="EO32" s="637"/>
      <c r="EP32" s="637"/>
      <c r="EQ32" s="637"/>
      <c r="ER32" s="637"/>
      <c r="ES32" s="637"/>
      <c r="ET32" s="637"/>
      <c r="EU32" s="637"/>
      <c r="EV32" s="637"/>
      <c r="EW32" s="637"/>
      <c r="EX32" s="637"/>
      <c r="EY32" s="637"/>
      <c r="EZ32" s="637"/>
      <c r="FA32" s="637"/>
      <c r="FB32" s="637"/>
      <c r="FC32" s="637"/>
      <c r="FD32" s="637"/>
      <c r="FE32" s="637"/>
      <c r="FF32" s="637"/>
      <c r="FG32" s="637"/>
      <c r="FH32" s="637"/>
      <c r="FI32" s="637"/>
      <c r="FJ32" s="637"/>
      <c r="FK32" s="637"/>
      <c r="FL32" s="637"/>
      <c r="FM32" s="637"/>
      <c r="FN32" s="637"/>
      <c r="FO32" s="637"/>
      <c r="FP32" s="637"/>
      <c r="FQ32" s="637"/>
      <c r="FR32" s="637"/>
      <c r="FS32" s="637"/>
      <c r="FT32" s="637"/>
      <c r="FU32" s="637"/>
      <c r="FV32" s="637"/>
      <c r="FW32" s="637"/>
      <c r="FX32" s="637"/>
      <c r="FY32" s="637"/>
      <c r="FZ32" s="637"/>
      <c r="GA32" s="637"/>
      <c r="GB32" s="637"/>
      <c r="GC32" s="637"/>
      <c r="GD32" s="637"/>
      <c r="GE32" s="637"/>
      <c r="GF32" s="637"/>
      <c r="GG32" s="637"/>
      <c r="GH32" s="637"/>
      <c r="GI32" s="637"/>
      <c r="GJ32" s="637"/>
      <c r="GK32" s="637"/>
      <c r="GL32" s="637"/>
      <c r="GM32" s="637"/>
      <c r="GN32" s="637"/>
      <c r="GO32" s="637"/>
      <c r="GP32" s="637"/>
      <c r="GQ32" s="637"/>
      <c r="GR32" s="637"/>
      <c r="GS32" s="637"/>
      <c r="GT32" s="637"/>
      <c r="GU32" s="637"/>
      <c r="GV32" s="637"/>
      <c r="GW32" s="637"/>
      <c r="GX32" s="637"/>
      <c r="GY32" s="637"/>
      <c r="GZ32" s="637"/>
      <c r="HA32" s="637"/>
      <c r="HB32" s="637"/>
      <c r="HC32" s="637"/>
      <c r="HD32" s="637"/>
      <c r="HE32" s="637"/>
      <c r="HF32" s="637"/>
      <c r="HG32" s="637"/>
      <c r="HH32" s="637"/>
      <c r="HI32" s="637"/>
      <c r="HJ32" s="637"/>
      <c r="HK32" s="637"/>
      <c r="HL32" s="637"/>
      <c r="HM32" s="637"/>
      <c r="HN32" s="637"/>
      <c r="HO32" s="637"/>
      <c r="HP32" s="637"/>
      <c r="HQ32" s="637"/>
      <c r="HR32" s="637"/>
      <c r="HS32" s="637"/>
      <c r="HT32" s="637"/>
      <c r="HU32" s="637"/>
      <c r="HV32" s="637"/>
      <c r="HW32" s="637"/>
      <c r="HX32" s="637"/>
      <c r="HY32" s="637"/>
      <c r="HZ32" s="637"/>
      <c r="IA32" s="637"/>
      <c r="IB32" s="637"/>
      <c r="IC32" s="637"/>
      <c r="ID32" s="637"/>
      <c r="IE32" s="637"/>
      <c r="IF32" s="637"/>
      <c r="IG32" s="637"/>
      <c r="IH32" s="637"/>
      <c r="II32" s="637"/>
      <c r="IJ32" s="637"/>
      <c r="IK32" s="637"/>
      <c r="IL32" s="637"/>
      <c r="IM32" s="637"/>
      <c r="IN32" s="637"/>
      <c r="IO32" s="637"/>
      <c r="IP32" s="637"/>
      <c r="IQ32" s="637"/>
      <c r="IR32" s="637"/>
      <c r="IS32" s="637"/>
      <c r="IT32" s="637"/>
      <c r="IU32" s="637"/>
      <c r="IV32" s="637"/>
      <c r="IW32" s="637"/>
      <c r="IX32" s="637"/>
      <c r="IY32" s="637"/>
      <c r="IZ32" s="637"/>
      <c r="JA32" s="637"/>
      <c r="JB32" s="637"/>
      <c r="JC32" s="637"/>
      <c r="JD32" s="637"/>
      <c r="JE32" s="637"/>
      <c r="JF32" s="637"/>
      <c r="JG32" s="637"/>
      <c r="JH32" s="637"/>
      <c r="JI32" s="637"/>
      <c r="JJ32" s="637"/>
      <c r="JK32" s="637"/>
      <c r="JL32" s="637"/>
      <c r="JM32" s="637"/>
      <c r="JN32" s="637"/>
      <c r="JO32" s="637"/>
      <c r="JP32" s="637"/>
      <c r="JQ32" s="637"/>
      <c r="JR32" s="637"/>
      <c r="JS32" s="637"/>
      <c r="JT32" s="637"/>
      <c r="JU32" s="637"/>
      <c r="JV32" s="637"/>
      <c r="JW32" s="637"/>
      <c r="JX32" s="637"/>
      <c r="JY32" s="637"/>
      <c r="JZ32" s="637"/>
      <c r="KA32" s="637"/>
      <c r="KB32" s="637"/>
      <c r="KC32" s="637"/>
      <c r="KD32" s="637"/>
      <c r="KE32" s="637"/>
      <c r="KF32" s="637"/>
      <c r="KG32" s="637"/>
      <c r="KH32" s="637"/>
      <c r="KI32" s="637"/>
      <c r="KJ32" s="637"/>
      <c r="KK32" s="637"/>
      <c r="KL32" s="637"/>
      <c r="KM32" s="637"/>
      <c r="KN32" s="637"/>
      <c r="KO32" s="637"/>
      <c r="KP32" s="637"/>
      <c r="KQ32" s="637"/>
      <c r="KR32" s="637"/>
      <c r="KS32" s="637"/>
      <c r="KT32" s="637"/>
      <c r="KU32" s="637"/>
      <c r="KV32" s="637"/>
      <c r="KW32" s="637"/>
      <c r="KX32" s="637"/>
      <c r="KY32" s="637"/>
      <c r="KZ32" s="637"/>
      <c r="LA32" s="637"/>
      <c r="LB32" s="637"/>
      <c r="LC32" s="637"/>
      <c r="LD32" s="637"/>
      <c r="LE32" s="637"/>
      <c r="LF32" s="637"/>
      <c r="LG32" s="637"/>
      <c r="LH32" s="637"/>
      <c r="LI32" s="637"/>
      <c r="LJ32" s="637"/>
      <c r="LK32" s="637"/>
      <c r="LL32" s="637"/>
      <c r="LM32" s="637"/>
      <c r="LN32" s="637"/>
      <c r="LO32" s="637"/>
      <c r="LP32" s="637"/>
      <c r="LQ32" s="637"/>
      <c r="LR32" s="637"/>
      <c r="LS32" s="637"/>
      <c r="LT32" s="637"/>
      <c r="LU32" s="637"/>
      <c r="LV32" s="637"/>
      <c r="LW32" s="637"/>
      <c r="LX32" s="637"/>
      <c r="LY32" s="637"/>
      <c r="LZ32" s="637"/>
      <c r="MA32" s="637"/>
      <c r="MB32" s="637"/>
      <c r="MC32" s="637"/>
      <c r="MD32" s="637"/>
      <c r="ME32" s="637"/>
      <c r="MF32" s="637"/>
      <c r="MG32" s="637"/>
      <c r="MH32" s="637"/>
      <c r="MI32" s="637"/>
      <c r="MJ32" s="637"/>
      <c r="MK32" s="637"/>
      <c r="ML32" s="637"/>
      <c r="MM32" s="637"/>
      <c r="MN32" s="637"/>
      <c r="MO32" s="637"/>
      <c r="MP32" s="637"/>
      <c r="MQ32" s="637"/>
      <c r="MR32" s="637"/>
      <c r="MS32" s="637"/>
      <c r="MT32" s="637"/>
      <c r="MU32" s="637"/>
      <c r="MV32" s="637"/>
      <c r="MW32" s="637"/>
      <c r="MX32" s="637"/>
      <c r="MY32" s="637"/>
      <c r="MZ32" s="637"/>
      <c r="NA32" s="637"/>
      <c r="NB32" s="637"/>
      <c r="NC32" s="637"/>
      <c r="ND32" s="637"/>
      <c r="NE32" s="637"/>
      <c r="NF32" s="637"/>
      <c r="NG32" s="637"/>
      <c r="NH32" s="637"/>
      <c r="NI32" s="637"/>
      <c r="NJ32" s="637"/>
      <c r="NK32" s="637"/>
      <c r="NL32" s="637"/>
      <c r="NM32" s="637"/>
      <c r="NN32" s="637"/>
      <c r="NO32" s="637"/>
      <c r="NP32" s="637"/>
      <c r="NQ32" s="637"/>
      <c r="NR32" s="637"/>
      <c r="NS32" s="637"/>
      <c r="NT32" s="637"/>
      <c r="NU32" s="637"/>
      <c r="NV32" s="637"/>
      <c r="NW32" s="637"/>
      <c r="NX32" s="637"/>
      <c r="NY32" s="637"/>
      <c r="NZ32" s="637"/>
      <c r="OA32" s="637"/>
      <c r="OB32" s="637"/>
      <c r="OC32" s="637"/>
      <c r="OD32" s="637"/>
      <c r="OE32" s="637"/>
      <c r="OF32" s="637"/>
      <c r="OG32" s="637"/>
      <c r="OH32" s="637"/>
      <c r="OI32" s="637"/>
      <c r="OJ32" s="637"/>
      <c r="OK32" s="637"/>
      <c r="OL32" s="637"/>
      <c r="OM32" s="637"/>
      <c r="ON32" s="637"/>
      <c r="OO32" s="637"/>
      <c r="OP32" s="637"/>
      <c r="OQ32" s="637"/>
      <c r="OR32" s="637"/>
      <c r="OS32" s="637"/>
      <c r="OT32" s="637"/>
      <c r="OU32" s="637"/>
      <c r="OV32" s="637"/>
      <c r="OW32" s="637"/>
      <c r="OX32" s="637"/>
      <c r="OY32" s="637"/>
      <c r="OZ32" s="637"/>
      <c r="PA32" s="637"/>
      <c r="PB32" s="637"/>
      <c r="PC32" s="637"/>
      <c r="PD32" s="637"/>
      <c r="PE32" s="637"/>
      <c r="PF32" s="637"/>
      <c r="PG32" s="637"/>
      <c r="PH32" s="637"/>
      <c r="PI32" s="637"/>
      <c r="PJ32" s="637"/>
      <c r="PK32" s="637"/>
      <c r="PL32" s="637"/>
      <c r="PM32" s="637"/>
      <c r="PN32" s="637"/>
      <c r="PO32" s="637"/>
      <c r="PP32" s="637"/>
      <c r="PQ32" s="637"/>
      <c r="PR32" s="637"/>
      <c r="PS32" s="637"/>
      <c r="PT32" s="637"/>
      <c r="PU32" s="637"/>
      <c r="PV32" s="637"/>
      <c r="PW32" s="637"/>
      <c r="PX32" s="637"/>
      <c r="PY32" s="637"/>
      <c r="PZ32" s="637"/>
      <c r="QA32" s="637"/>
      <c r="QB32" s="637"/>
      <c r="QC32" s="637"/>
      <c r="QD32" s="637"/>
      <c r="QE32" s="637"/>
      <c r="QF32" s="637"/>
      <c r="QG32" s="637"/>
      <c r="QH32" s="637"/>
      <c r="QI32" s="637"/>
      <c r="QJ32" s="637"/>
      <c r="QK32" s="637"/>
      <c r="QL32" s="637"/>
      <c r="QM32" s="637"/>
      <c r="QN32" s="637"/>
      <c r="QO32" s="637"/>
      <c r="QP32" s="637"/>
      <c r="QQ32" s="637"/>
      <c r="QR32" s="637"/>
      <c r="QS32" s="637"/>
      <c r="QT32" s="637"/>
      <c r="QU32" s="637"/>
      <c r="QV32" s="637"/>
      <c r="QW32" s="637"/>
      <c r="QX32" s="637"/>
      <c r="QY32" s="637"/>
      <c r="QZ32" s="637"/>
      <c r="RA32" s="637"/>
      <c r="RB32" s="637"/>
      <c r="RC32" s="637"/>
      <c r="RD32" s="637"/>
      <c r="RE32" s="637"/>
      <c r="RF32" s="637"/>
      <c r="RG32" s="637"/>
      <c r="RH32" s="637"/>
      <c r="RI32" s="637"/>
      <c r="RJ32" s="637"/>
      <c r="RK32" s="637"/>
      <c r="RL32" s="637"/>
      <c r="RM32" s="637"/>
      <c r="RN32" s="637"/>
      <c r="RO32" s="637"/>
      <c r="RP32" s="637"/>
      <c r="RQ32" s="637"/>
      <c r="RR32" s="637"/>
      <c r="RS32" s="637"/>
      <c r="RT32" s="637"/>
      <c r="RU32" s="637"/>
      <c r="RV32" s="637"/>
      <c r="RW32" s="637"/>
      <c r="RX32" s="637"/>
      <c r="RY32" s="637"/>
      <c r="RZ32" s="637"/>
      <c r="SA32" s="637"/>
      <c r="SB32" s="637"/>
      <c r="SC32" s="637"/>
      <c r="SD32" s="637"/>
      <c r="SE32" s="637"/>
      <c r="SF32" s="637"/>
      <c r="SG32" s="637"/>
      <c r="SH32" s="637"/>
      <c r="SI32" s="637"/>
      <c r="SJ32" s="637"/>
      <c r="SK32" s="637"/>
      <c r="SL32" s="637"/>
      <c r="SM32" s="637"/>
      <c r="SN32" s="637"/>
      <c r="SO32" s="637"/>
      <c r="SP32" s="637"/>
      <c r="SQ32" s="637"/>
      <c r="SR32" s="637"/>
      <c r="SS32" s="637"/>
      <c r="ST32" s="637"/>
      <c r="SU32" s="637"/>
      <c r="SV32" s="637"/>
      <c r="SW32" s="637"/>
      <c r="SX32" s="637"/>
      <c r="SY32" s="637"/>
      <c r="SZ32" s="637"/>
      <c r="TA32" s="637"/>
      <c r="TB32" s="637"/>
      <c r="TC32" s="637"/>
      <c r="TD32" s="637"/>
      <c r="TE32" s="637"/>
      <c r="TF32" s="637"/>
      <c r="TG32" s="637"/>
      <c r="TH32" s="637"/>
      <c r="TI32" s="637"/>
      <c r="TJ32" s="637"/>
      <c r="TK32" s="637"/>
      <c r="TL32" s="637"/>
      <c r="TM32" s="637"/>
      <c r="TN32" s="637"/>
      <c r="TO32" s="637"/>
      <c r="TP32" s="637"/>
      <c r="TQ32" s="637"/>
      <c r="TR32" s="637"/>
      <c r="TS32" s="637"/>
      <c r="TT32" s="637"/>
      <c r="TU32" s="637"/>
      <c r="TV32" s="637"/>
      <c r="TW32" s="637"/>
      <c r="TX32" s="637"/>
      <c r="TY32" s="637"/>
      <c r="TZ32" s="637"/>
      <c r="UA32" s="637"/>
      <c r="UB32" s="637"/>
      <c r="UC32" s="637"/>
      <c r="UD32" s="637"/>
      <c r="UE32" s="637"/>
      <c r="UF32" s="637"/>
      <c r="UG32" s="637"/>
      <c r="UH32" s="637"/>
      <c r="UI32" s="637"/>
      <c r="UJ32" s="637"/>
      <c r="UK32" s="637"/>
      <c r="UL32" s="637"/>
      <c r="UM32" s="637"/>
      <c r="UN32" s="637"/>
      <c r="UO32" s="637"/>
      <c r="UP32" s="637"/>
      <c r="UQ32" s="637"/>
      <c r="UR32" s="637"/>
      <c r="US32" s="637"/>
      <c r="UT32" s="637"/>
      <c r="UU32" s="637"/>
      <c r="UV32" s="637"/>
      <c r="UW32" s="637"/>
      <c r="UX32" s="637"/>
      <c r="UY32" s="637"/>
      <c r="UZ32" s="637"/>
      <c r="VA32" s="637"/>
      <c r="VB32" s="637"/>
      <c r="VC32" s="637"/>
      <c r="VD32" s="637"/>
      <c r="VE32" s="637"/>
      <c r="VF32" s="637"/>
      <c r="VG32" s="637"/>
      <c r="VH32" s="637"/>
      <c r="VI32" s="637"/>
      <c r="VJ32" s="637"/>
      <c r="VK32" s="637"/>
      <c r="VL32" s="637"/>
      <c r="VM32" s="637"/>
      <c r="VN32" s="637"/>
      <c r="VO32" s="637"/>
      <c r="VP32" s="637"/>
      <c r="VQ32" s="637"/>
      <c r="VR32" s="637"/>
      <c r="VS32" s="637"/>
      <c r="VT32" s="637"/>
      <c r="VU32" s="637"/>
      <c r="VV32" s="637"/>
      <c r="VW32" s="637"/>
      <c r="VX32" s="637"/>
      <c r="VY32" s="637"/>
      <c r="VZ32" s="637"/>
      <c r="WA32" s="637"/>
      <c r="WB32" s="637"/>
      <c r="WC32" s="637"/>
      <c r="WD32" s="637"/>
      <c r="WE32" s="637"/>
      <c r="WF32" s="637"/>
      <c r="WG32" s="637"/>
      <c r="WH32" s="637"/>
      <c r="WI32" s="637"/>
      <c r="WJ32" s="637"/>
      <c r="WK32" s="637"/>
      <c r="WL32" s="637"/>
      <c r="WM32" s="637"/>
      <c r="WN32" s="637"/>
      <c r="WO32" s="637"/>
      <c r="WP32" s="637"/>
      <c r="WQ32" s="637"/>
      <c r="WR32" s="637"/>
      <c r="WS32" s="637"/>
      <c r="WT32" s="637"/>
      <c r="WU32" s="637"/>
      <c r="WV32" s="637"/>
      <c r="WW32" s="637"/>
      <c r="WX32" s="637"/>
      <c r="WY32" s="637"/>
      <c r="WZ32" s="637"/>
      <c r="XA32" s="637"/>
      <c r="XB32" s="637"/>
      <c r="XC32" s="637"/>
      <c r="XD32" s="637"/>
      <c r="XE32" s="637"/>
      <c r="XF32" s="637"/>
      <c r="XG32" s="637"/>
      <c r="XH32" s="637"/>
      <c r="XI32" s="637"/>
      <c r="XJ32" s="637"/>
      <c r="XK32" s="637"/>
      <c r="XL32" s="637"/>
      <c r="XM32" s="637"/>
      <c r="XN32" s="637"/>
      <c r="XO32" s="637"/>
      <c r="XP32" s="637"/>
      <c r="XQ32" s="637"/>
      <c r="XR32" s="637"/>
      <c r="XS32" s="637"/>
      <c r="XT32" s="637"/>
      <c r="XU32" s="637"/>
      <c r="XV32" s="637"/>
      <c r="XW32" s="637"/>
      <c r="XX32" s="637"/>
      <c r="XY32" s="637"/>
      <c r="XZ32" s="637"/>
      <c r="YA32" s="637"/>
      <c r="YB32" s="637"/>
      <c r="YC32" s="637"/>
      <c r="YD32" s="637"/>
      <c r="YE32" s="637"/>
      <c r="YF32" s="637"/>
      <c r="YG32" s="637"/>
      <c r="YH32" s="637"/>
      <c r="YI32" s="637"/>
      <c r="YJ32" s="637"/>
      <c r="YK32" s="637"/>
      <c r="YL32" s="637"/>
      <c r="YM32" s="637"/>
      <c r="YN32" s="637"/>
      <c r="YO32" s="637"/>
      <c r="YP32" s="637"/>
      <c r="YQ32" s="637"/>
      <c r="YR32" s="637"/>
      <c r="YS32" s="637"/>
      <c r="YT32" s="637"/>
      <c r="YU32" s="637"/>
      <c r="YV32" s="637"/>
      <c r="YW32" s="637"/>
      <c r="YX32" s="637"/>
      <c r="YY32" s="637"/>
      <c r="YZ32" s="637"/>
      <c r="ZA32" s="637"/>
      <c r="ZB32" s="637"/>
      <c r="ZC32" s="637"/>
      <c r="ZD32" s="637"/>
      <c r="ZE32" s="637"/>
      <c r="ZF32" s="637"/>
      <c r="ZG32" s="637"/>
      <c r="ZH32" s="637"/>
      <c r="ZI32" s="637"/>
      <c r="ZJ32" s="637"/>
      <c r="ZK32" s="637"/>
      <c r="ZL32" s="637"/>
      <c r="ZM32" s="637"/>
      <c r="ZN32" s="637"/>
      <c r="ZO32" s="637"/>
      <c r="ZP32" s="637"/>
      <c r="ZQ32" s="637"/>
      <c r="ZR32" s="637"/>
      <c r="ZS32" s="637"/>
      <c r="ZT32" s="637"/>
      <c r="ZU32" s="637"/>
      <c r="ZV32" s="637"/>
      <c r="ZW32" s="637"/>
      <c r="ZX32" s="637"/>
      <c r="ZY32" s="637"/>
      <c r="ZZ32" s="637"/>
      <c r="AAA32" s="637"/>
      <c r="AAB32" s="637"/>
      <c r="AAC32" s="637"/>
      <c r="AAD32" s="637"/>
      <c r="AAE32" s="637"/>
      <c r="AAF32" s="637"/>
      <c r="AAG32" s="637"/>
      <c r="AAH32" s="637"/>
      <c r="AAI32" s="637"/>
      <c r="AAJ32" s="637"/>
      <c r="AAK32" s="637"/>
      <c r="AAL32" s="637"/>
      <c r="AAM32" s="637"/>
      <c r="AAN32" s="637"/>
      <c r="AAO32" s="637"/>
      <c r="AAP32" s="637"/>
      <c r="AAQ32" s="637"/>
      <c r="AAR32" s="637"/>
      <c r="AAS32" s="637"/>
      <c r="AAT32" s="637"/>
      <c r="AAU32" s="637"/>
      <c r="AAV32" s="637"/>
      <c r="AAW32" s="637"/>
      <c r="AAX32" s="637"/>
      <c r="AAY32" s="637"/>
      <c r="AAZ32" s="637"/>
      <c r="ABA32" s="637"/>
      <c r="ABB32" s="637"/>
      <c r="ABC32" s="637"/>
      <c r="ABD32" s="637"/>
      <c r="ABE32" s="637"/>
      <c r="ABF32" s="637"/>
      <c r="ABG32" s="637"/>
      <c r="ABH32" s="637"/>
      <c r="ABI32" s="637"/>
      <c r="ABJ32" s="637"/>
      <c r="ABK32" s="637"/>
      <c r="ABL32" s="637"/>
      <c r="ABM32" s="637"/>
      <c r="ABN32" s="637"/>
      <c r="ABO32" s="637"/>
      <c r="ABP32" s="637"/>
      <c r="ABQ32" s="637"/>
      <c r="ABR32" s="637"/>
      <c r="ABS32" s="637"/>
      <c r="ABT32" s="637"/>
      <c r="ABU32" s="637"/>
      <c r="ABV32" s="637"/>
      <c r="ABW32" s="637"/>
      <c r="ABX32" s="637"/>
      <c r="ABY32" s="637"/>
      <c r="ABZ32" s="637"/>
      <c r="ACA32" s="637"/>
      <c r="ACB32" s="637"/>
      <c r="ACC32" s="637"/>
      <c r="ACD32" s="637"/>
      <c r="ACE32" s="637"/>
      <c r="ACF32" s="637"/>
      <c r="ACG32" s="637"/>
      <c r="ACH32" s="637"/>
      <c r="ACI32" s="637"/>
      <c r="ACJ32" s="637"/>
      <c r="ACK32" s="637"/>
      <c r="ACL32" s="637"/>
      <c r="ACM32" s="637"/>
      <c r="ACN32" s="637"/>
      <c r="ACO32" s="637"/>
      <c r="ACP32" s="637"/>
      <c r="ACQ32" s="637"/>
      <c r="ACR32" s="637"/>
      <c r="ACS32" s="637"/>
      <c r="ACT32" s="637"/>
      <c r="ACU32" s="637"/>
      <c r="ACV32" s="637"/>
      <c r="ACW32" s="637"/>
      <c r="ACX32" s="637"/>
      <c r="ACY32" s="637"/>
      <c r="ACZ32" s="637"/>
      <c r="ADA32" s="637"/>
      <c r="ADB32" s="637"/>
      <c r="ADC32" s="637"/>
      <c r="ADD32" s="637"/>
      <c r="ADE32" s="637"/>
      <c r="ADF32" s="637"/>
      <c r="ADG32" s="637"/>
      <c r="ADH32" s="637"/>
      <c r="ADI32" s="637"/>
      <c r="ADJ32" s="637"/>
      <c r="ADK32" s="637"/>
      <c r="ADL32" s="637"/>
      <c r="ADM32" s="637"/>
      <c r="ADN32" s="637"/>
      <c r="ADO32" s="637"/>
      <c r="ADP32" s="637"/>
      <c r="ADQ32" s="637"/>
      <c r="ADR32" s="637"/>
      <c r="ADS32" s="637"/>
      <c r="ADT32" s="637"/>
      <c r="ADU32" s="637"/>
      <c r="ADV32" s="637"/>
      <c r="ADW32" s="637"/>
      <c r="ADX32" s="637"/>
      <c r="ADY32" s="637"/>
      <c r="ADZ32" s="637"/>
      <c r="AEA32" s="637"/>
      <c r="AEB32" s="637"/>
      <c r="AEC32" s="637"/>
      <c r="AED32" s="637"/>
      <c r="AEE32" s="637"/>
      <c r="AEF32" s="637"/>
      <c r="AEG32" s="637"/>
      <c r="AEH32" s="637"/>
      <c r="AEI32" s="637"/>
      <c r="AEJ32" s="637"/>
      <c r="AEK32" s="637"/>
      <c r="AEL32" s="637"/>
      <c r="AEM32" s="637"/>
      <c r="AEN32" s="637"/>
      <c r="AEO32" s="637"/>
      <c r="AEP32" s="637"/>
      <c r="AEQ32" s="637"/>
      <c r="AER32" s="637"/>
      <c r="AES32" s="637"/>
      <c r="AET32" s="637"/>
      <c r="AEU32" s="637"/>
      <c r="AEV32" s="637"/>
      <c r="AEW32" s="637"/>
      <c r="AEX32" s="637"/>
      <c r="AEY32" s="637"/>
      <c r="AEZ32" s="637"/>
      <c r="AFA32" s="637"/>
      <c r="AFB32" s="637"/>
      <c r="AFC32" s="637"/>
      <c r="AFD32" s="637"/>
      <c r="AFE32" s="637"/>
      <c r="AFF32" s="637"/>
      <c r="AFG32" s="637"/>
      <c r="AFH32" s="637"/>
      <c r="AFI32" s="637"/>
      <c r="AFJ32" s="637"/>
      <c r="AFK32" s="637"/>
      <c r="AFL32" s="637"/>
      <c r="AFM32" s="637"/>
      <c r="AFN32" s="637"/>
      <c r="AFO32" s="637"/>
      <c r="AFP32" s="637"/>
      <c r="AFQ32" s="637"/>
      <c r="AFR32" s="637"/>
      <c r="AFS32" s="637"/>
      <c r="AFT32" s="637"/>
      <c r="AFU32" s="637"/>
      <c r="AFV32" s="637"/>
      <c r="AFW32" s="637"/>
      <c r="AFX32" s="637"/>
      <c r="AFY32" s="637"/>
      <c r="AFZ32" s="637"/>
      <c r="AGA32" s="637"/>
      <c r="AGB32" s="637"/>
      <c r="AGC32" s="637"/>
      <c r="AGD32" s="637"/>
      <c r="AGE32" s="637"/>
      <c r="AGF32" s="637"/>
      <c r="AGG32" s="637"/>
      <c r="AGH32" s="637"/>
      <c r="AGI32" s="637"/>
      <c r="AGJ32" s="637"/>
      <c r="AGK32" s="637"/>
      <c r="AGL32" s="637"/>
      <c r="AGM32" s="637"/>
      <c r="AGN32" s="637"/>
      <c r="AGO32" s="637"/>
      <c r="AGP32" s="637"/>
      <c r="AGQ32" s="637"/>
      <c r="AGR32" s="637"/>
      <c r="AGS32" s="637"/>
      <c r="AGT32" s="637"/>
      <c r="AGU32" s="637"/>
      <c r="AGV32" s="637"/>
      <c r="AGW32" s="637"/>
      <c r="AGX32" s="637"/>
      <c r="AGY32" s="637"/>
      <c r="AGZ32" s="637"/>
      <c r="AHA32" s="637"/>
      <c r="AHB32" s="637"/>
      <c r="AHC32" s="637"/>
      <c r="AHD32" s="637"/>
      <c r="AHE32" s="637"/>
      <c r="AHF32" s="637"/>
      <c r="AHG32" s="637"/>
      <c r="AHH32" s="637"/>
      <c r="AHI32" s="637"/>
      <c r="AHJ32" s="637"/>
      <c r="AHK32" s="637"/>
      <c r="AHL32" s="637"/>
      <c r="AHM32" s="637"/>
      <c r="AHN32" s="637"/>
      <c r="AHO32" s="637"/>
      <c r="AHP32" s="637"/>
      <c r="AHQ32" s="637"/>
      <c r="AHR32" s="637"/>
      <c r="AHS32" s="637"/>
      <c r="AHT32" s="637"/>
      <c r="AHU32" s="637"/>
      <c r="AHV32" s="637"/>
      <c r="AHW32" s="637"/>
      <c r="AHX32" s="637"/>
      <c r="AHY32" s="637"/>
      <c r="AHZ32" s="637"/>
      <c r="AIA32" s="637"/>
      <c r="AIB32" s="637"/>
      <c r="AIC32" s="637"/>
      <c r="AID32" s="637"/>
      <c r="AIE32" s="637"/>
      <c r="AIF32" s="637"/>
      <c r="AIG32" s="637"/>
      <c r="AIH32" s="637"/>
      <c r="AII32" s="637"/>
      <c r="AIJ32" s="637"/>
      <c r="AIK32" s="637"/>
      <c r="AIL32" s="637"/>
      <c r="AIM32" s="637"/>
      <c r="AIN32" s="637"/>
      <c r="AIO32" s="637"/>
      <c r="AIP32" s="637"/>
      <c r="AIQ32" s="637"/>
      <c r="AIR32" s="637"/>
      <c r="AIS32" s="637"/>
      <c r="AIT32" s="637"/>
      <c r="AIU32" s="637"/>
      <c r="AIV32" s="637"/>
      <c r="AIW32" s="637"/>
      <c r="AIX32" s="637"/>
      <c r="AIY32" s="637"/>
      <c r="AIZ32" s="637"/>
      <c r="AJA32" s="637"/>
      <c r="AJB32" s="637"/>
      <c r="AJC32" s="637"/>
      <c r="AJD32" s="637"/>
      <c r="AJE32" s="637"/>
      <c r="AJF32" s="637"/>
      <c r="AJG32" s="637"/>
      <c r="AJH32" s="637"/>
      <c r="AJI32" s="637"/>
      <c r="AJJ32" s="637"/>
      <c r="AJK32" s="637"/>
      <c r="AJL32" s="637"/>
      <c r="AJM32" s="637"/>
      <c r="AJN32" s="637"/>
      <c r="AJO32" s="637"/>
      <c r="AJP32" s="637"/>
      <c r="AJQ32" s="637"/>
      <c r="AJR32" s="637"/>
      <c r="AJS32" s="637"/>
      <c r="AJT32" s="637"/>
      <c r="AJU32" s="637"/>
      <c r="AJV32" s="637"/>
      <c r="AJW32" s="637"/>
      <c r="AJX32" s="637"/>
      <c r="AJY32" s="637"/>
      <c r="AJZ32" s="637"/>
      <c r="AKA32" s="637"/>
      <c r="AKB32" s="637"/>
      <c r="AKC32" s="637"/>
      <c r="AKD32" s="637"/>
      <c r="AKE32" s="637"/>
      <c r="AKF32" s="637"/>
      <c r="AKG32" s="637"/>
      <c r="AKH32" s="637"/>
      <c r="AKI32" s="637"/>
      <c r="AKJ32" s="637"/>
      <c r="AKK32" s="637"/>
      <c r="AKL32" s="637"/>
      <c r="AKM32" s="637"/>
      <c r="AKN32" s="637"/>
      <c r="AKO32" s="637"/>
      <c r="AKP32" s="637"/>
      <c r="AKQ32" s="637"/>
      <c r="AKR32" s="637"/>
      <c r="AKS32" s="637"/>
      <c r="AKT32" s="637"/>
      <c r="AKU32" s="637"/>
      <c r="AKV32" s="637"/>
      <c r="AKW32" s="637"/>
      <c r="AKX32" s="637"/>
      <c r="AKY32" s="637"/>
      <c r="AKZ32" s="637"/>
      <c r="ALA32" s="637"/>
      <c r="ALB32" s="637"/>
      <c r="ALC32" s="637"/>
      <c r="ALD32" s="637"/>
      <c r="ALE32" s="637"/>
      <c r="ALF32" s="637"/>
      <c r="ALG32" s="637"/>
      <c r="ALH32" s="637"/>
      <c r="ALI32" s="637"/>
      <c r="ALJ32" s="637"/>
      <c r="ALK32" s="637"/>
      <c r="ALL32" s="637"/>
      <c r="ALM32" s="637"/>
      <c r="ALN32" s="637"/>
      <c r="ALO32" s="637"/>
      <c r="ALP32" s="637"/>
      <c r="ALQ32" s="637"/>
      <c r="ALR32" s="637"/>
      <c r="ALS32" s="637"/>
      <c r="ALT32" s="637"/>
      <c r="ALU32" s="637"/>
      <c r="ALV32" s="637"/>
      <c r="ALW32" s="637"/>
      <c r="ALX32" s="637"/>
      <c r="ALY32" s="637"/>
      <c r="ALZ32" s="637"/>
      <c r="AMA32" s="637"/>
      <c r="AMB32" s="637"/>
      <c r="AMC32" s="637"/>
      <c r="AMD32" s="637"/>
      <c r="AME32" s="637"/>
      <c r="AMF32" s="637"/>
      <c r="AMG32" s="637"/>
      <c r="AMH32" s="637"/>
      <c r="AMI32" s="637"/>
      <c r="AMJ32" s="637"/>
    </row>
    <row r="33" spans="1:1024" s="638" customFormat="1" ht="12.75">
      <c r="A33" s="984"/>
      <c r="B33" s="985"/>
      <c r="C33" s="986"/>
      <c r="D33" s="981" t="s">
        <v>861</v>
      </c>
      <c r="E33" s="982"/>
      <c r="F33" s="982">
        <f t="shared" si="1"/>
        <v>36941</v>
      </c>
      <c r="G33" s="987">
        <f>28359-345</f>
        <v>28014</v>
      </c>
      <c r="H33" s="987">
        <f>8117+3</f>
        <v>8120</v>
      </c>
      <c r="I33" s="987">
        <f>254+353</f>
        <v>607</v>
      </c>
      <c r="J33" s="987"/>
      <c r="K33" s="987"/>
      <c r="L33" s="987"/>
      <c r="M33" s="987"/>
      <c r="N33" s="987">
        <v>200</v>
      </c>
      <c r="O33" s="987"/>
      <c r="P33" s="987"/>
      <c r="Q33" s="987"/>
      <c r="R33" s="984"/>
      <c r="S33" s="637"/>
      <c r="T33" s="637"/>
      <c r="U33" s="637"/>
      <c r="V33" s="637"/>
      <c r="W33" s="637"/>
      <c r="X33" s="637"/>
      <c r="Y33" s="637"/>
      <c r="Z33" s="637"/>
      <c r="AA33" s="637"/>
      <c r="AB33" s="637"/>
      <c r="AC33" s="637"/>
      <c r="AD33" s="637"/>
      <c r="AE33" s="637"/>
      <c r="AF33" s="637"/>
      <c r="AG33" s="637"/>
      <c r="AH33" s="637"/>
      <c r="AI33" s="637"/>
      <c r="AJ33" s="637"/>
      <c r="AK33" s="637"/>
      <c r="AL33" s="637"/>
      <c r="AM33" s="637"/>
      <c r="AN33" s="637"/>
      <c r="AO33" s="637"/>
      <c r="AP33" s="637"/>
      <c r="AQ33" s="637"/>
      <c r="AR33" s="637"/>
      <c r="AS33" s="637"/>
      <c r="AT33" s="637"/>
      <c r="AU33" s="637"/>
      <c r="AV33" s="637"/>
      <c r="AW33" s="637"/>
      <c r="AX33" s="637"/>
      <c r="AY33" s="637"/>
      <c r="AZ33" s="637"/>
      <c r="BA33" s="637"/>
      <c r="BB33" s="637"/>
      <c r="BC33" s="637"/>
      <c r="BD33" s="637"/>
      <c r="BE33" s="637"/>
      <c r="BF33" s="637"/>
      <c r="BG33" s="637"/>
      <c r="BH33" s="637"/>
      <c r="BI33" s="637"/>
      <c r="BJ33" s="637"/>
      <c r="BK33" s="637"/>
      <c r="BL33" s="637"/>
      <c r="BM33" s="637"/>
      <c r="BN33" s="637"/>
      <c r="BO33" s="637"/>
      <c r="BP33" s="637"/>
      <c r="BQ33" s="637"/>
      <c r="BR33" s="637"/>
      <c r="BS33" s="637"/>
      <c r="BT33" s="637"/>
      <c r="BU33" s="637"/>
      <c r="BV33" s="637"/>
      <c r="BW33" s="637"/>
      <c r="BX33" s="637"/>
      <c r="BY33" s="637"/>
      <c r="BZ33" s="637"/>
      <c r="CA33" s="637"/>
      <c r="CB33" s="637"/>
      <c r="CC33" s="637"/>
      <c r="CD33" s="637"/>
      <c r="CE33" s="637"/>
      <c r="CF33" s="637"/>
      <c r="CG33" s="637"/>
      <c r="CH33" s="637"/>
      <c r="CI33" s="637"/>
      <c r="CJ33" s="637"/>
      <c r="CK33" s="637"/>
      <c r="CL33" s="637"/>
      <c r="CM33" s="637"/>
      <c r="CN33" s="637"/>
      <c r="CO33" s="637"/>
      <c r="CP33" s="637"/>
      <c r="CQ33" s="637"/>
      <c r="CR33" s="637"/>
      <c r="CS33" s="637"/>
      <c r="CT33" s="637"/>
      <c r="CU33" s="637"/>
      <c r="CV33" s="637"/>
      <c r="CW33" s="637"/>
      <c r="CX33" s="637"/>
      <c r="CY33" s="637"/>
      <c r="CZ33" s="637"/>
      <c r="DA33" s="637"/>
      <c r="DB33" s="637"/>
      <c r="DC33" s="637"/>
      <c r="DD33" s="637"/>
      <c r="DE33" s="637"/>
      <c r="DF33" s="637"/>
      <c r="DG33" s="637"/>
      <c r="DH33" s="637"/>
      <c r="DI33" s="637"/>
      <c r="DJ33" s="637"/>
      <c r="DK33" s="637"/>
      <c r="DL33" s="637"/>
      <c r="DM33" s="637"/>
      <c r="DN33" s="637"/>
      <c r="DO33" s="637"/>
      <c r="DP33" s="637"/>
      <c r="DQ33" s="637"/>
      <c r="DR33" s="637"/>
      <c r="DS33" s="637"/>
      <c r="DT33" s="637"/>
      <c r="DU33" s="637"/>
      <c r="DV33" s="637"/>
      <c r="DW33" s="637"/>
      <c r="DX33" s="637"/>
      <c r="DY33" s="637"/>
      <c r="DZ33" s="637"/>
      <c r="EA33" s="637"/>
      <c r="EB33" s="637"/>
      <c r="EC33" s="637"/>
      <c r="ED33" s="637"/>
      <c r="EE33" s="637"/>
      <c r="EF33" s="637"/>
      <c r="EG33" s="637"/>
      <c r="EH33" s="637"/>
      <c r="EI33" s="637"/>
      <c r="EJ33" s="637"/>
      <c r="EK33" s="637"/>
      <c r="EL33" s="637"/>
      <c r="EM33" s="637"/>
      <c r="EN33" s="637"/>
      <c r="EO33" s="637"/>
      <c r="EP33" s="637"/>
      <c r="EQ33" s="637"/>
      <c r="ER33" s="637"/>
      <c r="ES33" s="637"/>
      <c r="ET33" s="637"/>
      <c r="EU33" s="637"/>
      <c r="EV33" s="637"/>
      <c r="EW33" s="637"/>
      <c r="EX33" s="637"/>
      <c r="EY33" s="637"/>
      <c r="EZ33" s="637"/>
      <c r="FA33" s="637"/>
      <c r="FB33" s="637"/>
      <c r="FC33" s="637"/>
      <c r="FD33" s="637"/>
      <c r="FE33" s="637"/>
      <c r="FF33" s="637"/>
      <c r="FG33" s="637"/>
      <c r="FH33" s="637"/>
      <c r="FI33" s="637"/>
      <c r="FJ33" s="637"/>
      <c r="FK33" s="637"/>
      <c r="FL33" s="637"/>
      <c r="FM33" s="637"/>
      <c r="FN33" s="637"/>
      <c r="FO33" s="637"/>
      <c r="FP33" s="637"/>
      <c r="FQ33" s="637"/>
      <c r="FR33" s="637"/>
      <c r="FS33" s="637"/>
      <c r="FT33" s="637"/>
      <c r="FU33" s="637"/>
      <c r="FV33" s="637"/>
      <c r="FW33" s="637"/>
      <c r="FX33" s="637"/>
      <c r="FY33" s="637"/>
      <c r="FZ33" s="637"/>
      <c r="GA33" s="637"/>
      <c r="GB33" s="637"/>
      <c r="GC33" s="637"/>
      <c r="GD33" s="637"/>
      <c r="GE33" s="637"/>
      <c r="GF33" s="637"/>
      <c r="GG33" s="637"/>
      <c r="GH33" s="637"/>
      <c r="GI33" s="637"/>
      <c r="GJ33" s="637"/>
      <c r="GK33" s="637"/>
      <c r="GL33" s="637"/>
      <c r="GM33" s="637"/>
      <c r="GN33" s="637"/>
      <c r="GO33" s="637"/>
      <c r="GP33" s="637"/>
      <c r="GQ33" s="637"/>
      <c r="GR33" s="637"/>
      <c r="GS33" s="637"/>
      <c r="GT33" s="637"/>
      <c r="GU33" s="637"/>
      <c r="GV33" s="637"/>
      <c r="GW33" s="637"/>
      <c r="GX33" s="637"/>
      <c r="GY33" s="637"/>
      <c r="GZ33" s="637"/>
      <c r="HA33" s="637"/>
      <c r="HB33" s="637"/>
      <c r="HC33" s="637"/>
      <c r="HD33" s="637"/>
      <c r="HE33" s="637"/>
      <c r="HF33" s="637"/>
      <c r="HG33" s="637"/>
      <c r="HH33" s="637"/>
      <c r="HI33" s="637"/>
      <c r="HJ33" s="637"/>
      <c r="HK33" s="637"/>
      <c r="HL33" s="637"/>
      <c r="HM33" s="637"/>
      <c r="HN33" s="637"/>
      <c r="HO33" s="637"/>
      <c r="HP33" s="637"/>
      <c r="HQ33" s="637"/>
      <c r="HR33" s="637"/>
      <c r="HS33" s="637"/>
      <c r="HT33" s="637"/>
      <c r="HU33" s="637"/>
      <c r="HV33" s="637"/>
      <c r="HW33" s="637"/>
      <c r="HX33" s="637"/>
      <c r="HY33" s="637"/>
      <c r="HZ33" s="637"/>
      <c r="IA33" s="637"/>
      <c r="IB33" s="637"/>
      <c r="IC33" s="637"/>
      <c r="ID33" s="637"/>
      <c r="IE33" s="637"/>
      <c r="IF33" s="637"/>
      <c r="IG33" s="637"/>
      <c r="IH33" s="637"/>
      <c r="II33" s="637"/>
      <c r="IJ33" s="637"/>
      <c r="IK33" s="637"/>
      <c r="IL33" s="637"/>
      <c r="IM33" s="637"/>
      <c r="IN33" s="637"/>
      <c r="IO33" s="637"/>
      <c r="IP33" s="637"/>
      <c r="IQ33" s="637"/>
      <c r="IR33" s="637"/>
      <c r="IS33" s="637"/>
      <c r="IT33" s="637"/>
      <c r="IU33" s="637"/>
      <c r="IV33" s="637"/>
      <c r="IW33" s="637"/>
      <c r="IX33" s="637"/>
      <c r="IY33" s="637"/>
      <c r="IZ33" s="637"/>
      <c r="JA33" s="637"/>
      <c r="JB33" s="637"/>
      <c r="JC33" s="637"/>
      <c r="JD33" s="637"/>
      <c r="JE33" s="637"/>
      <c r="JF33" s="637"/>
      <c r="JG33" s="637"/>
      <c r="JH33" s="637"/>
      <c r="JI33" s="637"/>
      <c r="JJ33" s="637"/>
      <c r="JK33" s="637"/>
      <c r="JL33" s="637"/>
      <c r="JM33" s="637"/>
      <c r="JN33" s="637"/>
      <c r="JO33" s="637"/>
      <c r="JP33" s="637"/>
      <c r="JQ33" s="637"/>
      <c r="JR33" s="637"/>
      <c r="JS33" s="637"/>
      <c r="JT33" s="637"/>
      <c r="JU33" s="637"/>
      <c r="JV33" s="637"/>
      <c r="JW33" s="637"/>
      <c r="JX33" s="637"/>
      <c r="JY33" s="637"/>
      <c r="JZ33" s="637"/>
      <c r="KA33" s="637"/>
      <c r="KB33" s="637"/>
      <c r="KC33" s="637"/>
      <c r="KD33" s="637"/>
      <c r="KE33" s="637"/>
      <c r="KF33" s="637"/>
      <c r="KG33" s="637"/>
      <c r="KH33" s="637"/>
      <c r="KI33" s="637"/>
      <c r="KJ33" s="637"/>
      <c r="KK33" s="637"/>
      <c r="KL33" s="637"/>
      <c r="KM33" s="637"/>
      <c r="KN33" s="637"/>
      <c r="KO33" s="637"/>
      <c r="KP33" s="637"/>
      <c r="KQ33" s="637"/>
      <c r="KR33" s="637"/>
      <c r="KS33" s="637"/>
      <c r="KT33" s="637"/>
      <c r="KU33" s="637"/>
      <c r="KV33" s="637"/>
      <c r="KW33" s="637"/>
      <c r="KX33" s="637"/>
      <c r="KY33" s="637"/>
      <c r="KZ33" s="637"/>
      <c r="LA33" s="637"/>
      <c r="LB33" s="637"/>
      <c r="LC33" s="637"/>
      <c r="LD33" s="637"/>
      <c r="LE33" s="637"/>
      <c r="LF33" s="637"/>
      <c r="LG33" s="637"/>
      <c r="LH33" s="637"/>
      <c r="LI33" s="637"/>
      <c r="LJ33" s="637"/>
      <c r="LK33" s="637"/>
      <c r="LL33" s="637"/>
      <c r="LM33" s="637"/>
      <c r="LN33" s="637"/>
      <c r="LO33" s="637"/>
      <c r="LP33" s="637"/>
      <c r="LQ33" s="637"/>
      <c r="LR33" s="637"/>
      <c r="LS33" s="637"/>
      <c r="LT33" s="637"/>
      <c r="LU33" s="637"/>
      <c r="LV33" s="637"/>
      <c r="LW33" s="637"/>
      <c r="LX33" s="637"/>
      <c r="LY33" s="637"/>
      <c r="LZ33" s="637"/>
      <c r="MA33" s="637"/>
      <c r="MB33" s="637"/>
      <c r="MC33" s="637"/>
      <c r="MD33" s="637"/>
      <c r="ME33" s="637"/>
      <c r="MF33" s="637"/>
      <c r="MG33" s="637"/>
      <c r="MH33" s="637"/>
      <c r="MI33" s="637"/>
      <c r="MJ33" s="637"/>
      <c r="MK33" s="637"/>
      <c r="ML33" s="637"/>
      <c r="MM33" s="637"/>
      <c r="MN33" s="637"/>
      <c r="MO33" s="637"/>
      <c r="MP33" s="637"/>
      <c r="MQ33" s="637"/>
      <c r="MR33" s="637"/>
      <c r="MS33" s="637"/>
      <c r="MT33" s="637"/>
      <c r="MU33" s="637"/>
      <c r="MV33" s="637"/>
      <c r="MW33" s="637"/>
      <c r="MX33" s="637"/>
      <c r="MY33" s="637"/>
      <c r="MZ33" s="637"/>
      <c r="NA33" s="637"/>
      <c r="NB33" s="637"/>
      <c r="NC33" s="637"/>
      <c r="ND33" s="637"/>
      <c r="NE33" s="637"/>
      <c r="NF33" s="637"/>
      <c r="NG33" s="637"/>
      <c r="NH33" s="637"/>
      <c r="NI33" s="637"/>
      <c r="NJ33" s="637"/>
      <c r="NK33" s="637"/>
      <c r="NL33" s="637"/>
      <c r="NM33" s="637"/>
      <c r="NN33" s="637"/>
      <c r="NO33" s="637"/>
      <c r="NP33" s="637"/>
      <c r="NQ33" s="637"/>
      <c r="NR33" s="637"/>
      <c r="NS33" s="637"/>
      <c r="NT33" s="637"/>
      <c r="NU33" s="637"/>
      <c r="NV33" s="637"/>
      <c r="NW33" s="637"/>
      <c r="NX33" s="637"/>
      <c r="NY33" s="637"/>
      <c r="NZ33" s="637"/>
      <c r="OA33" s="637"/>
      <c r="OB33" s="637"/>
      <c r="OC33" s="637"/>
      <c r="OD33" s="637"/>
      <c r="OE33" s="637"/>
      <c r="OF33" s="637"/>
      <c r="OG33" s="637"/>
      <c r="OH33" s="637"/>
      <c r="OI33" s="637"/>
      <c r="OJ33" s="637"/>
      <c r="OK33" s="637"/>
      <c r="OL33" s="637"/>
      <c r="OM33" s="637"/>
      <c r="ON33" s="637"/>
      <c r="OO33" s="637"/>
      <c r="OP33" s="637"/>
      <c r="OQ33" s="637"/>
      <c r="OR33" s="637"/>
      <c r="OS33" s="637"/>
      <c r="OT33" s="637"/>
      <c r="OU33" s="637"/>
      <c r="OV33" s="637"/>
      <c r="OW33" s="637"/>
      <c r="OX33" s="637"/>
      <c r="OY33" s="637"/>
      <c r="OZ33" s="637"/>
      <c r="PA33" s="637"/>
      <c r="PB33" s="637"/>
      <c r="PC33" s="637"/>
      <c r="PD33" s="637"/>
      <c r="PE33" s="637"/>
      <c r="PF33" s="637"/>
      <c r="PG33" s="637"/>
      <c r="PH33" s="637"/>
      <c r="PI33" s="637"/>
      <c r="PJ33" s="637"/>
      <c r="PK33" s="637"/>
      <c r="PL33" s="637"/>
      <c r="PM33" s="637"/>
      <c r="PN33" s="637"/>
      <c r="PO33" s="637"/>
      <c r="PP33" s="637"/>
      <c r="PQ33" s="637"/>
      <c r="PR33" s="637"/>
      <c r="PS33" s="637"/>
      <c r="PT33" s="637"/>
      <c r="PU33" s="637"/>
      <c r="PV33" s="637"/>
      <c r="PW33" s="637"/>
      <c r="PX33" s="637"/>
      <c r="PY33" s="637"/>
      <c r="PZ33" s="637"/>
      <c r="QA33" s="637"/>
      <c r="QB33" s="637"/>
      <c r="QC33" s="637"/>
      <c r="QD33" s="637"/>
      <c r="QE33" s="637"/>
      <c r="QF33" s="637"/>
      <c r="QG33" s="637"/>
      <c r="QH33" s="637"/>
      <c r="QI33" s="637"/>
      <c r="QJ33" s="637"/>
      <c r="QK33" s="637"/>
      <c r="QL33" s="637"/>
      <c r="QM33" s="637"/>
      <c r="QN33" s="637"/>
      <c r="QO33" s="637"/>
      <c r="QP33" s="637"/>
      <c r="QQ33" s="637"/>
      <c r="QR33" s="637"/>
      <c r="QS33" s="637"/>
      <c r="QT33" s="637"/>
      <c r="QU33" s="637"/>
      <c r="QV33" s="637"/>
      <c r="QW33" s="637"/>
      <c r="QX33" s="637"/>
      <c r="QY33" s="637"/>
      <c r="QZ33" s="637"/>
      <c r="RA33" s="637"/>
      <c r="RB33" s="637"/>
      <c r="RC33" s="637"/>
      <c r="RD33" s="637"/>
      <c r="RE33" s="637"/>
      <c r="RF33" s="637"/>
      <c r="RG33" s="637"/>
      <c r="RH33" s="637"/>
      <c r="RI33" s="637"/>
      <c r="RJ33" s="637"/>
      <c r="RK33" s="637"/>
      <c r="RL33" s="637"/>
      <c r="RM33" s="637"/>
      <c r="RN33" s="637"/>
      <c r="RO33" s="637"/>
      <c r="RP33" s="637"/>
      <c r="RQ33" s="637"/>
      <c r="RR33" s="637"/>
      <c r="RS33" s="637"/>
      <c r="RT33" s="637"/>
      <c r="RU33" s="637"/>
      <c r="RV33" s="637"/>
      <c r="RW33" s="637"/>
      <c r="RX33" s="637"/>
      <c r="RY33" s="637"/>
      <c r="RZ33" s="637"/>
      <c r="SA33" s="637"/>
      <c r="SB33" s="637"/>
      <c r="SC33" s="637"/>
      <c r="SD33" s="637"/>
      <c r="SE33" s="637"/>
      <c r="SF33" s="637"/>
      <c r="SG33" s="637"/>
      <c r="SH33" s="637"/>
      <c r="SI33" s="637"/>
      <c r="SJ33" s="637"/>
      <c r="SK33" s="637"/>
      <c r="SL33" s="637"/>
      <c r="SM33" s="637"/>
      <c r="SN33" s="637"/>
      <c r="SO33" s="637"/>
      <c r="SP33" s="637"/>
      <c r="SQ33" s="637"/>
      <c r="SR33" s="637"/>
      <c r="SS33" s="637"/>
      <c r="ST33" s="637"/>
      <c r="SU33" s="637"/>
      <c r="SV33" s="637"/>
      <c r="SW33" s="637"/>
      <c r="SX33" s="637"/>
      <c r="SY33" s="637"/>
      <c r="SZ33" s="637"/>
      <c r="TA33" s="637"/>
      <c r="TB33" s="637"/>
      <c r="TC33" s="637"/>
      <c r="TD33" s="637"/>
      <c r="TE33" s="637"/>
      <c r="TF33" s="637"/>
      <c r="TG33" s="637"/>
      <c r="TH33" s="637"/>
      <c r="TI33" s="637"/>
      <c r="TJ33" s="637"/>
      <c r="TK33" s="637"/>
      <c r="TL33" s="637"/>
      <c r="TM33" s="637"/>
      <c r="TN33" s="637"/>
      <c r="TO33" s="637"/>
      <c r="TP33" s="637"/>
      <c r="TQ33" s="637"/>
      <c r="TR33" s="637"/>
      <c r="TS33" s="637"/>
      <c r="TT33" s="637"/>
      <c r="TU33" s="637"/>
      <c r="TV33" s="637"/>
      <c r="TW33" s="637"/>
      <c r="TX33" s="637"/>
      <c r="TY33" s="637"/>
      <c r="TZ33" s="637"/>
      <c r="UA33" s="637"/>
      <c r="UB33" s="637"/>
      <c r="UC33" s="637"/>
      <c r="UD33" s="637"/>
      <c r="UE33" s="637"/>
      <c r="UF33" s="637"/>
      <c r="UG33" s="637"/>
      <c r="UH33" s="637"/>
      <c r="UI33" s="637"/>
      <c r="UJ33" s="637"/>
      <c r="UK33" s="637"/>
      <c r="UL33" s="637"/>
      <c r="UM33" s="637"/>
      <c r="UN33" s="637"/>
      <c r="UO33" s="637"/>
      <c r="UP33" s="637"/>
      <c r="UQ33" s="637"/>
      <c r="UR33" s="637"/>
      <c r="US33" s="637"/>
      <c r="UT33" s="637"/>
      <c r="UU33" s="637"/>
      <c r="UV33" s="637"/>
      <c r="UW33" s="637"/>
      <c r="UX33" s="637"/>
      <c r="UY33" s="637"/>
      <c r="UZ33" s="637"/>
      <c r="VA33" s="637"/>
      <c r="VB33" s="637"/>
      <c r="VC33" s="637"/>
      <c r="VD33" s="637"/>
      <c r="VE33" s="637"/>
      <c r="VF33" s="637"/>
      <c r="VG33" s="637"/>
      <c r="VH33" s="637"/>
      <c r="VI33" s="637"/>
      <c r="VJ33" s="637"/>
      <c r="VK33" s="637"/>
      <c r="VL33" s="637"/>
      <c r="VM33" s="637"/>
      <c r="VN33" s="637"/>
      <c r="VO33" s="637"/>
      <c r="VP33" s="637"/>
      <c r="VQ33" s="637"/>
      <c r="VR33" s="637"/>
      <c r="VS33" s="637"/>
      <c r="VT33" s="637"/>
      <c r="VU33" s="637"/>
      <c r="VV33" s="637"/>
      <c r="VW33" s="637"/>
      <c r="VX33" s="637"/>
      <c r="VY33" s="637"/>
      <c r="VZ33" s="637"/>
      <c r="WA33" s="637"/>
      <c r="WB33" s="637"/>
      <c r="WC33" s="637"/>
      <c r="WD33" s="637"/>
      <c r="WE33" s="637"/>
      <c r="WF33" s="637"/>
      <c r="WG33" s="637"/>
      <c r="WH33" s="637"/>
      <c r="WI33" s="637"/>
      <c r="WJ33" s="637"/>
      <c r="WK33" s="637"/>
      <c r="WL33" s="637"/>
      <c r="WM33" s="637"/>
      <c r="WN33" s="637"/>
      <c r="WO33" s="637"/>
      <c r="WP33" s="637"/>
      <c r="WQ33" s="637"/>
      <c r="WR33" s="637"/>
      <c r="WS33" s="637"/>
      <c r="WT33" s="637"/>
      <c r="WU33" s="637"/>
      <c r="WV33" s="637"/>
      <c r="WW33" s="637"/>
      <c r="WX33" s="637"/>
      <c r="WY33" s="637"/>
      <c r="WZ33" s="637"/>
      <c r="XA33" s="637"/>
      <c r="XB33" s="637"/>
      <c r="XC33" s="637"/>
      <c r="XD33" s="637"/>
      <c r="XE33" s="637"/>
      <c r="XF33" s="637"/>
      <c r="XG33" s="637"/>
      <c r="XH33" s="637"/>
      <c r="XI33" s="637"/>
      <c r="XJ33" s="637"/>
      <c r="XK33" s="637"/>
      <c r="XL33" s="637"/>
      <c r="XM33" s="637"/>
      <c r="XN33" s="637"/>
      <c r="XO33" s="637"/>
      <c r="XP33" s="637"/>
      <c r="XQ33" s="637"/>
      <c r="XR33" s="637"/>
      <c r="XS33" s="637"/>
      <c r="XT33" s="637"/>
      <c r="XU33" s="637"/>
      <c r="XV33" s="637"/>
      <c r="XW33" s="637"/>
      <c r="XX33" s="637"/>
      <c r="XY33" s="637"/>
      <c r="XZ33" s="637"/>
      <c r="YA33" s="637"/>
      <c r="YB33" s="637"/>
      <c r="YC33" s="637"/>
      <c r="YD33" s="637"/>
      <c r="YE33" s="637"/>
      <c r="YF33" s="637"/>
      <c r="YG33" s="637"/>
      <c r="YH33" s="637"/>
      <c r="YI33" s="637"/>
      <c r="YJ33" s="637"/>
      <c r="YK33" s="637"/>
      <c r="YL33" s="637"/>
      <c r="YM33" s="637"/>
      <c r="YN33" s="637"/>
      <c r="YO33" s="637"/>
      <c r="YP33" s="637"/>
      <c r="YQ33" s="637"/>
      <c r="YR33" s="637"/>
      <c r="YS33" s="637"/>
      <c r="YT33" s="637"/>
      <c r="YU33" s="637"/>
      <c r="YV33" s="637"/>
      <c r="YW33" s="637"/>
      <c r="YX33" s="637"/>
      <c r="YY33" s="637"/>
      <c r="YZ33" s="637"/>
      <c r="ZA33" s="637"/>
      <c r="ZB33" s="637"/>
      <c r="ZC33" s="637"/>
      <c r="ZD33" s="637"/>
      <c r="ZE33" s="637"/>
      <c r="ZF33" s="637"/>
      <c r="ZG33" s="637"/>
      <c r="ZH33" s="637"/>
      <c r="ZI33" s="637"/>
      <c r="ZJ33" s="637"/>
      <c r="ZK33" s="637"/>
      <c r="ZL33" s="637"/>
      <c r="ZM33" s="637"/>
      <c r="ZN33" s="637"/>
      <c r="ZO33" s="637"/>
      <c r="ZP33" s="637"/>
      <c r="ZQ33" s="637"/>
      <c r="ZR33" s="637"/>
      <c r="ZS33" s="637"/>
      <c r="ZT33" s="637"/>
      <c r="ZU33" s="637"/>
      <c r="ZV33" s="637"/>
      <c r="ZW33" s="637"/>
      <c r="ZX33" s="637"/>
      <c r="ZY33" s="637"/>
      <c r="ZZ33" s="637"/>
      <c r="AAA33" s="637"/>
      <c r="AAB33" s="637"/>
      <c r="AAC33" s="637"/>
      <c r="AAD33" s="637"/>
      <c r="AAE33" s="637"/>
      <c r="AAF33" s="637"/>
      <c r="AAG33" s="637"/>
      <c r="AAH33" s="637"/>
      <c r="AAI33" s="637"/>
      <c r="AAJ33" s="637"/>
      <c r="AAK33" s="637"/>
      <c r="AAL33" s="637"/>
      <c r="AAM33" s="637"/>
      <c r="AAN33" s="637"/>
      <c r="AAO33" s="637"/>
      <c r="AAP33" s="637"/>
      <c r="AAQ33" s="637"/>
      <c r="AAR33" s="637"/>
      <c r="AAS33" s="637"/>
      <c r="AAT33" s="637"/>
      <c r="AAU33" s="637"/>
      <c r="AAV33" s="637"/>
      <c r="AAW33" s="637"/>
      <c r="AAX33" s="637"/>
      <c r="AAY33" s="637"/>
      <c r="AAZ33" s="637"/>
      <c r="ABA33" s="637"/>
      <c r="ABB33" s="637"/>
      <c r="ABC33" s="637"/>
      <c r="ABD33" s="637"/>
      <c r="ABE33" s="637"/>
      <c r="ABF33" s="637"/>
      <c r="ABG33" s="637"/>
      <c r="ABH33" s="637"/>
      <c r="ABI33" s="637"/>
      <c r="ABJ33" s="637"/>
      <c r="ABK33" s="637"/>
      <c r="ABL33" s="637"/>
      <c r="ABM33" s="637"/>
      <c r="ABN33" s="637"/>
      <c r="ABO33" s="637"/>
      <c r="ABP33" s="637"/>
      <c r="ABQ33" s="637"/>
      <c r="ABR33" s="637"/>
      <c r="ABS33" s="637"/>
      <c r="ABT33" s="637"/>
      <c r="ABU33" s="637"/>
      <c r="ABV33" s="637"/>
      <c r="ABW33" s="637"/>
      <c r="ABX33" s="637"/>
      <c r="ABY33" s="637"/>
      <c r="ABZ33" s="637"/>
      <c r="ACA33" s="637"/>
      <c r="ACB33" s="637"/>
      <c r="ACC33" s="637"/>
      <c r="ACD33" s="637"/>
      <c r="ACE33" s="637"/>
      <c r="ACF33" s="637"/>
      <c r="ACG33" s="637"/>
      <c r="ACH33" s="637"/>
      <c r="ACI33" s="637"/>
      <c r="ACJ33" s="637"/>
      <c r="ACK33" s="637"/>
      <c r="ACL33" s="637"/>
      <c r="ACM33" s="637"/>
      <c r="ACN33" s="637"/>
      <c r="ACO33" s="637"/>
      <c r="ACP33" s="637"/>
      <c r="ACQ33" s="637"/>
      <c r="ACR33" s="637"/>
      <c r="ACS33" s="637"/>
      <c r="ACT33" s="637"/>
      <c r="ACU33" s="637"/>
      <c r="ACV33" s="637"/>
      <c r="ACW33" s="637"/>
      <c r="ACX33" s="637"/>
      <c r="ACY33" s="637"/>
      <c r="ACZ33" s="637"/>
      <c r="ADA33" s="637"/>
      <c r="ADB33" s="637"/>
      <c r="ADC33" s="637"/>
      <c r="ADD33" s="637"/>
      <c r="ADE33" s="637"/>
      <c r="ADF33" s="637"/>
      <c r="ADG33" s="637"/>
      <c r="ADH33" s="637"/>
      <c r="ADI33" s="637"/>
      <c r="ADJ33" s="637"/>
      <c r="ADK33" s="637"/>
      <c r="ADL33" s="637"/>
      <c r="ADM33" s="637"/>
      <c r="ADN33" s="637"/>
      <c r="ADO33" s="637"/>
      <c r="ADP33" s="637"/>
      <c r="ADQ33" s="637"/>
      <c r="ADR33" s="637"/>
      <c r="ADS33" s="637"/>
      <c r="ADT33" s="637"/>
      <c r="ADU33" s="637"/>
      <c r="ADV33" s="637"/>
      <c r="ADW33" s="637"/>
      <c r="ADX33" s="637"/>
      <c r="ADY33" s="637"/>
      <c r="ADZ33" s="637"/>
      <c r="AEA33" s="637"/>
      <c r="AEB33" s="637"/>
      <c r="AEC33" s="637"/>
      <c r="AED33" s="637"/>
      <c r="AEE33" s="637"/>
      <c r="AEF33" s="637"/>
      <c r="AEG33" s="637"/>
      <c r="AEH33" s="637"/>
      <c r="AEI33" s="637"/>
      <c r="AEJ33" s="637"/>
      <c r="AEK33" s="637"/>
      <c r="AEL33" s="637"/>
      <c r="AEM33" s="637"/>
      <c r="AEN33" s="637"/>
      <c r="AEO33" s="637"/>
      <c r="AEP33" s="637"/>
      <c r="AEQ33" s="637"/>
      <c r="AER33" s="637"/>
      <c r="AES33" s="637"/>
      <c r="AET33" s="637"/>
      <c r="AEU33" s="637"/>
      <c r="AEV33" s="637"/>
      <c r="AEW33" s="637"/>
      <c r="AEX33" s="637"/>
      <c r="AEY33" s="637"/>
      <c r="AEZ33" s="637"/>
      <c r="AFA33" s="637"/>
      <c r="AFB33" s="637"/>
      <c r="AFC33" s="637"/>
      <c r="AFD33" s="637"/>
      <c r="AFE33" s="637"/>
      <c r="AFF33" s="637"/>
      <c r="AFG33" s="637"/>
      <c r="AFH33" s="637"/>
      <c r="AFI33" s="637"/>
      <c r="AFJ33" s="637"/>
      <c r="AFK33" s="637"/>
      <c r="AFL33" s="637"/>
      <c r="AFM33" s="637"/>
      <c r="AFN33" s="637"/>
      <c r="AFO33" s="637"/>
      <c r="AFP33" s="637"/>
      <c r="AFQ33" s="637"/>
      <c r="AFR33" s="637"/>
      <c r="AFS33" s="637"/>
      <c r="AFT33" s="637"/>
      <c r="AFU33" s="637"/>
      <c r="AFV33" s="637"/>
      <c r="AFW33" s="637"/>
      <c r="AFX33" s="637"/>
      <c r="AFY33" s="637"/>
      <c r="AFZ33" s="637"/>
      <c r="AGA33" s="637"/>
      <c r="AGB33" s="637"/>
      <c r="AGC33" s="637"/>
      <c r="AGD33" s="637"/>
      <c r="AGE33" s="637"/>
      <c r="AGF33" s="637"/>
      <c r="AGG33" s="637"/>
      <c r="AGH33" s="637"/>
      <c r="AGI33" s="637"/>
      <c r="AGJ33" s="637"/>
      <c r="AGK33" s="637"/>
      <c r="AGL33" s="637"/>
      <c r="AGM33" s="637"/>
      <c r="AGN33" s="637"/>
      <c r="AGO33" s="637"/>
      <c r="AGP33" s="637"/>
      <c r="AGQ33" s="637"/>
      <c r="AGR33" s="637"/>
      <c r="AGS33" s="637"/>
      <c r="AGT33" s="637"/>
      <c r="AGU33" s="637"/>
      <c r="AGV33" s="637"/>
      <c r="AGW33" s="637"/>
      <c r="AGX33" s="637"/>
      <c r="AGY33" s="637"/>
      <c r="AGZ33" s="637"/>
      <c r="AHA33" s="637"/>
      <c r="AHB33" s="637"/>
      <c r="AHC33" s="637"/>
      <c r="AHD33" s="637"/>
      <c r="AHE33" s="637"/>
      <c r="AHF33" s="637"/>
      <c r="AHG33" s="637"/>
      <c r="AHH33" s="637"/>
      <c r="AHI33" s="637"/>
      <c r="AHJ33" s="637"/>
      <c r="AHK33" s="637"/>
      <c r="AHL33" s="637"/>
      <c r="AHM33" s="637"/>
      <c r="AHN33" s="637"/>
      <c r="AHO33" s="637"/>
      <c r="AHP33" s="637"/>
      <c r="AHQ33" s="637"/>
      <c r="AHR33" s="637"/>
      <c r="AHS33" s="637"/>
      <c r="AHT33" s="637"/>
      <c r="AHU33" s="637"/>
      <c r="AHV33" s="637"/>
      <c r="AHW33" s="637"/>
      <c r="AHX33" s="637"/>
      <c r="AHY33" s="637"/>
      <c r="AHZ33" s="637"/>
      <c r="AIA33" s="637"/>
      <c r="AIB33" s="637"/>
      <c r="AIC33" s="637"/>
      <c r="AID33" s="637"/>
      <c r="AIE33" s="637"/>
      <c r="AIF33" s="637"/>
      <c r="AIG33" s="637"/>
      <c r="AIH33" s="637"/>
      <c r="AII33" s="637"/>
      <c r="AIJ33" s="637"/>
      <c r="AIK33" s="637"/>
      <c r="AIL33" s="637"/>
      <c r="AIM33" s="637"/>
      <c r="AIN33" s="637"/>
      <c r="AIO33" s="637"/>
      <c r="AIP33" s="637"/>
      <c r="AIQ33" s="637"/>
      <c r="AIR33" s="637"/>
      <c r="AIS33" s="637"/>
      <c r="AIT33" s="637"/>
      <c r="AIU33" s="637"/>
      <c r="AIV33" s="637"/>
      <c r="AIW33" s="637"/>
      <c r="AIX33" s="637"/>
      <c r="AIY33" s="637"/>
      <c r="AIZ33" s="637"/>
      <c r="AJA33" s="637"/>
      <c r="AJB33" s="637"/>
      <c r="AJC33" s="637"/>
      <c r="AJD33" s="637"/>
      <c r="AJE33" s="637"/>
      <c r="AJF33" s="637"/>
      <c r="AJG33" s="637"/>
      <c r="AJH33" s="637"/>
      <c r="AJI33" s="637"/>
      <c r="AJJ33" s="637"/>
      <c r="AJK33" s="637"/>
      <c r="AJL33" s="637"/>
      <c r="AJM33" s="637"/>
      <c r="AJN33" s="637"/>
      <c r="AJO33" s="637"/>
      <c r="AJP33" s="637"/>
      <c r="AJQ33" s="637"/>
      <c r="AJR33" s="637"/>
      <c r="AJS33" s="637"/>
      <c r="AJT33" s="637"/>
      <c r="AJU33" s="637"/>
      <c r="AJV33" s="637"/>
      <c r="AJW33" s="637"/>
      <c r="AJX33" s="637"/>
      <c r="AJY33" s="637"/>
      <c r="AJZ33" s="637"/>
      <c r="AKA33" s="637"/>
      <c r="AKB33" s="637"/>
      <c r="AKC33" s="637"/>
      <c r="AKD33" s="637"/>
      <c r="AKE33" s="637"/>
      <c r="AKF33" s="637"/>
      <c r="AKG33" s="637"/>
      <c r="AKH33" s="637"/>
      <c r="AKI33" s="637"/>
      <c r="AKJ33" s="637"/>
      <c r="AKK33" s="637"/>
      <c r="AKL33" s="637"/>
      <c r="AKM33" s="637"/>
      <c r="AKN33" s="637"/>
      <c r="AKO33" s="637"/>
      <c r="AKP33" s="637"/>
      <c r="AKQ33" s="637"/>
      <c r="AKR33" s="637"/>
      <c r="AKS33" s="637"/>
      <c r="AKT33" s="637"/>
      <c r="AKU33" s="637"/>
      <c r="AKV33" s="637"/>
      <c r="AKW33" s="637"/>
      <c r="AKX33" s="637"/>
      <c r="AKY33" s="637"/>
      <c r="AKZ33" s="637"/>
      <c r="ALA33" s="637"/>
      <c r="ALB33" s="637"/>
      <c r="ALC33" s="637"/>
      <c r="ALD33" s="637"/>
      <c r="ALE33" s="637"/>
      <c r="ALF33" s="637"/>
      <c r="ALG33" s="637"/>
      <c r="ALH33" s="637"/>
      <c r="ALI33" s="637"/>
      <c r="ALJ33" s="637"/>
      <c r="ALK33" s="637"/>
      <c r="ALL33" s="637"/>
      <c r="ALM33" s="637"/>
      <c r="ALN33" s="637"/>
      <c r="ALO33" s="637"/>
      <c r="ALP33" s="637"/>
      <c r="ALQ33" s="637"/>
      <c r="ALR33" s="637"/>
      <c r="ALS33" s="637"/>
      <c r="ALT33" s="637"/>
      <c r="ALU33" s="637"/>
      <c r="ALV33" s="637"/>
      <c r="ALW33" s="637"/>
      <c r="ALX33" s="637"/>
      <c r="ALY33" s="637"/>
      <c r="ALZ33" s="637"/>
      <c r="AMA33" s="637"/>
      <c r="AMB33" s="637"/>
      <c r="AMC33" s="637"/>
      <c r="AMD33" s="637"/>
      <c r="AME33" s="637"/>
      <c r="AMF33" s="637"/>
      <c r="AMG33" s="637"/>
      <c r="AMH33" s="637"/>
      <c r="AMI33" s="637"/>
      <c r="AMJ33" s="637"/>
    </row>
    <row r="34" spans="1:1024" s="638" customFormat="1" ht="12.75">
      <c r="A34" s="984"/>
      <c r="B34" s="985"/>
      <c r="C34" s="986"/>
      <c r="D34" s="981" t="s">
        <v>1041</v>
      </c>
      <c r="E34" s="982"/>
      <c r="F34" s="994">
        <f t="shared" si="1"/>
        <v>30339</v>
      </c>
      <c r="G34" s="987">
        <f>28359-345+4-5000</f>
        <v>23018</v>
      </c>
      <c r="H34" s="987">
        <f>8117+3+1-1000</f>
        <v>7121</v>
      </c>
      <c r="I34" s="987">
        <f>254+353-607</f>
        <v>0</v>
      </c>
      <c r="J34" s="987"/>
      <c r="K34" s="987"/>
      <c r="L34" s="987"/>
      <c r="M34" s="987"/>
      <c r="N34" s="987">
        <v>200</v>
      </c>
      <c r="O34" s="987"/>
      <c r="P34" s="987"/>
      <c r="Q34" s="987"/>
      <c r="R34" s="984"/>
      <c r="S34" s="637"/>
      <c r="T34" s="637"/>
      <c r="U34" s="637"/>
      <c r="V34" s="637"/>
      <c r="W34" s="637"/>
      <c r="X34" s="637"/>
      <c r="Y34" s="637"/>
      <c r="Z34" s="637"/>
      <c r="AA34" s="637"/>
      <c r="AB34" s="637"/>
      <c r="AC34" s="637"/>
      <c r="AD34" s="637"/>
      <c r="AE34" s="637"/>
      <c r="AF34" s="637"/>
      <c r="AG34" s="637"/>
      <c r="AH34" s="637"/>
      <c r="AI34" s="637"/>
      <c r="AJ34" s="637"/>
      <c r="AK34" s="637"/>
      <c r="AL34" s="637"/>
      <c r="AM34" s="637"/>
      <c r="AN34" s="637"/>
      <c r="AO34" s="637"/>
      <c r="AP34" s="637"/>
      <c r="AQ34" s="637"/>
      <c r="AR34" s="637"/>
      <c r="AS34" s="637"/>
      <c r="AT34" s="637"/>
      <c r="AU34" s="637"/>
      <c r="AV34" s="637"/>
      <c r="AW34" s="637"/>
      <c r="AX34" s="637"/>
      <c r="AY34" s="637"/>
      <c r="AZ34" s="637"/>
      <c r="BA34" s="637"/>
      <c r="BB34" s="637"/>
      <c r="BC34" s="637"/>
      <c r="BD34" s="637"/>
      <c r="BE34" s="637"/>
      <c r="BF34" s="637"/>
      <c r="BG34" s="637"/>
      <c r="BH34" s="637"/>
      <c r="BI34" s="637"/>
      <c r="BJ34" s="637"/>
      <c r="BK34" s="637"/>
      <c r="BL34" s="637"/>
      <c r="BM34" s="637"/>
      <c r="BN34" s="637"/>
      <c r="BO34" s="637"/>
      <c r="BP34" s="637"/>
      <c r="BQ34" s="637"/>
      <c r="BR34" s="637"/>
      <c r="BS34" s="637"/>
      <c r="BT34" s="637"/>
      <c r="BU34" s="637"/>
      <c r="BV34" s="637"/>
      <c r="BW34" s="637"/>
      <c r="BX34" s="637"/>
      <c r="BY34" s="637"/>
      <c r="BZ34" s="637"/>
      <c r="CA34" s="637"/>
      <c r="CB34" s="637"/>
      <c r="CC34" s="637"/>
      <c r="CD34" s="637"/>
      <c r="CE34" s="637"/>
      <c r="CF34" s="637"/>
      <c r="CG34" s="637"/>
      <c r="CH34" s="637"/>
      <c r="CI34" s="637"/>
      <c r="CJ34" s="637"/>
      <c r="CK34" s="637"/>
      <c r="CL34" s="637"/>
      <c r="CM34" s="637"/>
      <c r="CN34" s="637"/>
      <c r="CO34" s="637"/>
      <c r="CP34" s="637"/>
      <c r="CQ34" s="637"/>
      <c r="CR34" s="637"/>
      <c r="CS34" s="637"/>
      <c r="CT34" s="637"/>
      <c r="CU34" s="637"/>
      <c r="CV34" s="637"/>
      <c r="CW34" s="637"/>
      <c r="CX34" s="637"/>
      <c r="CY34" s="637"/>
      <c r="CZ34" s="637"/>
      <c r="DA34" s="637"/>
      <c r="DB34" s="637"/>
      <c r="DC34" s="637"/>
      <c r="DD34" s="637"/>
      <c r="DE34" s="637"/>
      <c r="DF34" s="637"/>
      <c r="DG34" s="637"/>
      <c r="DH34" s="637"/>
      <c r="DI34" s="637"/>
      <c r="DJ34" s="637"/>
      <c r="DK34" s="637"/>
      <c r="DL34" s="637"/>
      <c r="DM34" s="637"/>
      <c r="DN34" s="637"/>
      <c r="DO34" s="637"/>
      <c r="DP34" s="637"/>
      <c r="DQ34" s="637"/>
      <c r="DR34" s="637"/>
      <c r="DS34" s="637"/>
      <c r="DT34" s="637"/>
      <c r="DU34" s="637"/>
      <c r="DV34" s="637"/>
      <c r="DW34" s="637"/>
      <c r="DX34" s="637"/>
      <c r="DY34" s="637"/>
      <c r="DZ34" s="637"/>
      <c r="EA34" s="637"/>
      <c r="EB34" s="637"/>
      <c r="EC34" s="637"/>
      <c r="ED34" s="637"/>
      <c r="EE34" s="637"/>
      <c r="EF34" s="637"/>
      <c r="EG34" s="637"/>
      <c r="EH34" s="637"/>
      <c r="EI34" s="637"/>
      <c r="EJ34" s="637"/>
      <c r="EK34" s="637"/>
      <c r="EL34" s="637"/>
      <c r="EM34" s="637"/>
      <c r="EN34" s="637"/>
      <c r="EO34" s="637"/>
      <c r="EP34" s="637"/>
      <c r="EQ34" s="637"/>
      <c r="ER34" s="637"/>
      <c r="ES34" s="637"/>
      <c r="ET34" s="637"/>
      <c r="EU34" s="637"/>
      <c r="EV34" s="637"/>
      <c r="EW34" s="637"/>
      <c r="EX34" s="637"/>
      <c r="EY34" s="637"/>
      <c r="EZ34" s="637"/>
      <c r="FA34" s="637"/>
      <c r="FB34" s="637"/>
      <c r="FC34" s="637"/>
      <c r="FD34" s="637"/>
      <c r="FE34" s="637"/>
      <c r="FF34" s="637"/>
      <c r="FG34" s="637"/>
      <c r="FH34" s="637"/>
      <c r="FI34" s="637"/>
      <c r="FJ34" s="637"/>
      <c r="FK34" s="637"/>
      <c r="FL34" s="637"/>
      <c r="FM34" s="637"/>
      <c r="FN34" s="637"/>
      <c r="FO34" s="637"/>
      <c r="FP34" s="637"/>
      <c r="FQ34" s="637"/>
      <c r="FR34" s="637"/>
      <c r="FS34" s="637"/>
      <c r="FT34" s="637"/>
      <c r="FU34" s="637"/>
      <c r="FV34" s="637"/>
      <c r="FW34" s="637"/>
      <c r="FX34" s="637"/>
      <c r="FY34" s="637"/>
      <c r="FZ34" s="637"/>
      <c r="GA34" s="637"/>
      <c r="GB34" s="637"/>
      <c r="GC34" s="637"/>
      <c r="GD34" s="637"/>
      <c r="GE34" s="637"/>
      <c r="GF34" s="637"/>
      <c r="GG34" s="637"/>
      <c r="GH34" s="637"/>
      <c r="GI34" s="637"/>
      <c r="GJ34" s="637"/>
      <c r="GK34" s="637"/>
      <c r="GL34" s="637"/>
      <c r="GM34" s="637"/>
      <c r="GN34" s="637"/>
      <c r="GO34" s="637"/>
      <c r="GP34" s="637"/>
      <c r="GQ34" s="637"/>
      <c r="GR34" s="637"/>
      <c r="GS34" s="637"/>
      <c r="GT34" s="637"/>
      <c r="GU34" s="637"/>
      <c r="GV34" s="637"/>
      <c r="GW34" s="637"/>
      <c r="GX34" s="637"/>
      <c r="GY34" s="637"/>
      <c r="GZ34" s="637"/>
      <c r="HA34" s="637"/>
      <c r="HB34" s="637"/>
      <c r="HC34" s="637"/>
      <c r="HD34" s="637"/>
      <c r="HE34" s="637"/>
      <c r="HF34" s="637"/>
      <c r="HG34" s="637"/>
      <c r="HH34" s="637"/>
      <c r="HI34" s="637"/>
      <c r="HJ34" s="637"/>
      <c r="HK34" s="637"/>
      <c r="HL34" s="637"/>
      <c r="HM34" s="637"/>
      <c r="HN34" s="637"/>
      <c r="HO34" s="637"/>
      <c r="HP34" s="637"/>
      <c r="HQ34" s="637"/>
      <c r="HR34" s="637"/>
      <c r="HS34" s="637"/>
      <c r="HT34" s="637"/>
      <c r="HU34" s="637"/>
      <c r="HV34" s="637"/>
      <c r="HW34" s="637"/>
      <c r="HX34" s="637"/>
      <c r="HY34" s="637"/>
      <c r="HZ34" s="637"/>
      <c r="IA34" s="637"/>
      <c r="IB34" s="637"/>
      <c r="IC34" s="637"/>
      <c r="ID34" s="637"/>
      <c r="IE34" s="637"/>
      <c r="IF34" s="637"/>
      <c r="IG34" s="637"/>
      <c r="IH34" s="637"/>
      <c r="II34" s="637"/>
      <c r="IJ34" s="637"/>
      <c r="IK34" s="637"/>
      <c r="IL34" s="637"/>
      <c r="IM34" s="637"/>
      <c r="IN34" s="637"/>
      <c r="IO34" s="637"/>
      <c r="IP34" s="637"/>
      <c r="IQ34" s="637"/>
      <c r="IR34" s="637"/>
      <c r="IS34" s="637"/>
      <c r="IT34" s="637"/>
      <c r="IU34" s="637"/>
      <c r="IV34" s="637"/>
      <c r="IW34" s="637"/>
      <c r="IX34" s="637"/>
      <c r="IY34" s="637"/>
      <c r="IZ34" s="637"/>
      <c r="JA34" s="637"/>
      <c r="JB34" s="637"/>
      <c r="JC34" s="637"/>
      <c r="JD34" s="637"/>
      <c r="JE34" s="637"/>
      <c r="JF34" s="637"/>
      <c r="JG34" s="637"/>
      <c r="JH34" s="637"/>
      <c r="JI34" s="637"/>
      <c r="JJ34" s="637"/>
      <c r="JK34" s="637"/>
      <c r="JL34" s="637"/>
      <c r="JM34" s="637"/>
      <c r="JN34" s="637"/>
      <c r="JO34" s="637"/>
      <c r="JP34" s="637"/>
      <c r="JQ34" s="637"/>
      <c r="JR34" s="637"/>
      <c r="JS34" s="637"/>
      <c r="JT34" s="637"/>
      <c r="JU34" s="637"/>
      <c r="JV34" s="637"/>
      <c r="JW34" s="637"/>
      <c r="JX34" s="637"/>
      <c r="JY34" s="637"/>
      <c r="JZ34" s="637"/>
      <c r="KA34" s="637"/>
      <c r="KB34" s="637"/>
      <c r="KC34" s="637"/>
      <c r="KD34" s="637"/>
      <c r="KE34" s="637"/>
      <c r="KF34" s="637"/>
      <c r="KG34" s="637"/>
      <c r="KH34" s="637"/>
      <c r="KI34" s="637"/>
      <c r="KJ34" s="637"/>
      <c r="KK34" s="637"/>
      <c r="KL34" s="637"/>
      <c r="KM34" s="637"/>
      <c r="KN34" s="637"/>
      <c r="KO34" s="637"/>
      <c r="KP34" s="637"/>
      <c r="KQ34" s="637"/>
      <c r="KR34" s="637"/>
      <c r="KS34" s="637"/>
      <c r="KT34" s="637"/>
      <c r="KU34" s="637"/>
      <c r="KV34" s="637"/>
      <c r="KW34" s="637"/>
      <c r="KX34" s="637"/>
      <c r="KY34" s="637"/>
      <c r="KZ34" s="637"/>
      <c r="LA34" s="637"/>
      <c r="LB34" s="637"/>
      <c r="LC34" s="637"/>
      <c r="LD34" s="637"/>
      <c r="LE34" s="637"/>
      <c r="LF34" s="637"/>
      <c r="LG34" s="637"/>
      <c r="LH34" s="637"/>
      <c r="LI34" s="637"/>
      <c r="LJ34" s="637"/>
      <c r="LK34" s="637"/>
      <c r="LL34" s="637"/>
      <c r="LM34" s="637"/>
      <c r="LN34" s="637"/>
      <c r="LO34" s="637"/>
      <c r="LP34" s="637"/>
      <c r="LQ34" s="637"/>
      <c r="LR34" s="637"/>
      <c r="LS34" s="637"/>
      <c r="LT34" s="637"/>
      <c r="LU34" s="637"/>
      <c r="LV34" s="637"/>
      <c r="LW34" s="637"/>
      <c r="LX34" s="637"/>
      <c r="LY34" s="637"/>
      <c r="LZ34" s="637"/>
      <c r="MA34" s="637"/>
      <c r="MB34" s="637"/>
      <c r="MC34" s="637"/>
      <c r="MD34" s="637"/>
      <c r="ME34" s="637"/>
      <c r="MF34" s="637"/>
      <c r="MG34" s="637"/>
      <c r="MH34" s="637"/>
      <c r="MI34" s="637"/>
      <c r="MJ34" s="637"/>
      <c r="MK34" s="637"/>
      <c r="ML34" s="637"/>
      <c r="MM34" s="637"/>
      <c r="MN34" s="637"/>
      <c r="MO34" s="637"/>
      <c r="MP34" s="637"/>
      <c r="MQ34" s="637"/>
      <c r="MR34" s="637"/>
      <c r="MS34" s="637"/>
      <c r="MT34" s="637"/>
      <c r="MU34" s="637"/>
      <c r="MV34" s="637"/>
      <c r="MW34" s="637"/>
      <c r="MX34" s="637"/>
      <c r="MY34" s="637"/>
      <c r="MZ34" s="637"/>
      <c r="NA34" s="637"/>
      <c r="NB34" s="637"/>
      <c r="NC34" s="637"/>
      <c r="ND34" s="637"/>
      <c r="NE34" s="637"/>
      <c r="NF34" s="637"/>
      <c r="NG34" s="637"/>
      <c r="NH34" s="637"/>
      <c r="NI34" s="637"/>
      <c r="NJ34" s="637"/>
      <c r="NK34" s="637"/>
      <c r="NL34" s="637"/>
      <c r="NM34" s="637"/>
      <c r="NN34" s="637"/>
      <c r="NO34" s="637"/>
      <c r="NP34" s="637"/>
      <c r="NQ34" s="637"/>
      <c r="NR34" s="637"/>
      <c r="NS34" s="637"/>
      <c r="NT34" s="637"/>
      <c r="NU34" s="637"/>
      <c r="NV34" s="637"/>
      <c r="NW34" s="637"/>
      <c r="NX34" s="637"/>
      <c r="NY34" s="637"/>
      <c r="NZ34" s="637"/>
      <c r="OA34" s="637"/>
      <c r="OB34" s="637"/>
      <c r="OC34" s="637"/>
      <c r="OD34" s="637"/>
      <c r="OE34" s="637"/>
      <c r="OF34" s="637"/>
      <c r="OG34" s="637"/>
      <c r="OH34" s="637"/>
      <c r="OI34" s="637"/>
      <c r="OJ34" s="637"/>
      <c r="OK34" s="637"/>
      <c r="OL34" s="637"/>
      <c r="OM34" s="637"/>
      <c r="ON34" s="637"/>
      <c r="OO34" s="637"/>
      <c r="OP34" s="637"/>
      <c r="OQ34" s="637"/>
      <c r="OR34" s="637"/>
      <c r="OS34" s="637"/>
      <c r="OT34" s="637"/>
      <c r="OU34" s="637"/>
      <c r="OV34" s="637"/>
      <c r="OW34" s="637"/>
      <c r="OX34" s="637"/>
      <c r="OY34" s="637"/>
      <c r="OZ34" s="637"/>
      <c r="PA34" s="637"/>
      <c r="PB34" s="637"/>
      <c r="PC34" s="637"/>
      <c r="PD34" s="637"/>
      <c r="PE34" s="637"/>
      <c r="PF34" s="637"/>
      <c r="PG34" s="637"/>
      <c r="PH34" s="637"/>
      <c r="PI34" s="637"/>
      <c r="PJ34" s="637"/>
      <c r="PK34" s="637"/>
      <c r="PL34" s="637"/>
      <c r="PM34" s="637"/>
      <c r="PN34" s="637"/>
      <c r="PO34" s="637"/>
      <c r="PP34" s="637"/>
      <c r="PQ34" s="637"/>
      <c r="PR34" s="637"/>
      <c r="PS34" s="637"/>
      <c r="PT34" s="637"/>
      <c r="PU34" s="637"/>
      <c r="PV34" s="637"/>
      <c r="PW34" s="637"/>
      <c r="PX34" s="637"/>
      <c r="PY34" s="637"/>
      <c r="PZ34" s="637"/>
      <c r="QA34" s="637"/>
      <c r="QB34" s="637"/>
      <c r="QC34" s="637"/>
      <c r="QD34" s="637"/>
      <c r="QE34" s="637"/>
      <c r="QF34" s="637"/>
      <c r="QG34" s="637"/>
      <c r="QH34" s="637"/>
      <c r="QI34" s="637"/>
      <c r="QJ34" s="637"/>
      <c r="QK34" s="637"/>
      <c r="QL34" s="637"/>
      <c r="QM34" s="637"/>
      <c r="QN34" s="637"/>
      <c r="QO34" s="637"/>
      <c r="QP34" s="637"/>
      <c r="QQ34" s="637"/>
      <c r="QR34" s="637"/>
      <c r="QS34" s="637"/>
      <c r="QT34" s="637"/>
      <c r="QU34" s="637"/>
      <c r="QV34" s="637"/>
      <c r="QW34" s="637"/>
      <c r="QX34" s="637"/>
      <c r="QY34" s="637"/>
      <c r="QZ34" s="637"/>
      <c r="RA34" s="637"/>
      <c r="RB34" s="637"/>
      <c r="RC34" s="637"/>
      <c r="RD34" s="637"/>
      <c r="RE34" s="637"/>
      <c r="RF34" s="637"/>
      <c r="RG34" s="637"/>
      <c r="RH34" s="637"/>
      <c r="RI34" s="637"/>
      <c r="RJ34" s="637"/>
      <c r="RK34" s="637"/>
      <c r="RL34" s="637"/>
      <c r="RM34" s="637"/>
      <c r="RN34" s="637"/>
      <c r="RO34" s="637"/>
      <c r="RP34" s="637"/>
      <c r="RQ34" s="637"/>
      <c r="RR34" s="637"/>
      <c r="RS34" s="637"/>
      <c r="RT34" s="637"/>
      <c r="RU34" s="637"/>
      <c r="RV34" s="637"/>
      <c r="RW34" s="637"/>
      <c r="RX34" s="637"/>
      <c r="RY34" s="637"/>
      <c r="RZ34" s="637"/>
      <c r="SA34" s="637"/>
      <c r="SB34" s="637"/>
      <c r="SC34" s="637"/>
      <c r="SD34" s="637"/>
      <c r="SE34" s="637"/>
      <c r="SF34" s="637"/>
      <c r="SG34" s="637"/>
      <c r="SH34" s="637"/>
      <c r="SI34" s="637"/>
      <c r="SJ34" s="637"/>
      <c r="SK34" s="637"/>
      <c r="SL34" s="637"/>
      <c r="SM34" s="637"/>
      <c r="SN34" s="637"/>
      <c r="SO34" s="637"/>
      <c r="SP34" s="637"/>
      <c r="SQ34" s="637"/>
      <c r="SR34" s="637"/>
      <c r="SS34" s="637"/>
      <c r="ST34" s="637"/>
      <c r="SU34" s="637"/>
      <c r="SV34" s="637"/>
      <c r="SW34" s="637"/>
      <c r="SX34" s="637"/>
      <c r="SY34" s="637"/>
      <c r="SZ34" s="637"/>
      <c r="TA34" s="637"/>
      <c r="TB34" s="637"/>
      <c r="TC34" s="637"/>
      <c r="TD34" s="637"/>
      <c r="TE34" s="637"/>
      <c r="TF34" s="637"/>
      <c r="TG34" s="637"/>
      <c r="TH34" s="637"/>
      <c r="TI34" s="637"/>
      <c r="TJ34" s="637"/>
      <c r="TK34" s="637"/>
      <c r="TL34" s="637"/>
      <c r="TM34" s="637"/>
      <c r="TN34" s="637"/>
      <c r="TO34" s="637"/>
      <c r="TP34" s="637"/>
      <c r="TQ34" s="637"/>
      <c r="TR34" s="637"/>
      <c r="TS34" s="637"/>
      <c r="TT34" s="637"/>
      <c r="TU34" s="637"/>
      <c r="TV34" s="637"/>
      <c r="TW34" s="637"/>
      <c r="TX34" s="637"/>
      <c r="TY34" s="637"/>
      <c r="TZ34" s="637"/>
      <c r="UA34" s="637"/>
      <c r="UB34" s="637"/>
      <c r="UC34" s="637"/>
      <c r="UD34" s="637"/>
      <c r="UE34" s="637"/>
      <c r="UF34" s="637"/>
      <c r="UG34" s="637"/>
      <c r="UH34" s="637"/>
      <c r="UI34" s="637"/>
      <c r="UJ34" s="637"/>
      <c r="UK34" s="637"/>
      <c r="UL34" s="637"/>
      <c r="UM34" s="637"/>
      <c r="UN34" s="637"/>
      <c r="UO34" s="637"/>
      <c r="UP34" s="637"/>
      <c r="UQ34" s="637"/>
      <c r="UR34" s="637"/>
      <c r="US34" s="637"/>
      <c r="UT34" s="637"/>
      <c r="UU34" s="637"/>
      <c r="UV34" s="637"/>
      <c r="UW34" s="637"/>
      <c r="UX34" s="637"/>
      <c r="UY34" s="637"/>
      <c r="UZ34" s="637"/>
      <c r="VA34" s="637"/>
      <c r="VB34" s="637"/>
      <c r="VC34" s="637"/>
      <c r="VD34" s="637"/>
      <c r="VE34" s="637"/>
      <c r="VF34" s="637"/>
      <c r="VG34" s="637"/>
      <c r="VH34" s="637"/>
      <c r="VI34" s="637"/>
      <c r="VJ34" s="637"/>
      <c r="VK34" s="637"/>
      <c r="VL34" s="637"/>
      <c r="VM34" s="637"/>
      <c r="VN34" s="637"/>
      <c r="VO34" s="637"/>
      <c r="VP34" s="637"/>
      <c r="VQ34" s="637"/>
      <c r="VR34" s="637"/>
      <c r="VS34" s="637"/>
      <c r="VT34" s="637"/>
      <c r="VU34" s="637"/>
      <c r="VV34" s="637"/>
      <c r="VW34" s="637"/>
      <c r="VX34" s="637"/>
      <c r="VY34" s="637"/>
      <c r="VZ34" s="637"/>
      <c r="WA34" s="637"/>
      <c r="WB34" s="637"/>
      <c r="WC34" s="637"/>
      <c r="WD34" s="637"/>
      <c r="WE34" s="637"/>
      <c r="WF34" s="637"/>
      <c r="WG34" s="637"/>
      <c r="WH34" s="637"/>
      <c r="WI34" s="637"/>
      <c r="WJ34" s="637"/>
      <c r="WK34" s="637"/>
      <c r="WL34" s="637"/>
      <c r="WM34" s="637"/>
      <c r="WN34" s="637"/>
      <c r="WO34" s="637"/>
      <c r="WP34" s="637"/>
      <c r="WQ34" s="637"/>
      <c r="WR34" s="637"/>
      <c r="WS34" s="637"/>
      <c r="WT34" s="637"/>
      <c r="WU34" s="637"/>
      <c r="WV34" s="637"/>
      <c r="WW34" s="637"/>
      <c r="WX34" s="637"/>
      <c r="WY34" s="637"/>
      <c r="WZ34" s="637"/>
      <c r="XA34" s="637"/>
      <c r="XB34" s="637"/>
      <c r="XC34" s="637"/>
      <c r="XD34" s="637"/>
      <c r="XE34" s="637"/>
      <c r="XF34" s="637"/>
      <c r="XG34" s="637"/>
      <c r="XH34" s="637"/>
      <c r="XI34" s="637"/>
      <c r="XJ34" s="637"/>
      <c r="XK34" s="637"/>
      <c r="XL34" s="637"/>
      <c r="XM34" s="637"/>
      <c r="XN34" s="637"/>
      <c r="XO34" s="637"/>
      <c r="XP34" s="637"/>
      <c r="XQ34" s="637"/>
      <c r="XR34" s="637"/>
      <c r="XS34" s="637"/>
      <c r="XT34" s="637"/>
      <c r="XU34" s="637"/>
      <c r="XV34" s="637"/>
      <c r="XW34" s="637"/>
      <c r="XX34" s="637"/>
      <c r="XY34" s="637"/>
      <c r="XZ34" s="637"/>
      <c r="YA34" s="637"/>
      <c r="YB34" s="637"/>
      <c r="YC34" s="637"/>
      <c r="YD34" s="637"/>
      <c r="YE34" s="637"/>
      <c r="YF34" s="637"/>
      <c r="YG34" s="637"/>
      <c r="YH34" s="637"/>
      <c r="YI34" s="637"/>
      <c r="YJ34" s="637"/>
      <c r="YK34" s="637"/>
      <c r="YL34" s="637"/>
      <c r="YM34" s="637"/>
      <c r="YN34" s="637"/>
      <c r="YO34" s="637"/>
      <c r="YP34" s="637"/>
      <c r="YQ34" s="637"/>
      <c r="YR34" s="637"/>
      <c r="YS34" s="637"/>
      <c r="YT34" s="637"/>
      <c r="YU34" s="637"/>
      <c r="YV34" s="637"/>
      <c r="YW34" s="637"/>
      <c r="YX34" s="637"/>
      <c r="YY34" s="637"/>
      <c r="YZ34" s="637"/>
      <c r="ZA34" s="637"/>
      <c r="ZB34" s="637"/>
      <c r="ZC34" s="637"/>
      <c r="ZD34" s="637"/>
      <c r="ZE34" s="637"/>
      <c r="ZF34" s="637"/>
      <c r="ZG34" s="637"/>
      <c r="ZH34" s="637"/>
      <c r="ZI34" s="637"/>
      <c r="ZJ34" s="637"/>
      <c r="ZK34" s="637"/>
      <c r="ZL34" s="637"/>
      <c r="ZM34" s="637"/>
      <c r="ZN34" s="637"/>
      <c r="ZO34" s="637"/>
      <c r="ZP34" s="637"/>
      <c r="ZQ34" s="637"/>
      <c r="ZR34" s="637"/>
      <c r="ZS34" s="637"/>
      <c r="ZT34" s="637"/>
      <c r="ZU34" s="637"/>
      <c r="ZV34" s="637"/>
      <c r="ZW34" s="637"/>
      <c r="ZX34" s="637"/>
      <c r="ZY34" s="637"/>
      <c r="ZZ34" s="637"/>
      <c r="AAA34" s="637"/>
      <c r="AAB34" s="637"/>
      <c r="AAC34" s="637"/>
      <c r="AAD34" s="637"/>
      <c r="AAE34" s="637"/>
      <c r="AAF34" s="637"/>
      <c r="AAG34" s="637"/>
      <c r="AAH34" s="637"/>
      <c r="AAI34" s="637"/>
      <c r="AAJ34" s="637"/>
      <c r="AAK34" s="637"/>
      <c r="AAL34" s="637"/>
      <c r="AAM34" s="637"/>
      <c r="AAN34" s="637"/>
      <c r="AAO34" s="637"/>
      <c r="AAP34" s="637"/>
      <c r="AAQ34" s="637"/>
      <c r="AAR34" s="637"/>
      <c r="AAS34" s="637"/>
      <c r="AAT34" s="637"/>
      <c r="AAU34" s="637"/>
      <c r="AAV34" s="637"/>
      <c r="AAW34" s="637"/>
      <c r="AAX34" s="637"/>
      <c r="AAY34" s="637"/>
      <c r="AAZ34" s="637"/>
      <c r="ABA34" s="637"/>
      <c r="ABB34" s="637"/>
      <c r="ABC34" s="637"/>
      <c r="ABD34" s="637"/>
      <c r="ABE34" s="637"/>
      <c r="ABF34" s="637"/>
      <c r="ABG34" s="637"/>
      <c r="ABH34" s="637"/>
      <c r="ABI34" s="637"/>
      <c r="ABJ34" s="637"/>
      <c r="ABK34" s="637"/>
      <c r="ABL34" s="637"/>
      <c r="ABM34" s="637"/>
      <c r="ABN34" s="637"/>
      <c r="ABO34" s="637"/>
      <c r="ABP34" s="637"/>
      <c r="ABQ34" s="637"/>
      <c r="ABR34" s="637"/>
      <c r="ABS34" s="637"/>
      <c r="ABT34" s="637"/>
      <c r="ABU34" s="637"/>
      <c r="ABV34" s="637"/>
      <c r="ABW34" s="637"/>
      <c r="ABX34" s="637"/>
      <c r="ABY34" s="637"/>
      <c r="ABZ34" s="637"/>
      <c r="ACA34" s="637"/>
      <c r="ACB34" s="637"/>
      <c r="ACC34" s="637"/>
      <c r="ACD34" s="637"/>
      <c r="ACE34" s="637"/>
      <c r="ACF34" s="637"/>
      <c r="ACG34" s="637"/>
      <c r="ACH34" s="637"/>
      <c r="ACI34" s="637"/>
      <c r="ACJ34" s="637"/>
      <c r="ACK34" s="637"/>
      <c r="ACL34" s="637"/>
      <c r="ACM34" s="637"/>
      <c r="ACN34" s="637"/>
      <c r="ACO34" s="637"/>
      <c r="ACP34" s="637"/>
      <c r="ACQ34" s="637"/>
      <c r="ACR34" s="637"/>
      <c r="ACS34" s="637"/>
      <c r="ACT34" s="637"/>
      <c r="ACU34" s="637"/>
      <c r="ACV34" s="637"/>
      <c r="ACW34" s="637"/>
      <c r="ACX34" s="637"/>
      <c r="ACY34" s="637"/>
      <c r="ACZ34" s="637"/>
      <c r="ADA34" s="637"/>
      <c r="ADB34" s="637"/>
      <c r="ADC34" s="637"/>
      <c r="ADD34" s="637"/>
      <c r="ADE34" s="637"/>
      <c r="ADF34" s="637"/>
      <c r="ADG34" s="637"/>
      <c r="ADH34" s="637"/>
      <c r="ADI34" s="637"/>
      <c r="ADJ34" s="637"/>
      <c r="ADK34" s="637"/>
      <c r="ADL34" s="637"/>
      <c r="ADM34" s="637"/>
      <c r="ADN34" s="637"/>
      <c r="ADO34" s="637"/>
      <c r="ADP34" s="637"/>
      <c r="ADQ34" s="637"/>
      <c r="ADR34" s="637"/>
      <c r="ADS34" s="637"/>
      <c r="ADT34" s="637"/>
      <c r="ADU34" s="637"/>
      <c r="ADV34" s="637"/>
      <c r="ADW34" s="637"/>
      <c r="ADX34" s="637"/>
      <c r="ADY34" s="637"/>
      <c r="ADZ34" s="637"/>
      <c r="AEA34" s="637"/>
      <c r="AEB34" s="637"/>
      <c r="AEC34" s="637"/>
      <c r="AED34" s="637"/>
      <c r="AEE34" s="637"/>
      <c r="AEF34" s="637"/>
      <c r="AEG34" s="637"/>
      <c r="AEH34" s="637"/>
      <c r="AEI34" s="637"/>
      <c r="AEJ34" s="637"/>
      <c r="AEK34" s="637"/>
      <c r="AEL34" s="637"/>
      <c r="AEM34" s="637"/>
      <c r="AEN34" s="637"/>
      <c r="AEO34" s="637"/>
      <c r="AEP34" s="637"/>
      <c r="AEQ34" s="637"/>
      <c r="AER34" s="637"/>
      <c r="AES34" s="637"/>
      <c r="AET34" s="637"/>
      <c r="AEU34" s="637"/>
      <c r="AEV34" s="637"/>
      <c r="AEW34" s="637"/>
      <c r="AEX34" s="637"/>
      <c r="AEY34" s="637"/>
      <c r="AEZ34" s="637"/>
      <c r="AFA34" s="637"/>
      <c r="AFB34" s="637"/>
      <c r="AFC34" s="637"/>
      <c r="AFD34" s="637"/>
      <c r="AFE34" s="637"/>
      <c r="AFF34" s="637"/>
      <c r="AFG34" s="637"/>
      <c r="AFH34" s="637"/>
      <c r="AFI34" s="637"/>
      <c r="AFJ34" s="637"/>
      <c r="AFK34" s="637"/>
      <c r="AFL34" s="637"/>
      <c r="AFM34" s="637"/>
      <c r="AFN34" s="637"/>
      <c r="AFO34" s="637"/>
      <c r="AFP34" s="637"/>
      <c r="AFQ34" s="637"/>
      <c r="AFR34" s="637"/>
      <c r="AFS34" s="637"/>
      <c r="AFT34" s="637"/>
      <c r="AFU34" s="637"/>
      <c r="AFV34" s="637"/>
      <c r="AFW34" s="637"/>
      <c r="AFX34" s="637"/>
      <c r="AFY34" s="637"/>
      <c r="AFZ34" s="637"/>
      <c r="AGA34" s="637"/>
      <c r="AGB34" s="637"/>
      <c r="AGC34" s="637"/>
      <c r="AGD34" s="637"/>
      <c r="AGE34" s="637"/>
      <c r="AGF34" s="637"/>
      <c r="AGG34" s="637"/>
      <c r="AGH34" s="637"/>
      <c r="AGI34" s="637"/>
      <c r="AGJ34" s="637"/>
      <c r="AGK34" s="637"/>
      <c r="AGL34" s="637"/>
      <c r="AGM34" s="637"/>
      <c r="AGN34" s="637"/>
      <c r="AGO34" s="637"/>
      <c r="AGP34" s="637"/>
      <c r="AGQ34" s="637"/>
      <c r="AGR34" s="637"/>
      <c r="AGS34" s="637"/>
      <c r="AGT34" s="637"/>
      <c r="AGU34" s="637"/>
      <c r="AGV34" s="637"/>
      <c r="AGW34" s="637"/>
      <c r="AGX34" s="637"/>
      <c r="AGY34" s="637"/>
      <c r="AGZ34" s="637"/>
      <c r="AHA34" s="637"/>
      <c r="AHB34" s="637"/>
      <c r="AHC34" s="637"/>
      <c r="AHD34" s="637"/>
      <c r="AHE34" s="637"/>
      <c r="AHF34" s="637"/>
      <c r="AHG34" s="637"/>
      <c r="AHH34" s="637"/>
      <c r="AHI34" s="637"/>
      <c r="AHJ34" s="637"/>
      <c r="AHK34" s="637"/>
      <c r="AHL34" s="637"/>
      <c r="AHM34" s="637"/>
      <c r="AHN34" s="637"/>
      <c r="AHO34" s="637"/>
      <c r="AHP34" s="637"/>
      <c r="AHQ34" s="637"/>
      <c r="AHR34" s="637"/>
      <c r="AHS34" s="637"/>
      <c r="AHT34" s="637"/>
      <c r="AHU34" s="637"/>
      <c r="AHV34" s="637"/>
      <c r="AHW34" s="637"/>
      <c r="AHX34" s="637"/>
      <c r="AHY34" s="637"/>
      <c r="AHZ34" s="637"/>
      <c r="AIA34" s="637"/>
      <c r="AIB34" s="637"/>
      <c r="AIC34" s="637"/>
      <c r="AID34" s="637"/>
      <c r="AIE34" s="637"/>
      <c r="AIF34" s="637"/>
      <c r="AIG34" s="637"/>
      <c r="AIH34" s="637"/>
      <c r="AII34" s="637"/>
      <c r="AIJ34" s="637"/>
      <c r="AIK34" s="637"/>
      <c r="AIL34" s="637"/>
      <c r="AIM34" s="637"/>
      <c r="AIN34" s="637"/>
      <c r="AIO34" s="637"/>
      <c r="AIP34" s="637"/>
      <c r="AIQ34" s="637"/>
      <c r="AIR34" s="637"/>
      <c r="AIS34" s="637"/>
      <c r="AIT34" s="637"/>
      <c r="AIU34" s="637"/>
      <c r="AIV34" s="637"/>
      <c r="AIW34" s="637"/>
      <c r="AIX34" s="637"/>
      <c r="AIY34" s="637"/>
      <c r="AIZ34" s="637"/>
      <c r="AJA34" s="637"/>
      <c r="AJB34" s="637"/>
      <c r="AJC34" s="637"/>
      <c r="AJD34" s="637"/>
      <c r="AJE34" s="637"/>
      <c r="AJF34" s="637"/>
      <c r="AJG34" s="637"/>
      <c r="AJH34" s="637"/>
      <c r="AJI34" s="637"/>
      <c r="AJJ34" s="637"/>
      <c r="AJK34" s="637"/>
      <c r="AJL34" s="637"/>
      <c r="AJM34" s="637"/>
      <c r="AJN34" s="637"/>
      <c r="AJO34" s="637"/>
      <c r="AJP34" s="637"/>
      <c r="AJQ34" s="637"/>
      <c r="AJR34" s="637"/>
      <c r="AJS34" s="637"/>
      <c r="AJT34" s="637"/>
      <c r="AJU34" s="637"/>
      <c r="AJV34" s="637"/>
      <c r="AJW34" s="637"/>
      <c r="AJX34" s="637"/>
      <c r="AJY34" s="637"/>
      <c r="AJZ34" s="637"/>
      <c r="AKA34" s="637"/>
      <c r="AKB34" s="637"/>
      <c r="AKC34" s="637"/>
      <c r="AKD34" s="637"/>
      <c r="AKE34" s="637"/>
      <c r="AKF34" s="637"/>
      <c r="AKG34" s="637"/>
      <c r="AKH34" s="637"/>
      <c r="AKI34" s="637"/>
      <c r="AKJ34" s="637"/>
      <c r="AKK34" s="637"/>
      <c r="AKL34" s="637"/>
      <c r="AKM34" s="637"/>
      <c r="AKN34" s="637"/>
      <c r="AKO34" s="637"/>
      <c r="AKP34" s="637"/>
      <c r="AKQ34" s="637"/>
      <c r="AKR34" s="637"/>
      <c r="AKS34" s="637"/>
      <c r="AKT34" s="637"/>
      <c r="AKU34" s="637"/>
      <c r="AKV34" s="637"/>
      <c r="AKW34" s="637"/>
      <c r="AKX34" s="637"/>
      <c r="AKY34" s="637"/>
      <c r="AKZ34" s="637"/>
      <c r="ALA34" s="637"/>
      <c r="ALB34" s="637"/>
      <c r="ALC34" s="637"/>
      <c r="ALD34" s="637"/>
      <c r="ALE34" s="637"/>
      <c r="ALF34" s="637"/>
      <c r="ALG34" s="637"/>
      <c r="ALH34" s="637"/>
      <c r="ALI34" s="637"/>
      <c r="ALJ34" s="637"/>
      <c r="ALK34" s="637"/>
      <c r="ALL34" s="637"/>
      <c r="ALM34" s="637"/>
      <c r="ALN34" s="637"/>
      <c r="ALO34" s="637"/>
      <c r="ALP34" s="637"/>
      <c r="ALQ34" s="637"/>
      <c r="ALR34" s="637"/>
      <c r="ALS34" s="637"/>
      <c r="ALT34" s="637"/>
      <c r="ALU34" s="637"/>
      <c r="ALV34" s="637"/>
      <c r="ALW34" s="637"/>
      <c r="ALX34" s="637"/>
      <c r="ALY34" s="637"/>
      <c r="ALZ34" s="637"/>
      <c r="AMA34" s="637"/>
      <c r="AMB34" s="637"/>
      <c r="AMC34" s="637"/>
      <c r="AMD34" s="637"/>
      <c r="AME34" s="637"/>
      <c r="AMF34" s="637"/>
      <c r="AMG34" s="637"/>
      <c r="AMH34" s="637"/>
      <c r="AMI34" s="637"/>
      <c r="AMJ34" s="637"/>
    </row>
    <row r="35" spans="1:1024" s="638" customFormat="1" ht="12.75" hidden="1">
      <c r="A35" s="984"/>
      <c r="B35" s="985"/>
      <c r="C35" s="986"/>
      <c r="D35" s="988"/>
      <c r="E35" s="989">
        <v>5</v>
      </c>
      <c r="F35" s="989">
        <f t="shared" si="1"/>
        <v>29552</v>
      </c>
      <c r="G35" s="990">
        <v>22621</v>
      </c>
      <c r="H35" s="990">
        <v>6931</v>
      </c>
      <c r="I35" s="990">
        <v>0</v>
      </c>
      <c r="J35" s="990"/>
      <c r="K35" s="990"/>
      <c r="L35" s="990"/>
      <c r="M35" s="990"/>
      <c r="N35" s="990">
        <v>0</v>
      </c>
      <c r="O35" s="990"/>
      <c r="P35" s="990"/>
      <c r="Q35" s="990"/>
      <c r="R35" s="991"/>
      <c r="S35" s="637"/>
      <c r="T35" s="637"/>
      <c r="U35" s="637"/>
      <c r="V35" s="637"/>
      <c r="W35" s="637"/>
      <c r="X35" s="637"/>
      <c r="Y35" s="637"/>
      <c r="Z35" s="637"/>
      <c r="AA35" s="637"/>
      <c r="AB35" s="637"/>
      <c r="AC35" s="637"/>
      <c r="AD35" s="637"/>
      <c r="AE35" s="637"/>
      <c r="AF35" s="637"/>
      <c r="AG35" s="637"/>
      <c r="AH35" s="637"/>
      <c r="AI35" s="637"/>
      <c r="AJ35" s="637"/>
      <c r="AK35" s="637"/>
      <c r="AL35" s="637"/>
      <c r="AM35" s="637"/>
      <c r="AN35" s="637"/>
      <c r="AO35" s="637"/>
      <c r="AP35" s="637"/>
      <c r="AQ35" s="637"/>
      <c r="AR35" s="637"/>
      <c r="AS35" s="637"/>
      <c r="AT35" s="637"/>
      <c r="AU35" s="637"/>
      <c r="AV35" s="637"/>
      <c r="AW35" s="637"/>
      <c r="AX35" s="637"/>
      <c r="AY35" s="637"/>
      <c r="AZ35" s="637"/>
      <c r="BA35" s="637"/>
      <c r="BB35" s="637"/>
      <c r="BC35" s="637"/>
      <c r="BD35" s="637"/>
      <c r="BE35" s="637"/>
      <c r="BF35" s="637"/>
      <c r="BG35" s="637"/>
      <c r="BH35" s="637"/>
      <c r="BI35" s="637"/>
      <c r="BJ35" s="637"/>
      <c r="BK35" s="637"/>
      <c r="BL35" s="637"/>
      <c r="BM35" s="637"/>
      <c r="BN35" s="637"/>
      <c r="BO35" s="637"/>
      <c r="BP35" s="637"/>
      <c r="BQ35" s="637"/>
      <c r="BR35" s="637"/>
      <c r="BS35" s="637"/>
      <c r="BT35" s="637"/>
      <c r="BU35" s="637"/>
      <c r="BV35" s="637"/>
      <c r="BW35" s="637"/>
      <c r="BX35" s="637"/>
      <c r="BY35" s="637"/>
      <c r="BZ35" s="637"/>
      <c r="CA35" s="637"/>
      <c r="CB35" s="637"/>
      <c r="CC35" s="637"/>
      <c r="CD35" s="637"/>
      <c r="CE35" s="637"/>
      <c r="CF35" s="637"/>
      <c r="CG35" s="637"/>
      <c r="CH35" s="637"/>
      <c r="CI35" s="637"/>
      <c r="CJ35" s="637"/>
      <c r="CK35" s="637"/>
      <c r="CL35" s="637"/>
      <c r="CM35" s="637"/>
      <c r="CN35" s="637"/>
      <c r="CO35" s="637"/>
      <c r="CP35" s="637"/>
      <c r="CQ35" s="637"/>
      <c r="CR35" s="637"/>
      <c r="CS35" s="637"/>
      <c r="CT35" s="637"/>
      <c r="CU35" s="637"/>
      <c r="CV35" s="637"/>
      <c r="CW35" s="637"/>
      <c r="CX35" s="637"/>
      <c r="CY35" s="637"/>
      <c r="CZ35" s="637"/>
      <c r="DA35" s="637"/>
      <c r="DB35" s="637"/>
      <c r="DC35" s="637"/>
      <c r="DD35" s="637"/>
      <c r="DE35" s="637"/>
      <c r="DF35" s="637"/>
      <c r="DG35" s="637"/>
      <c r="DH35" s="637"/>
      <c r="DI35" s="637"/>
      <c r="DJ35" s="637"/>
      <c r="DK35" s="637"/>
      <c r="DL35" s="637"/>
      <c r="DM35" s="637"/>
      <c r="DN35" s="637"/>
      <c r="DO35" s="637"/>
      <c r="DP35" s="637"/>
      <c r="DQ35" s="637"/>
      <c r="DR35" s="637"/>
      <c r="DS35" s="637"/>
      <c r="DT35" s="637"/>
      <c r="DU35" s="637"/>
      <c r="DV35" s="637"/>
      <c r="DW35" s="637"/>
      <c r="DX35" s="637"/>
      <c r="DY35" s="637"/>
      <c r="DZ35" s="637"/>
      <c r="EA35" s="637"/>
      <c r="EB35" s="637"/>
      <c r="EC35" s="637"/>
      <c r="ED35" s="637"/>
      <c r="EE35" s="637"/>
      <c r="EF35" s="637"/>
      <c r="EG35" s="637"/>
      <c r="EH35" s="637"/>
      <c r="EI35" s="637"/>
      <c r="EJ35" s="637"/>
      <c r="EK35" s="637"/>
      <c r="EL35" s="637"/>
      <c r="EM35" s="637"/>
      <c r="EN35" s="637"/>
      <c r="EO35" s="637"/>
      <c r="EP35" s="637"/>
      <c r="EQ35" s="637"/>
      <c r="ER35" s="637"/>
      <c r="ES35" s="637"/>
      <c r="ET35" s="637"/>
      <c r="EU35" s="637"/>
      <c r="EV35" s="637"/>
      <c r="EW35" s="637"/>
      <c r="EX35" s="637"/>
      <c r="EY35" s="637"/>
      <c r="EZ35" s="637"/>
      <c r="FA35" s="637"/>
      <c r="FB35" s="637"/>
      <c r="FC35" s="637"/>
      <c r="FD35" s="637"/>
      <c r="FE35" s="637"/>
      <c r="FF35" s="637"/>
      <c r="FG35" s="637"/>
      <c r="FH35" s="637"/>
      <c r="FI35" s="637"/>
      <c r="FJ35" s="637"/>
      <c r="FK35" s="637"/>
      <c r="FL35" s="637"/>
      <c r="FM35" s="637"/>
      <c r="FN35" s="637"/>
      <c r="FO35" s="637"/>
      <c r="FP35" s="637"/>
      <c r="FQ35" s="637"/>
      <c r="FR35" s="637"/>
      <c r="FS35" s="637"/>
      <c r="FT35" s="637"/>
      <c r="FU35" s="637"/>
      <c r="FV35" s="637"/>
      <c r="FW35" s="637"/>
      <c r="FX35" s="637"/>
      <c r="FY35" s="637"/>
      <c r="FZ35" s="637"/>
      <c r="GA35" s="637"/>
      <c r="GB35" s="637"/>
      <c r="GC35" s="637"/>
      <c r="GD35" s="637"/>
      <c r="GE35" s="637"/>
      <c r="GF35" s="637"/>
      <c r="GG35" s="637"/>
      <c r="GH35" s="637"/>
      <c r="GI35" s="637"/>
      <c r="GJ35" s="637"/>
      <c r="GK35" s="637"/>
      <c r="GL35" s="637"/>
      <c r="GM35" s="637"/>
      <c r="GN35" s="637"/>
      <c r="GO35" s="637"/>
      <c r="GP35" s="637"/>
      <c r="GQ35" s="637"/>
      <c r="GR35" s="637"/>
      <c r="GS35" s="637"/>
      <c r="GT35" s="637"/>
      <c r="GU35" s="637"/>
      <c r="GV35" s="637"/>
      <c r="GW35" s="637"/>
      <c r="GX35" s="637"/>
      <c r="GY35" s="637"/>
      <c r="GZ35" s="637"/>
      <c r="HA35" s="637"/>
      <c r="HB35" s="637"/>
      <c r="HC35" s="637"/>
      <c r="HD35" s="637"/>
      <c r="HE35" s="637"/>
      <c r="HF35" s="637"/>
      <c r="HG35" s="637"/>
      <c r="HH35" s="637"/>
      <c r="HI35" s="637"/>
      <c r="HJ35" s="637"/>
      <c r="HK35" s="637"/>
      <c r="HL35" s="637"/>
      <c r="HM35" s="637"/>
      <c r="HN35" s="637"/>
      <c r="HO35" s="637"/>
      <c r="HP35" s="637"/>
      <c r="HQ35" s="637"/>
      <c r="HR35" s="637"/>
      <c r="HS35" s="637"/>
      <c r="HT35" s="637"/>
      <c r="HU35" s="637"/>
      <c r="HV35" s="637"/>
      <c r="HW35" s="637"/>
      <c r="HX35" s="637"/>
      <c r="HY35" s="637"/>
      <c r="HZ35" s="637"/>
      <c r="IA35" s="637"/>
      <c r="IB35" s="637"/>
      <c r="IC35" s="637"/>
      <c r="ID35" s="637"/>
      <c r="IE35" s="637"/>
      <c r="IF35" s="637"/>
      <c r="IG35" s="637"/>
      <c r="IH35" s="637"/>
      <c r="II35" s="637"/>
      <c r="IJ35" s="637"/>
      <c r="IK35" s="637"/>
      <c r="IL35" s="637"/>
      <c r="IM35" s="637"/>
      <c r="IN35" s="637"/>
      <c r="IO35" s="637"/>
      <c r="IP35" s="637"/>
      <c r="IQ35" s="637"/>
      <c r="IR35" s="637"/>
      <c r="IS35" s="637"/>
      <c r="IT35" s="637"/>
      <c r="IU35" s="637"/>
      <c r="IV35" s="637"/>
      <c r="IW35" s="637"/>
      <c r="IX35" s="637"/>
      <c r="IY35" s="637"/>
      <c r="IZ35" s="637"/>
      <c r="JA35" s="637"/>
      <c r="JB35" s="637"/>
      <c r="JC35" s="637"/>
      <c r="JD35" s="637"/>
      <c r="JE35" s="637"/>
      <c r="JF35" s="637"/>
      <c r="JG35" s="637"/>
      <c r="JH35" s="637"/>
      <c r="JI35" s="637"/>
      <c r="JJ35" s="637"/>
      <c r="JK35" s="637"/>
      <c r="JL35" s="637"/>
      <c r="JM35" s="637"/>
      <c r="JN35" s="637"/>
      <c r="JO35" s="637"/>
      <c r="JP35" s="637"/>
      <c r="JQ35" s="637"/>
      <c r="JR35" s="637"/>
      <c r="JS35" s="637"/>
      <c r="JT35" s="637"/>
      <c r="JU35" s="637"/>
      <c r="JV35" s="637"/>
      <c r="JW35" s="637"/>
      <c r="JX35" s="637"/>
      <c r="JY35" s="637"/>
      <c r="JZ35" s="637"/>
      <c r="KA35" s="637"/>
      <c r="KB35" s="637"/>
      <c r="KC35" s="637"/>
      <c r="KD35" s="637"/>
      <c r="KE35" s="637"/>
      <c r="KF35" s="637"/>
      <c r="KG35" s="637"/>
      <c r="KH35" s="637"/>
      <c r="KI35" s="637"/>
      <c r="KJ35" s="637"/>
      <c r="KK35" s="637"/>
      <c r="KL35" s="637"/>
      <c r="KM35" s="637"/>
      <c r="KN35" s="637"/>
      <c r="KO35" s="637"/>
      <c r="KP35" s="637"/>
      <c r="KQ35" s="637"/>
      <c r="KR35" s="637"/>
      <c r="KS35" s="637"/>
      <c r="KT35" s="637"/>
      <c r="KU35" s="637"/>
      <c r="KV35" s="637"/>
      <c r="KW35" s="637"/>
      <c r="KX35" s="637"/>
      <c r="KY35" s="637"/>
      <c r="KZ35" s="637"/>
      <c r="LA35" s="637"/>
      <c r="LB35" s="637"/>
      <c r="LC35" s="637"/>
      <c r="LD35" s="637"/>
      <c r="LE35" s="637"/>
      <c r="LF35" s="637"/>
      <c r="LG35" s="637"/>
      <c r="LH35" s="637"/>
      <c r="LI35" s="637"/>
      <c r="LJ35" s="637"/>
      <c r="LK35" s="637"/>
      <c r="LL35" s="637"/>
      <c r="LM35" s="637"/>
      <c r="LN35" s="637"/>
      <c r="LO35" s="637"/>
      <c r="LP35" s="637"/>
      <c r="LQ35" s="637"/>
      <c r="LR35" s="637"/>
      <c r="LS35" s="637"/>
      <c r="LT35" s="637"/>
      <c r="LU35" s="637"/>
      <c r="LV35" s="637"/>
      <c r="LW35" s="637"/>
      <c r="LX35" s="637"/>
      <c r="LY35" s="637"/>
      <c r="LZ35" s="637"/>
      <c r="MA35" s="637"/>
      <c r="MB35" s="637"/>
      <c r="MC35" s="637"/>
      <c r="MD35" s="637"/>
      <c r="ME35" s="637"/>
      <c r="MF35" s="637"/>
      <c r="MG35" s="637"/>
      <c r="MH35" s="637"/>
      <c r="MI35" s="637"/>
      <c r="MJ35" s="637"/>
      <c r="MK35" s="637"/>
      <c r="ML35" s="637"/>
      <c r="MM35" s="637"/>
      <c r="MN35" s="637"/>
      <c r="MO35" s="637"/>
      <c r="MP35" s="637"/>
      <c r="MQ35" s="637"/>
      <c r="MR35" s="637"/>
      <c r="MS35" s="637"/>
      <c r="MT35" s="637"/>
      <c r="MU35" s="637"/>
      <c r="MV35" s="637"/>
      <c r="MW35" s="637"/>
      <c r="MX35" s="637"/>
      <c r="MY35" s="637"/>
      <c r="MZ35" s="637"/>
      <c r="NA35" s="637"/>
      <c r="NB35" s="637"/>
      <c r="NC35" s="637"/>
      <c r="ND35" s="637"/>
      <c r="NE35" s="637"/>
      <c r="NF35" s="637"/>
      <c r="NG35" s="637"/>
      <c r="NH35" s="637"/>
      <c r="NI35" s="637"/>
      <c r="NJ35" s="637"/>
      <c r="NK35" s="637"/>
      <c r="NL35" s="637"/>
      <c r="NM35" s="637"/>
      <c r="NN35" s="637"/>
      <c r="NO35" s="637"/>
      <c r="NP35" s="637"/>
      <c r="NQ35" s="637"/>
      <c r="NR35" s="637"/>
      <c r="NS35" s="637"/>
      <c r="NT35" s="637"/>
      <c r="NU35" s="637"/>
      <c r="NV35" s="637"/>
      <c r="NW35" s="637"/>
      <c r="NX35" s="637"/>
      <c r="NY35" s="637"/>
      <c r="NZ35" s="637"/>
      <c r="OA35" s="637"/>
      <c r="OB35" s="637"/>
      <c r="OC35" s="637"/>
      <c r="OD35" s="637"/>
      <c r="OE35" s="637"/>
      <c r="OF35" s="637"/>
      <c r="OG35" s="637"/>
      <c r="OH35" s="637"/>
      <c r="OI35" s="637"/>
      <c r="OJ35" s="637"/>
      <c r="OK35" s="637"/>
      <c r="OL35" s="637"/>
      <c r="OM35" s="637"/>
      <c r="ON35" s="637"/>
      <c r="OO35" s="637"/>
      <c r="OP35" s="637"/>
      <c r="OQ35" s="637"/>
      <c r="OR35" s="637"/>
      <c r="OS35" s="637"/>
      <c r="OT35" s="637"/>
      <c r="OU35" s="637"/>
      <c r="OV35" s="637"/>
      <c r="OW35" s="637"/>
      <c r="OX35" s="637"/>
      <c r="OY35" s="637"/>
      <c r="OZ35" s="637"/>
      <c r="PA35" s="637"/>
      <c r="PB35" s="637"/>
      <c r="PC35" s="637"/>
      <c r="PD35" s="637"/>
      <c r="PE35" s="637"/>
      <c r="PF35" s="637"/>
      <c r="PG35" s="637"/>
      <c r="PH35" s="637"/>
      <c r="PI35" s="637"/>
      <c r="PJ35" s="637"/>
      <c r="PK35" s="637"/>
      <c r="PL35" s="637"/>
      <c r="PM35" s="637"/>
      <c r="PN35" s="637"/>
      <c r="PO35" s="637"/>
      <c r="PP35" s="637"/>
      <c r="PQ35" s="637"/>
      <c r="PR35" s="637"/>
      <c r="PS35" s="637"/>
      <c r="PT35" s="637"/>
      <c r="PU35" s="637"/>
      <c r="PV35" s="637"/>
      <c r="PW35" s="637"/>
      <c r="PX35" s="637"/>
      <c r="PY35" s="637"/>
      <c r="PZ35" s="637"/>
      <c r="QA35" s="637"/>
      <c r="QB35" s="637"/>
      <c r="QC35" s="637"/>
      <c r="QD35" s="637"/>
      <c r="QE35" s="637"/>
      <c r="QF35" s="637"/>
      <c r="QG35" s="637"/>
      <c r="QH35" s="637"/>
      <c r="QI35" s="637"/>
      <c r="QJ35" s="637"/>
      <c r="QK35" s="637"/>
      <c r="QL35" s="637"/>
      <c r="QM35" s="637"/>
      <c r="QN35" s="637"/>
      <c r="QO35" s="637"/>
      <c r="QP35" s="637"/>
      <c r="QQ35" s="637"/>
      <c r="QR35" s="637"/>
      <c r="QS35" s="637"/>
      <c r="QT35" s="637"/>
      <c r="QU35" s="637"/>
      <c r="QV35" s="637"/>
      <c r="QW35" s="637"/>
      <c r="QX35" s="637"/>
      <c r="QY35" s="637"/>
      <c r="QZ35" s="637"/>
      <c r="RA35" s="637"/>
      <c r="RB35" s="637"/>
      <c r="RC35" s="637"/>
      <c r="RD35" s="637"/>
      <c r="RE35" s="637"/>
      <c r="RF35" s="637"/>
      <c r="RG35" s="637"/>
      <c r="RH35" s="637"/>
      <c r="RI35" s="637"/>
      <c r="RJ35" s="637"/>
      <c r="RK35" s="637"/>
      <c r="RL35" s="637"/>
      <c r="RM35" s="637"/>
      <c r="RN35" s="637"/>
      <c r="RO35" s="637"/>
      <c r="RP35" s="637"/>
      <c r="RQ35" s="637"/>
      <c r="RR35" s="637"/>
      <c r="RS35" s="637"/>
      <c r="RT35" s="637"/>
      <c r="RU35" s="637"/>
      <c r="RV35" s="637"/>
      <c r="RW35" s="637"/>
      <c r="RX35" s="637"/>
      <c r="RY35" s="637"/>
      <c r="RZ35" s="637"/>
      <c r="SA35" s="637"/>
      <c r="SB35" s="637"/>
      <c r="SC35" s="637"/>
      <c r="SD35" s="637"/>
      <c r="SE35" s="637"/>
      <c r="SF35" s="637"/>
      <c r="SG35" s="637"/>
      <c r="SH35" s="637"/>
      <c r="SI35" s="637"/>
      <c r="SJ35" s="637"/>
      <c r="SK35" s="637"/>
      <c r="SL35" s="637"/>
      <c r="SM35" s="637"/>
      <c r="SN35" s="637"/>
      <c r="SO35" s="637"/>
      <c r="SP35" s="637"/>
      <c r="SQ35" s="637"/>
      <c r="SR35" s="637"/>
      <c r="SS35" s="637"/>
      <c r="ST35" s="637"/>
      <c r="SU35" s="637"/>
      <c r="SV35" s="637"/>
      <c r="SW35" s="637"/>
      <c r="SX35" s="637"/>
      <c r="SY35" s="637"/>
      <c r="SZ35" s="637"/>
      <c r="TA35" s="637"/>
      <c r="TB35" s="637"/>
      <c r="TC35" s="637"/>
      <c r="TD35" s="637"/>
      <c r="TE35" s="637"/>
      <c r="TF35" s="637"/>
      <c r="TG35" s="637"/>
      <c r="TH35" s="637"/>
      <c r="TI35" s="637"/>
      <c r="TJ35" s="637"/>
      <c r="TK35" s="637"/>
      <c r="TL35" s="637"/>
      <c r="TM35" s="637"/>
      <c r="TN35" s="637"/>
      <c r="TO35" s="637"/>
      <c r="TP35" s="637"/>
      <c r="TQ35" s="637"/>
      <c r="TR35" s="637"/>
      <c r="TS35" s="637"/>
      <c r="TT35" s="637"/>
      <c r="TU35" s="637"/>
      <c r="TV35" s="637"/>
      <c r="TW35" s="637"/>
      <c r="TX35" s="637"/>
      <c r="TY35" s="637"/>
      <c r="TZ35" s="637"/>
      <c r="UA35" s="637"/>
      <c r="UB35" s="637"/>
      <c r="UC35" s="637"/>
      <c r="UD35" s="637"/>
      <c r="UE35" s="637"/>
      <c r="UF35" s="637"/>
      <c r="UG35" s="637"/>
      <c r="UH35" s="637"/>
      <c r="UI35" s="637"/>
      <c r="UJ35" s="637"/>
      <c r="UK35" s="637"/>
      <c r="UL35" s="637"/>
      <c r="UM35" s="637"/>
      <c r="UN35" s="637"/>
      <c r="UO35" s="637"/>
      <c r="UP35" s="637"/>
      <c r="UQ35" s="637"/>
      <c r="UR35" s="637"/>
      <c r="US35" s="637"/>
      <c r="UT35" s="637"/>
      <c r="UU35" s="637"/>
      <c r="UV35" s="637"/>
      <c r="UW35" s="637"/>
      <c r="UX35" s="637"/>
      <c r="UY35" s="637"/>
      <c r="UZ35" s="637"/>
      <c r="VA35" s="637"/>
      <c r="VB35" s="637"/>
      <c r="VC35" s="637"/>
      <c r="VD35" s="637"/>
      <c r="VE35" s="637"/>
      <c r="VF35" s="637"/>
      <c r="VG35" s="637"/>
      <c r="VH35" s="637"/>
      <c r="VI35" s="637"/>
      <c r="VJ35" s="637"/>
      <c r="VK35" s="637"/>
      <c r="VL35" s="637"/>
      <c r="VM35" s="637"/>
      <c r="VN35" s="637"/>
      <c r="VO35" s="637"/>
      <c r="VP35" s="637"/>
      <c r="VQ35" s="637"/>
      <c r="VR35" s="637"/>
      <c r="VS35" s="637"/>
      <c r="VT35" s="637"/>
      <c r="VU35" s="637"/>
      <c r="VV35" s="637"/>
      <c r="VW35" s="637"/>
      <c r="VX35" s="637"/>
      <c r="VY35" s="637"/>
      <c r="VZ35" s="637"/>
      <c r="WA35" s="637"/>
      <c r="WB35" s="637"/>
      <c r="WC35" s="637"/>
      <c r="WD35" s="637"/>
      <c r="WE35" s="637"/>
      <c r="WF35" s="637"/>
      <c r="WG35" s="637"/>
      <c r="WH35" s="637"/>
      <c r="WI35" s="637"/>
      <c r="WJ35" s="637"/>
      <c r="WK35" s="637"/>
      <c r="WL35" s="637"/>
      <c r="WM35" s="637"/>
      <c r="WN35" s="637"/>
      <c r="WO35" s="637"/>
      <c r="WP35" s="637"/>
      <c r="WQ35" s="637"/>
      <c r="WR35" s="637"/>
      <c r="WS35" s="637"/>
      <c r="WT35" s="637"/>
      <c r="WU35" s="637"/>
      <c r="WV35" s="637"/>
      <c r="WW35" s="637"/>
      <c r="WX35" s="637"/>
      <c r="WY35" s="637"/>
      <c r="WZ35" s="637"/>
      <c r="XA35" s="637"/>
      <c r="XB35" s="637"/>
      <c r="XC35" s="637"/>
      <c r="XD35" s="637"/>
      <c r="XE35" s="637"/>
      <c r="XF35" s="637"/>
      <c r="XG35" s="637"/>
      <c r="XH35" s="637"/>
      <c r="XI35" s="637"/>
      <c r="XJ35" s="637"/>
      <c r="XK35" s="637"/>
      <c r="XL35" s="637"/>
      <c r="XM35" s="637"/>
      <c r="XN35" s="637"/>
      <c r="XO35" s="637"/>
      <c r="XP35" s="637"/>
      <c r="XQ35" s="637"/>
      <c r="XR35" s="637"/>
      <c r="XS35" s="637"/>
      <c r="XT35" s="637"/>
      <c r="XU35" s="637"/>
      <c r="XV35" s="637"/>
      <c r="XW35" s="637"/>
      <c r="XX35" s="637"/>
      <c r="XY35" s="637"/>
      <c r="XZ35" s="637"/>
      <c r="YA35" s="637"/>
      <c r="YB35" s="637"/>
      <c r="YC35" s="637"/>
      <c r="YD35" s="637"/>
      <c r="YE35" s="637"/>
      <c r="YF35" s="637"/>
      <c r="YG35" s="637"/>
      <c r="YH35" s="637"/>
      <c r="YI35" s="637"/>
      <c r="YJ35" s="637"/>
      <c r="YK35" s="637"/>
      <c r="YL35" s="637"/>
      <c r="YM35" s="637"/>
      <c r="YN35" s="637"/>
      <c r="YO35" s="637"/>
      <c r="YP35" s="637"/>
      <c r="YQ35" s="637"/>
      <c r="YR35" s="637"/>
      <c r="YS35" s="637"/>
      <c r="YT35" s="637"/>
      <c r="YU35" s="637"/>
      <c r="YV35" s="637"/>
      <c r="YW35" s="637"/>
      <c r="YX35" s="637"/>
      <c r="YY35" s="637"/>
      <c r="YZ35" s="637"/>
      <c r="ZA35" s="637"/>
      <c r="ZB35" s="637"/>
      <c r="ZC35" s="637"/>
      <c r="ZD35" s="637"/>
      <c r="ZE35" s="637"/>
      <c r="ZF35" s="637"/>
      <c r="ZG35" s="637"/>
      <c r="ZH35" s="637"/>
      <c r="ZI35" s="637"/>
      <c r="ZJ35" s="637"/>
      <c r="ZK35" s="637"/>
      <c r="ZL35" s="637"/>
      <c r="ZM35" s="637"/>
      <c r="ZN35" s="637"/>
      <c r="ZO35" s="637"/>
      <c r="ZP35" s="637"/>
      <c r="ZQ35" s="637"/>
      <c r="ZR35" s="637"/>
      <c r="ZS35" s="637"/>
      <c r="ZT35" s="637"/>
      <c r="ZU35" s="637"/>
      <c r="ZV35" s="637"/>
      <c r="ZW35" s="637"/>
      <c r="ZX35" s="637"/>
      <c r="ZY35" s="637"/>
      <c r="ZZ35" s="637"/>
      <c r="AAA35" s="637"/>
      <c r="AAB35" s="637"/>
      <c r="AAC35" s="637"/>
      <c r="AAD35" s="637"/>
      <c r="AAE35" s="637"/>
      <c r="AAF35" s="637"/>
      <c r="AAG35" s="637"/>
      <c r="AAH35" s="637"/>
      <c r="AAI35" s="637"/>
      <c r="AAJ35" s="637"/>
      <c r="AAK35" s="637"/>
      <c r="AAL35" s="637"/>
      <c r="AAM35" s="637"/>
      <c r="AAN35" s="637"/>
      <c r="AAO35" s="637"/>
      <c r="AAP35" s="637"/>
      <c r="AAQ35" s="637"/>
      <c r="AAR35" s="637"/>
      <c r="AAS35" s="637"/>
      <c r="AAT35" s="637"/>
      <c r="AAU35" s="637"/>
      <c r="AAV35" s="637"/>
      <c r="AAW35" s="637"/>
      <c r="AAX35" s="637"/>
      <c r="AAY35" s="637"/>
      <c r="AAZ35" s="637"/>
      <c r="ABA35" s="637"/>
      <c r="ABB35" s="637"/>
      <c r="ABC35" s="637"/>
      <c r="ABD35" s="637"/>
      <c r="ABE35" s="637"/>
      <c r="ABF35" s="637"/>
      <c r="ABG35" s="637"/>
      <c r="ABH35" s="637"/>
      <c r="ABI35" s="637"/>
      <c r="ABJ35" s="637"/>
      <c r="ABK35" s="637"/>
      <c r="ABL35" s="637"/>
      <c r="ABM35" s="637"/>
      <c r="ABN35" s="637"/>
      <c r="ABO35" s="637"/>
      <c r="ABP35" s="637"/>
      <c r="ABQ35" s="637"/>
      <c r="ABR35" s="637"/>
      <c r="ABS35" s="637"/>
      <c r="ABT35" s="637"/>
      <c r="ABU35" s="637"/>
      <c r="ABV35" s="637"/>
      <c r="ABW35" s="637"/>
      <c r="ABX35" s="637"/>
      <c r="ABY35" s="637"/>
      <c r="ABZ35" s="637"/>
      <c r="ACA35" s="637"/>
      <c r="ACB35" s="637"/>
      <c r="ACC35" s="637"/>
      <c r="ACD35" s="637"/>
      <c r="ACE35" s="637"/>
      <c r="ACF35" s="637"/>
      <c r="ACG35" s="637"/>
      <c r="ACH35" s="637"/>
      <c r="ACI35" s="637"/>
      <c r="ACJ35" s="637"/>
      <c r="ACK35" s="637"/>
      <c r="ACL35" s="637"/>
      <c r="ACM35" s="637"/>
      <c r="ACN35" s="637"/>
      <c r="ACO35" s="637"/>
      <c r="ACP35" s="637"/>
      <c r="ACQ35" s="637"/>
      <c r="ACR35" s="637"/>
      <c r="ACS35" s="637"/>
      <c r="ACT35" s="637"/>
      <c r="ACU35" s="637"/>
      <c r="ACV35" s="637"/>
      <c r="ACW35" s="637"/>
      <c r="ACX35" s="637"/>
      <c r="ACY35" s="637"/>
      <c r="ACZ35" s="637"/>
      <c r="ADA35" s="637"/>
      <c r="ADB35" s="637"/>
      <c r="ADC35" s="637"/>
      <c r="ADD35" s="637"/>
      <c r="ADE35" s="637"/>
      <c r="ADF35" s="637"/>
      <c r="ADG35" s="637"/>
      <c r="ADH35" s="637"/>
      <c r="ADI35" s="637"/>
      <c r="ADJ35" s="637"/>
      <c r="ADK35" s="637"/>
      <c r="ADL35" s="637"/>
      <c r="ADM35" s="637"/>
      <c r="ADN35" s="637"/>
      <c r="ADO35" s="637"/>
      <c r="ADP35" s="637"/>
      <c r="ADQ35" s="637"/>
      <c r="ADR35" s="637"/>
      <c r="ADS35" s="637"/>
      <c r="ADT35" s="637"/>
      <c r="ADU35" s="637"/>
      <c r="ADV35" s="637"/>
      <c r="ADW35" s="637"/>
      <c r="ADX35" s="637"/>
      <c r="ADY35" s="637"/>
      <c r="ADZ35" s="637"/>
      <c r="AEA35" s="637"/>
      <c r="AEB35" s="637"/>
      <c r="AEC35" s="637"/>
      <c r="AED35" s="637"/>
      <c r="AEE35" s="637"/>
      <c r="AEF35" s="637"/>
      <c r="AEG35" s="637"/>
      <c r="AEH35" s="637"/>
      <c r="AEI35" s="637"/>
      <c r="AEJ35" s="637"/>
      <c r="AEK35" s="637"/>
      <c r="AEL35" s="637"/>
      <c r="AEM35" s="637"/>
      <c r="AEN35" s="637"/>
      <c r="AEO35" s="637"/>
      <c r="AEP35" s="637"/>
      <c r="AEQ35" s="637"/>
      <c r="AER35" s="637"/>
      <c r="AES35" s="637"/>
      <c r="AET35" s="637"/>
      <c r="AEU35" s="637"/>
      <c r="AEV35" s="637"/>
      <c r="AEW35" s="637"/>
      <c r="AEX35" s="637"/>
      <c r="AEY35" s="637"/>
      <c r="AEZ35" s="637"/>
      <c r="AFA35" s="637"/>
      <c r="AFB35" s="637"/>
      <c r="AFC35" s="637"/>
      <c r="AFD35" s="637"/>
      <c r="AFE35" s="637"/>
      <c r="AFF35" s="637"/>
      <c r="AFG35" s="637"/>
      <c r="AFH35" s="637"/>
      <c r="AFI35" s="637"/>
      <c r="AFJ35" s="637"/>
      <c r="AFK35" s="637"/>
      <c r="AFL35" s="637"/>
      <c r="AFM35" s="637"/>
      <c r="AFN35" s="637"/>
      <c r="AFO35" s="637"/>
      <c r="AFP35" s="637"/>
      <c r="AFQ35" s="637"/>
      <c r="AFR35" s="637"/>
      <c r="AFS35" s="637"/>
      <c r="AFT35" s="637"/>
      <c r="AFU35" s="637"/>
      <c r="AFV35" s="637"/>
      <c r="AFW35" s="637"/>
      <c r="AFX35" s="637"/>
      <c r="AFY35" s="637"/>
      <c r="AFZ35" s="637"/>
      <c r="AGA35" s="637"/>
      <c r="AGB35" s="637"/>
      <c r="AGC35" s="637"/>
      <c r="AGD35" s="637"/>
      <c r="AGE35" s="637"/>
      <c r="AGF35" s="637"/>
      <c r="AGG35" s="637"/>
      <c r="AGH35" s="637"/>
      <c r="AGI35" s="637"/>
      <c r="AGJ35" s="637"/>
      <c r="AGK35" s="637"/>
      <c r="AGL35" s="637"/>
      <c r="AGM35" s="637"/>
      <c r="AGN35" s="637"/>
      <c r="AGO35" s="637"/>
      <c r="AGP35" s="637"/>
      <c r="AGQ35" s="637"/>
      <c r="AGR35" s="637"/>
      <c r="AGS35" s="637"/>
      <c r="AGT35" s="637"/>
      <c r="AGU35" s="637"/>
      <c r="AGV35" s="637"/>
      <c r="AGW35" s="637"/>
      <c r="AGX35" s="637"/>
      <c r="AGY35" s="637"/>
      <c r="AGZ35" s="637"/>
      <c r="AHA35" s="637"/>
      <c r="AHB35" s="637"/>
      <c r="AHC35" s="637"/>
      <c r="AHD35" s="637"/>
      <c r="AHE35" s="637"/>
      <c r="AHF35" s="637"/>
      <c r="AHG35" s="637"/>
      <c r="AHH35" s="637"/>
      <c r="AHI35" s="637"/>
      <c r="AHJ35" s="637"/>
      <c r="AHK35" s="637"/>
      <c r="AHL35" s="637"/>
      <c r="AHM35" s="637"/>
      <c r="AHN35" s="637"/>
      <c r="AHO35" s="637"/>
      <c r="AHP35" s="637"/>
      <c r="AHQ35" s="637"/>
      <c r="AHR35" s="637"/>
      <c r="AHS35" s="637"/>
      <c r="AHT35" s="637"/>
      <c r="AHU35" s="637"/>
      <c r="AHV35" s="637"/>
      <c r="AHW35" s="637"/>
      <c r="AHX35" s="637"/>
      <c r="AHY35" s="637"/>
      <c r="AHZ35" s="637"/>
      <c r="AIA35" s="637"/>
      <c r="AIB35" s="637"/>
      <c r="AIC35" s="637"/>
      <c r="AID35" s="637"/>
      <c r="AIE35" s="637"/>
      <c r="AIF35" s="637"/>
      <c r="AIG35" s="637"/>
      <c r="AIH35" s="637"/>
      <c r="AII35" s="637"/>
      <c r="AIJ35" s="637"/>
      <c r="AIK35" s="637"/>
      <c r="AIL35" s="637"/>
      <c r="AIM35" s="637"/>
      <c r="AIN35" s="637"/>
      <c r="AIO35" s="637"/>
      <c r="AIP35" s="637"/>
      <c r="AIQ35" s="637"/>
      <c r="AIR35" s="637"/>
      <c r="AIS35" s="637"/>
      <c r="AIT35" s="637"/>
      <c r="AIU35" s="637"/>
      <c r="AIV35" s="637"/>
      <c r="AIW35" s="637"/>
      <c r="AIX35" s="637"/>
      <c r="AIY35" s="637"/>
      <c r="AIZ35" s="637"/>
      <c r="AJA35" s="637"/>
      <c r="AJB35" s="637"/>
      <c r="AJC35" s="637"/>
      <c r="AJD35" s="637"/>
      <c r="AJE35" s="637"/>
      <c r="AJF35" s="637"/>
      <c r="AJG35" s="637"/>
      <c r="AJH35" s="637"/>
      <c r="AJI35" s="637"/>
      <c r="AJJ35" s="637"/>
      <c r="AJK35" s="637"/>
      <c r="AJL35" s="637"/>
      <c r="AJM35" s="637"/>
      <c r="AJN35" s="637"/>
      <c r="AJO35" s="637"/>
      <c r="AJP35" s="637"/>
      <c r="AJQ35" s="637"/>
      <c r="AJR35" s="637"/>
      <c r="AJS35" s="637"/>
      <c r="AJT35" s="637"/>
      <c r="AJU35" s="637"/>
      <c r="AJV35" s="637"/>
      <c r="AJW35" s="637"/>
      <c r="AJX35" s="637"/>
      <c r="AJY35" s="637"/>
      <c r="AJZ35" s="637"/>
      <c r="AKA35" s="637"/>
      <c r="AKB35" s="637"/>
      <c r="AKC35" s="637"/>
      <c r="AKD35" s="637"/>
      <c r="AKE35" s="637"/>
      <c r="AKF35" s="637"/>
      <c r="AKG35" s="637"/>
      <c r="AKH35" s="637"/>
      <c r="AKI35" s="637"/>
      <c r="AKJ35" s="637"/>
      <c r="AKK35" s="637"/>
      <c r="AKL35" s="637"/>
      <c r="AKM35" s="637"/>
      <c r="AKN35" s="637"/>
      <c r="AKO35" s="637"/>
      <c r="AKP35" s="637"/>
      <c r="AKQ35" s="637"/>
      <c r="AKR35" s="637"/>
      <c r="AKS35" s="637"/>
      <c r="AKT35" s="637"/>
      <c r="AKU35" s="637"/>
      <c r="AKV35" s="637"/>
      <c r="AKW35" s="637"/>
      <c r="AKX35" s="637"/>
      <c r="AKY35" s="637"/>
      <c r="AKZ35" s="637"/>
      <c r="ALA35" s="637"/>
      <c r="ALB35" s="637"/>
      <c r="ALC35" s="637"/>
      <c r="ALD35" s="637"/>
      <c r="ALE35" s="637"/>
      <c r="ALF35" s="637"/>
      <c r="ALG35" s="637"/>
      <c r="ALH35" s="637"/>
      <c r="ALI35" s="637"/>
      <c r="ALJ35" s="637"/>
      <c r="ALK35" s="637"/>
      <c r="ALL35" s="637"/>
      <c r="ALM35" s="637"/>
      <c r="ALN35" s="637"/>
      <c r="ALO35" s="637"/>
      <c r="ALP35" s="637"/>
      <c r="ALQ35" s="637"/>
      <c r="ALR35" s="637"/>
      <c r="ALS35" s="637"/>
      <c r="ALT35" s="637"/>
      <c r="ALU35" s="637"/>
      <c r="ALV35" s="637"/>
      <c r="ALW35" s="637"/>
      <c r="ALX35" s="637"/>
      <c r="ALY35" s="637"/>
      <c r="ALZ35" s="637"/>
      <c r="AMA35" s="637"/>
      <c r="AMB35" s="637"/>
      <c r="AMC35" s="637"/>
      <c r="AMD35" s="637"/>
      <c r="AME35" s="637"/>
      <c r="AMF35" s="637"/>
      <c r="AMG35" s="637"/>
      <c r="AMH35" s="637"/>
      <c r="AMI35" s="637"/>
      <c r="AMJ35" s="637"/>
    </row>
    <row r="36" spans="1:1024" s="638" customFormat="1" ht="12.75">
      <c r="A36" s="984" t="s">
        <v>122</v>
      </c>
      <c r="B36" s="985" t="s">
        <v>141</v>
      </c>
      <c r="C36" s="986" t="s">
        <v>142</v>
      </c>
      <c r="D36" s="981" t="s">
        <v>4</v>
      </c>
      <c r="E36" s="982">
        <v>800</v>
      </c>
      <c r="F36" s="982">
        <f t="shared" si="1"/>
        <v>1200</v>
      </c>
      <c r="G36" s="983"/>
      <c r="H36" s="983"/>
      <c r="I36" s="983"/>
      <c r="J36" s="983"/>
      <c r="K36" s="983"/>
      <c r="L36" s="983"/>
      <c r="M36" s="983"/>
      <c r="N36" s="983"/>
      <c r="O36" s="983">
        <v>1200</v>
      </c>
      <c r="P36" s="983"/>
      <c r="Q36" s="983"/>
      <c r="R36" s="984"/>
      <c r="S36" s="637"/>
      <c r="T36" s="637"/>
      <c r="U36" s="637"/>
      <c r="V36" s="637"/>
      <c r="W36" s="637"/>
      <c r="X36" s="637"/>
      <c r="Y36" s="637"/>
      <c r="Z36" s="637"/>
      <c r="AA36" s="637"/>
      <c r="AB36" s="637"/>
      <c r="AC36" s="637"/>
      <c r="AD36" s="637"/>
      <c r="AE36" s="637"/>
      <c r="AF36" s="637"/>
      <c r="AG36" s="637"/>
      <c r="AH36" s="637"/>
      <c r="AI36" s="637"/>
      <c r="AJ36" s="637"/>
      <c r="AK36" s="637"/>
      <c r="AL36" s="637"/>
      <c r="AM36" s="637"/>
      <c r="AN36" s="637"/>
      <c r="AO36" s="637"/>
      <c r="AP36" s="637"/>
      <c r="AQ36" s="637"/>
      <c r="AR36" s="637"/>
      <c r="AS36" s="637"/>
      <c r="AT36" s="637"/>
      <c r="AU36" s="637"/>
      <c r="AV36" s="637"/>
      <c r="AW36" s="637"/>
      <c r="AX36" s="637"/>
      <c r="AY36" s="637"/>
      <c r="AZ36" s="637"/>
      <c r="BA36" s="637"/>
      <c r="BB36" s="637"/>
      <c r="BC36" s="637"/>
      <c r="BD36" s="637"/>
      <c r="BE36" s="637"/>
      <c r="BF36" s="637"/>
      <c r="BG36" s="637"/>
      <c r="BH36" s="637"/>
      <c r="BI36" s="637"/>
      <c r="BJ36" s="637"/>
      <c r="BK36" s="637"/>
      <c r="BL36" s="637"/>
      <c r="BM36" s="637"/>
      <c r="BN36" s="637"/>
      <c r="BO36" s="637"/>
      <c r="BP36" s="637"/>
      <c r="BQ36" s="637"/>
      <c r="BR36" s="637"/>
      <c r="BS36" s="637"/>
      <c r="BT36" s="637"/>
      <c r="BU36" s="637"/>
      <c r="BV36" s="637"/>
      <c r="BW36" s="637"/>
      <c r="BX36" s="637"/>
      <c r="BY36" s="637"/>
      <c r="BZ36" s="637"/>
      <c r="CA36" s="637"/>
      <c r="CB36" s="637"/>
      <c r="CC36" s="637"/>
      <c r="CD36" s="637"/>
      <c r="CE36" s="637"/>
      <c r="CF36" s="637"/>
      <c r="CG36" s="637"/>
      <c r="CH36" s="637"/>
      <c r="CI36" s="637"/>
      <c r="CJ36" s="637"/>
      <c r="CK36" s="637"/>
      <c r="CL36" s="637"/>
      <c r="CM36" s="637"/>
      <c r="CN36" s="637"/>
      <c r="CO36" s="637"/>
      <c r="CP36" s="637"/>
      <c r="CQ36" s="637"/>
      <c r="CR36" s="637"/>
      <c r="CS36" s="637"/>
      <c r="CT36" s="637"/>
      <c r="CU36" s="637"/>
      <c r="CV36" s="637"/>
      <c r="CW36" s="637"/>
      <c r="CX36" s="637"/>
      <c r="CY36" s="637"/>
      <c r="CZ36" s="637"/>
      <c r="DA36" s="637"/>
      <c r="DB36" s="637"/>
      <c r="DC36" s="637"/>
      <c r="DD36" s="637"/>
      <c r="DE36" s="637"/>
      <c r="DF36" s="637"/>
      <c r="DG36" s="637"/>
      <c r="DH36" s="637"/>
      <c r="DI36" s="637"/>
      <c r="DJ36" s="637"/>
      <c r="DK36" s="637"/>
      <c r="DL36" s="637"/>
      <c r="DM36" s="637"/>
      <c r="DN36" s="637"/>
      <c r="DO36" s="637"/>
      <c r="DP36" s="637"/>
      <c r="DQ36" s="637"/>
      <c r="DR36" s="637"/>
      <c r="DS36" s="637"/>
      <c r="DT36" s="637"/>
      <c r="DU36" s="637"/>
      <c r="DV36" s="637"/>
      <c r="DW36" s="637"/>
      <c r="DX36" s="637"/>
      <c r="DY36" s="637"/>
      <c r="DZ36" s="637"/>
      <c r="EA36" s="637"/>
      <c r="EB36" s="637"/>
      <c r="EC36" s="637"/>
      <c r="ED36" s="637"/>
      <c r="EE36" s="637"/>
      <c r="EF36" s="637"/>
      <c r="EG36" s="637"/>
      <c r="EH36" s="637"/>
      <c r="EI36" s="637"/>
      <c r="EJ36" s="637"/>
      <c r="EK36" s="637"/>
      <c r="EL36" s="637"/>
      <c r="EM36" s="637"/>
      <c r="EN36" s="637"/>
      <c r="EO36" s="637"/>
      <c r="EP36" s="637"/>
      <c r="EQ36" s="637"/>
      <c r="ER36" s="637"/>
      <c r="ES36" s="637"/>
      <c r="ET36" s="637"/>
      <c r="EU36" s="637"/>
      <c r="EV36" s="637"/>
      <c r="EW36" s="637"/>
      <c r="EX36" s="637"/>
      <c r="EY36" s="637"/>
      <c r="EZ36" s="637"/>
      <c r="FA36" s="637"/>
      <c r="FB36" s="637"/>
      <c r="FC36" s="637"/>
      <c r="FD36" s="637"/>
      <c r="FE36" s="637"/>
      <c r="FF36" s="637"/>
      <c r="FG36" s="637"/>
      <c r="FH36" s="637"/>
      <c r="FI36" s="637"/>
      <c r="FJ36" s="637"/>
      <c r="FK36" s="637"/>
      <c r="FL36" s="637"/>
      <c r="FM36" s="637"/>
      <c r="FN36" s="637"/>
      <c r="FO36" s="637"/>
      <c r="FP36" s="637"/>
      <c r="FQ36" s="637"/>
      <c r="FR36" s="637"/>
      <c r="FS36" s="637"/>
      <c r="FT36" s="637"/>
      <c r="FU36" s="637"/>
      <c r="FV36" s="637"/>
      <c r="FW36" s="637"/>
      <c r="FX36" s="637"/>
      <c r="FY36" s="637"/>
      <c r="FZ36" s="637"/>
      <c r="GA36" s="637"/>
      <c r="GB36" s="637"/>
      <c r="GC36" s="637"/>
      <c r="GD36" s="637"/>
      <c r="GE36" s="637"/>
      <c r="GF36" s="637"/>
      <c r="GG36" s="637"/>
      <c r="GH36" s="637"/>
      <c r="GI36" s="637"/>
      <c r="GJ36" s="637"/>
      <c r="GK36" s="637"/>
      <c r="GL36" s="637"/>
      <c r="GM36" s="637"/>
      <c r="GN36" s="637"/>
      <c r="GO36" s="637"/>
      <c r="GP36" s="637"/>
      <c r="GQ36" s="637"/>
      <c r="GR36" s="637"/>
      <c r="GS36" s="637"/>
      <c r="GT36" s="637"/>
      <c r="GU36" s="637"/>
      <c r="GV36" s="637"/>
      <c r="GW36" s="637"/>
      <c r="GX36" s="637"/>
      <c r="GY36" s="637"/>
      <c r="GZ36" s="637"/>
      <c r="HA36" s="637"/>
      <c r="HB36" s="637"/>
      <c r="HC36" s="637"/>
      <c r="HD36" s="637"/>
      <c r="HE36" s="637"/>
      <c r="HF36" s="637"/>
      <c r="HG36" s="637"/>
      <c r="HH36" s="637"/>
      <c r="HI36" s="637"/>
      <c r="HJ36" s="637"/>
      <c r="HK36" s="637"/>
      <c r="HL36" s="637"/>
      <c r="HM36" s="637"/>
      <c r="HN36" s="637"/>
      <c r="HO36" s="637"/>
      <c r="HP36" s="637"/>
      <c r="HQ36" s="637"/>
      <c r="HR36" s="637"/>
      <c r="HS36" s="637"/>
      <c r="HT36" s="637"/>
      <c r="HU36" s="637"/>
      <c r="HV36" s="637"/>
      <c r="HW36" s="637"/>
      <c r="HX36" s="637"/>
      <c r="HY36" s="637"/>
      <c r="HZ36" s="637"/>
      <c r="IA36" s="637"/>
      <c r="IB36" s="637"/>
      <c r="IC36" s="637"/>
      <c r="ID36" s="637"/>
      <c r="IE36" s="637"/>
      <c r="IF36" s="637"/>
      <c r="IG36" s="637"/>
      <c r="IH36" s="637"/>
      <c r="II36" s="637"/>
      <c r="IJ36" s="637"/>
      <c r="IK36" s="637"/>
      <c r="IL36" s="637"/>
      <c r="IM36" s="637"/>
      <c r="IN36" s="637"/>
      <c r="IO36" s="637"/>
      <c r="IP36" s="637"/>
      <c r="IQ36" s="637"/>
      <c r="IR36" s="637"/>
      <c r="IS36" s="637"/>
      <c r="IT36" s="637"/>
      <c r="IU36" s="637"/>
      <c r="IV36" s="637"/>
      <c r="IW36" s="637"/>
      <c r="IX36" s="637"/>
      <c r="IY36" s="637"/>
      <c r="IZ36" s="637"/>
      <c r="JA36" s="637"/>
      <c r="JB36" s="637"/>
      <c r="JC36" s="637"/>
      <c r="JD36" s="637"/>
      <c r="JE36" s="637"/>
      <c r="JF36" s="637"/>
      <c r="JG36" s="637"/>
      <c r="JH36" s="637"/>
      <c r="JI36" s="637"/>
      <c r="JJ36" s="637"/>
      <c r="JK36" s="637"/>
      <c r="JL36" s="637"/>
      <c r="JM36" s="637"/>
      <c r="JN36" s="637"/>
      <c r="JO36" s="637"/>
      <c r="JP36" s="637"/>
      <c r="JQ36" s="637"/>
      <c r="JR36" s="637"/>
      <c r="JS36" s="637"/>
      <c r="JT36" s="637"/>
      <c r="JU36" s="637"/>
      <c r="JV36" s="637"/>
      <c r="JW36" s="637"/>
      <c r="JX36" s="637"/>
      <c r="JY36" s="637"/>
      <c r="JZ36" s="637"/>
      <c r="KA36" s="637"/>
      <c r="KB36" s="637"/>
      <c r="KC36" s="637"/>
      <c r="KD36" s="637"/>
      <c r="KE36" s="637"/>
      <c r="KF36" s="637"/>
      <c r="KG36" s="637"/>
      <c r="KH36" s="637"/>
      <c r="KI36" s="637"/>
      <c r="KJ36" s="637"/>
      <c r="KK36" s="637"/>
      <c r="KL36" s="637"/>
      <c r="KM36" s="637"/>
      <c r="KN36" s="637"/>
      <c r="KO36" s="637"/>
      <c r="KP36" s="637"/>
      <c r="KQ36" s="637"/>
      <c r="KR36" s="637"/>
      <c r="KS36" s="637"/>
      <c r="KT36" s="637"/>
      <c r="KU36" s="637"/>
      <c r="KV36" s="637"/>
      <c r="KW36" s="637"/>
      <c r="KX36" s="637"/>
      <c r="KY36" s="637"/>
      <c r="KZ36" s="637"/>
      <c r="LA36" s="637"/>
      <c r="LB36" s="637"/>
      <c r="LC36" s="637"/>
      <c r="LD36" s="637"/>
      <c r="LE36" s="637"/>
      <c r="LF36" s="637"/>
      <c r="LG36" s="637"/>
      <c r="LH36" s="637"/>
      <c r="LI36" s="637"/>
      <c r="LJ36" s="637"/>
      <c r="LK36" s="637"/>
      <c r="LL36" s="637"/>
      <c r="LM36" s="637"/>
      <c r="LN36" s="637"/>
      <c r="LO36" s="637"/>
      <c r="LP36" s="637"/>
      <c r="LQ36" s="637"/>
      <c r="LR36" s="637"/>
      <c r="LS36" s="637"/>
      <c r="LT36" s="637"/>
      <c r="LU36" s="637"/>
      <c r="LV36" s="637"/>
      <c r="LW36" s="637"/>
      <c r="LX36" s="637"/>
      <c r="LY36" s="637"/>
      <c r="LZ36" s="637"/>
      <c r="MA36" s="637"/>
      <c r="MB36" s="637"/>
      <c r="MC36" s="637"/>
      <c r="MD36" s="637"/>
      <c r="ME36" s="637"/>
      <c r="MF36" s="637"/>
      <c r="MG36" s="637"/>
      <c r="MH36" s="637"/>
      <c r="MI36" s="637"/>
      <c r="MJ36" s="637"/>
      <c r="MK36" s="637"/>
      <c r="ML36" s="637"/>
      <c r="MM36" s="637"/>
      <c r="MN36" s="637"/>
      <c r="MO36" s="637"/>
      <c r="MP36" s="637"/>
      <c r="MQ36" s="637"/>
      <c r="MR36" s="637"/>
      <c r="MS36" s="637"/>
      <c r="MT36" s="637"/>
      <c r="MU36" s="637"/>
      <c r="MV36" s="637"/>
      <c r="MW36" s="637"/>
      <c r="MX36" s="637"/>
      <c r="MY36" s="637"/>
      <c r="MZ36" s="637"/>
      <c r="NA36" s="637"/>
      <c r="NB36" s="637"/>
      <c r="NC36" s="637"/>
      <c r="ND36" s="637"/>
      <c r="NE36" s="637"/>
      <c r="NF36" s="637"/>
      <c r="NG36" s="637"/>
      <c r="NH36" s="637"/>
      <c r="NI36" s="637"/>
      <c r="NJ36" s="637"/>
      <c r="NK36" s="637"/>
      <c r="NL36" s="637"/>
      <c r="NM36" s="637"/>
      <c r="NN36" s="637"/>
      <c r="NO36" s="637"/>
      <c r="NP36" s="637"/>
      <c r="NQ36" s="637"/>
      <c r="NR36" s="637"/>
      <c r="NS36" s="637"/>
      <c r="NT36" s="637"/>
      <c r="NU36" s="637"/>
      <c r="NV36" s="637"/>
      <c r="NW36" s="637"/>
      <c r="NX36" s="637"/>
      <c r="NY36" s="637"/>
      <c r="NZ36" s="637"/>
      <c r="OA36" s="637"/>
      <c r="OB36" s="637"/>
      <c r="OC36" s="637"/>
      <c r="OD36" s="637"/>
      <c r="OE36" s="637"/>
      <c r="OF36" s="637"/>
      <c r="OG36" s="637"/>
      <c r="OH36" s="637"/>
      <c r="OI36" s="637"/>
      <c r="OJ36" s="637"/>
      <c r="OK36" s="637"/>
      <c r="OL36" s="637"/>
      <c r="OM36" s="637"/>
      <c r="ON36" s="637"/>
      <c r="OO36" s="637"/>
      <c r="OP36" s="637"/>
      <c r="OQ36" s="637"/>
      <c r="OR36" s="637"/>
      <c r="OS36" s="637"/>
      <c r="OT36" s="637"/>
      <c r="OU36" s="637"/>
      <c r="OV36" s="637"/>
      <c r="OW36" s="637"/>
      <c r="OX36" s="637"/>
      <c r="OY36" s="637"/>
      <c r="OZ36" s="637"/>
      <c r="PA36" s="637"/>
      <c r="PB36" s="637"/>
      <c r="PC36" s="637"/>
      <c r="PD36" s="637"/>
      <c r="PE36" s="637"/>
      <c r="PF36" s="637"/>
      <c r="PG36" s="637"/>
      <c r="PH36" s="637"/>
      <c r="PI36" s="637"/>
      <c r="PJ36" s="637"/>
      <c r="PK36" s="637"/>
      <c r="PL36" s="637"/>
      <c r="PM36" s="637"/>
      <c r="PN36" s="637"/>
      <c r="PO36" s="637"/>
      <c r="PP36" s="637"/>
      <c r="PQ36" s="637"/>
      <c r="PR36" s="637"/>
      <c r="PS36" s="637"/>
      <c r="PT36" s="637"/>
      <c r="PU36" s="637"/>
      <c r="PV36" s="637"/>
      <c r="PW36" s="637"/>
      <c r="PX36" s="637"/>
      <c r="PY36" s="637"/>
      <c r="PZ36" s="637"/>
      <c r="QA36" s="637"/>
      <c r="QB36" s="637"/>
      <c r="QC36" s="637"/>
      <c r="QD36" s="637"/>
      <c r="QE36" s="637"/>
      <c r="QF36" s="637"/>
      <c r="QG36" s="637"/>
      <c r="QH36" s="637"/>
      <c r="QI36" s="637"/>
      <c r="QJ36" s="637"/>
      <c r="QK36" s="637"/>
      <c r="QL36" s="637"/>
      <c r="QM36" s="637"/>
      <c r="QN36" s="637"/>
      <c r="QO36" s="637"/>
      <c r="QP36" s="637"/>
      <c r="QQ36" s="637"/>
      <c r="QR36" s="637"/>
      <c r="QS36" s="637"/>
      <c r="QT36" s="637"/>
      <c r="QU36" s="637"/>
      <c r="QV36" s="637"/>
      <c r="QW36" s="637"/>
      <c r="QX36" s="637"/>
      <c r="QY36" s="637"/>
      <c r="QZ36" s="637"/>
      <c r="RA36" s="637"/>
      <c r="RB36" s="637"/>
      <c r="RC36" s="637"/>
      <c r="RD36" s="637"/>
      <c r="RE36" s="637"/>
      <c r="RF36" s="637"/>
      <c r="RG36" s="637"/>
      <c r="RH36" s="637"/>
      <c r="RI36" s="637"/>
      <c r="RJ36" s="637"/>
      <c r="RK36" s="637"/>
      <c r="RL36" s="637"/>
      <c r="RM36" s="637"/>
      <c r="RN36" s="637"/>
      <c r="RO36" s="637"/>
      <c r="RP36" s="637"/>
      <c r="RQ36" s="637"/>
      <c r="RR36" s="637"/>
      <c r="RS36" s="637"/>
      <c r="RT36" s="637"/>
      <c r="RU36" s="637"/>
      <c r="RV36" s="637"/>
      <c r="RW36" s="637"/>
      <c r="RX36" s="637"/>
      <c r="RY36" s="637"/>
      <c r="RZ36" s="637"/>
      <c r="SA36" s="637"/>
      <c r="SB36" s="637"/>
      <c r="SC36" s="637"/>
      <c r="SD36" s="637"/>
      <c r="SE36" s="637"/>
      <c r="SF36" s="637"/>
      <c r="SG36" s="637"/>
      <c r="SH36" s="637"/>
      <c r="SI36" s="637"/>
      <c r="SJ36" s="637"/>
      <c r="SK36" s="637"/>
      <c r="SL36" s="637"/>
      <c r="SM36" s="637"/>
      <c r="SN36" s="637"/>
      <c r="SO36" s="637"/>
      <c r="SP36" s="637"/>
      <c r="SQ36" s="637"/>
      <c r="SR36" s="637"/>
      <c r="SS36" s="637"/>
      <c r="ST36" s="637"/>
      <c r="SU36" s="637"/>
      <c r="SV36" s="637"/>
      <c r="SW36" s="637"/>
      <c r="SX36" s="637"/>
      <c r="SY36" s="637"/>
      <c r="SZ36" s="637"/>
      <c r="TA36" s="637"/>
      <c r="TB36" s="637"/>
      <c r="TC36" s="637"/>
      <c r="TD36" s="637"/>
      <c r="TE36" s="637"/>
      <c r="TF36" s="637"/>
      <c r="TG36" s="637"/>
      <c r="TH36" s="637"/>
      <c r="TI36" s="637"/>
      <c r="TJ36" s="637"/>
      <c r="TK36" s="637"/>
      <c r="TL36" s="637"/>
      <c r="TM36" s="637"/>
      <c r="TN36" s="637"/>
      <c r="TO36" s="637"/>
      <c r="TP36" s="637"/>
      <c r="TQ36" s="637"/>
      <c r="TR36" s="637"/>
      <c r="TS36" s="637"/>
      <c r="TT36" s="637"/>
      <c r="TU36" s="637"/>
      <c r="TV36" s="637"/>
      <c r="TW36" s="637"/>
      <c r="TX36" s="637"/>
      <c r="TY36" s="637"/>
      <c r="TZ36" s="637"/>
      <c r="UA36" s="637"/>
      <c r="UB36" s="637"/>
      <c r="UC36" s="637"/>
      <c r="UD36" s="637"/>
      <c r="UE36" s="637"/>
      <c r="UF36" s="637"/>
      <c r="UG36" s="637"/>
      <c r="UH36" s="637"/>
      <c r="UI36" s="637"/>
      <c r="UJ36" s="637"/>
      <c r="UK36" s="637"/>
      <c r="UL36" s="637"/>
      <c r="UM36" s="637"/>
      <c r="UN36" s="637"/>
      <c r="UO36" s="637"/>
      <c r="UP36" s="637"/>
      <c r="UQ36" s="637"/>
      <c r="UR36" s="637"/>
      <c r="US36" s="637"/>
      <c r="UT36" s="637"/>
      <c r="UU36" s="637"/>
      <c r="UV36" s="637"/>
      <c r="UW36" s="637"/>
      <c r="UX36" s="637"/>
      <c r="UY36" s="637"/>
      <c r="UZ36" s="637"/>
      <c r="VA36" s="637"/>
      <c r="VB36" s="637"/>
      <c r="VC36" s="637"/>
      <c r="VD36" s="637"/>
      <c r="VE36" s="637"/>
      <c r="VF36" s="637"/>
      <c r="VG36" s="637"/>
      <c r="VH36" s="637"/>
      <c r="VI36" s="637"/>
      <c r="VJ36" s="637"/>
      <c r="VK36" s="637"/>
      <c r="VL36" s="637"/>
      <c r="VM36" s="637"/>
      <c r="VN36" s="637"/>
      <c r="VO36" s="637"/>
      <c r="VP36" s="637"/>
      <c r="VQ36" s="637"/>
      <c r="VR36" s="637"/>
      <c r="VS36" s="637"/>
      <c r="VT36" s="637"/>
      <c r="VU36" s="637"/>
      <c r="VV36" s="637"/>
      <c r="VW36" s="637"/>
      <c r="VX36" s="637"/>
      <c r="VY36" s="637"/>
      <c r="VZ36" s="637"/>
      <c r="WA36" s="637"/>
      <c r="WB36" s="637"/>
      <c r="WC36" s="637"/>
      <c r="WD36" s="637"/>
      <c r="WE36" s="637"/>
      <c r="WF36" s="637"/>
      <c r="WG36" s="637"/>
      <c r="WH36" s="637"/>
      <c r="WI36" s="637"/>
      <c r="WJ36" s="637"/>
      <c r="WK36" s="637"/>
      <c r="WL36" s="637"/>
      <c r="WM36" s="637"/>
      <c r="WN36" s="637"/>
      <c r="WO36" s="637"/>
      <c r="WP36" s="637"/>
      <c r="WQ36" s="637"/>
      <c r="WR36" s="637"/>
      <c r="WS36" s="637"/>
      <c r="WT36" s="637"/>
      <c r="WU36" s="637"/>
      <c r="WV36" s="637"/>
      <c r="WW36" s="637"/>
      <c r="WX36" s="637"/>
      <c r="WY36" s="637"/>
      <c r="WZ36" s="637"/>
      <c r="XA36" s="637"/>
      <c r="XB36" s="637"/>
      <c r="XC36" s="637"/>
      <c r="XD36" s="637"/>
      <c r="XE36" s="637"/>
      <c r="XF36" s="637"/>
      <c r="XG36" s="637"/>
      <c r="XH36" s="637"/>
      <c r="XI36" s="637"/>
      <c r="XJ36" s="637"/>
      <c r="XK36" s="637"/>
      <c r="XL36" s="637"/>
      <c r="XM36" s="637"/>
      <c r="XN36" s="637"/>
      <c r="XO36" s="637"/>
      <c r="XP36" s="637"/>
      <c r="XQ36" s="637"/>
      <c r="XR36" s="637"/>
      <c r="XS36" s="637"/>
      <c r="XT36" s="637"/>
      <c r="XU36" s="637"/>
      <c r="XV36" s="637"/>
      <c r="XW36" s="637"/>
      <c r="XX36" s="637"/>
      <c r="XY36" s="637"/>
      <c r="XZ36" s="637"/>
      <c r="YA36" s="637"/>
      <c r="YB36" s="637"/>
      <c r="YC36" s="637"/>
      <c r="YD36" s="637"/>
      <c r="YE36" s="637"/>
      <c r="YF36" s="637"/>
      <c r="YG36" s="637"/>
      <c r="YH36" s="637"/>
      <c r="YI36" s="637"/>
      <c r="YJ36" s="637"/>
      <c r="YK36" s="637"/>
      <c r="YL36" s="637"/>
      <c r="YM36" s="637"/>
      <c r="YN36" s="637"/>
      <c r="YO36" s="637"/>
      <c r="YP36" s="637"/>
      <c r="YQ36" s="637"/>
      <c r="YR36" s="637"/>
      <c r="YS36" s="637"/>
      <c r="YT36" s="637"/>
      <c r="YU36" s="637"/>
      <c r="YV36" s="637"/>
      <c r="YW36" s="637"/>
      <c r="YX36" s="637"/>
      <c r="YY36" s="637"/>
      <c r="YZ36" s="637"/>
      <c r="ZA36" s="637"/>
      <c r="ZB36" s="637"/>
      <c r="ZC36" s="637"/>
      <c r="ZD36" s="637"/>
      <c r="ZE36" s="637"/>
      <c r="ZF36" s="637"/>
      <c r="ZG36" s="637"/>
      <c r="ZH36" s="637"/>
      <c r="ZI36" s="637"/>
      <c r="ZJ36" s="637"/>
      <c r="ZK36" s="637"/>
      <c r="ZL36" s="637"/>
      <c r="ZM36" s="637"/>
      <c r="ZN36" s="637"/>
      <c r="ZO36" s="637"/>
      <c r="ZP36" s="637"/>
      <c r="ZQ36" s="637"/>
      <c r="ZR36" s="637"/>
      <c r="ZS36" s="637"/>
      <c r="ZT36" s="637"/>
      <c r="ZU36" s="637"/>
      <c r="ZV36" s="637"/>
      <c r="ZW36" s="637"/>
      <c r="ZX36" s="637"/>
      <c r="ZY36" s="637"/>
      <c r="ZZ36" s="637"/>
      <c r="AAA36" s="637"/>
      <c r="AAB36" s="637"/>
      <c r="AAC36" s="637"/>
      <c r="AAD36" s="637"/>
      <c r="AAE36" s="637"/>
      <c r="AAF36" s="637"/>
      <c r="AAG36" s="637"/>
      <c r="AAH36" s="637"/>
      <c r="AAI36" s="637"/>
      <c r="AAJ36" s="637"/>
      <c r="AAK36" s="637"/>
      <c r="AAL36" s="637"/>
      <c r="AAM36" s="637"/>
      <c r="AAN36" s="637"/>
      <c r="AAO36" s="637"/>
      <c r="AAP36" s="637"/>
      <c r="AAQ36" s="637"/>
      <c r="AAR36" s="637"/>
      <c r="AAS36" s="637"/>
      <c r="AAT36" s="637"/>
      <c r="AAU36" s="637"/>
      <c r="AAV36" s="637"/>
      <c r="AAW36" s="637"/>
      <c r="AAX36" s="637"/>
      <c r="AAY36" s="637"/>
      <c r="AAZ36" s="637"/>
      <c r="ABA36" s="637"/>
      <c r="ABB36" s="637"/>
      <c r="ABC36" s="637"/>
      <c r="ABD36" s="637"/>
      <c r="ABE36" s="637"/>
      <c r="ABF36" s="637"/>
      <c r="ABG36" s="637"/>
      <c r="ABH36" s="637"/>
      <c r="ABI36" s="637"/>
      <c r="ABJ36" s="637"/>
      <c r="ABK36" s="637"/>
      <c r="ABL36" s="637"/>
      <c r="ABM36" s="637"/>
      <c r="ABN36" s="637"/>
      <c r="ABO36" s="637"/>
      <c r="ABP36" s="637"/>
      <c r="ABQ36" s="637"/>
      <c r="ABR36" s="637"/>
      <c r="ABS36" s="637"/>
      <c r="ABT36" s="637"/>
      <c r="ABU36" s="637"/>
      <c r="ABV36" s="637"/>
      <c r="ABW36" s="637"/>
      <c r="ABX36" s="637"/>
      <c r="ABY36" s="637"/>
      <c r="ABZ36" s="637"/>
      <c r="ACA36" s="637"/>
      <c r="ACB36" s="637"/>
      <c r="ACC36" s="637"/>
      <c r="ACD36" s="637"/>
      <c r="ACE36" s="637"/>
      <c r="ACF36" s="637"/>
      <c r="ACG36" s="637"/>
      <c r="ACH36" s="637"/>
      <c r="ACI36" s="637"/>
      <c r="ACJ36" s="637"/>
      <c r="ACK36" s="637"/>
      <c r="ACL36" s="637"/>
      <c r="ACM36" s="637"/>
      <c r="ACN36" s="637"/>
      <c r="ACO36" s="637"/>
      <c r="ACP36" s="637"/>
      <c r="ACQ36" s="637"/>
      <c r="ACR36" s="637"/>
      <c r="ACS36" s="637"/>
      <c r="ACT36" s="637"/>
      <c r="ACU36" s="637"/>
      <c r="ACV36" s="637"/>
      <c r="ACW36" s="637"/>
      <c r="ACX36" s="637"/>
      <c r="ACY36" s="637"/>
      <c r="ACZ36" s="637"/>
      <c r="ADA36" s="637"/>
      <c r="ADB36" s="637"/>
      <c r="ADC36" s="637"/>
      <c r="ADD36" s="637"/>
      <c r="ADE36" s="637"/>
      <c r="ADF36" s="637"/>
      <c r="ADG36" s="637"/>
      <c r="ADH36" s="637"/>
      <c r="ADI36" s="637"/>
      <c r="ADJ36" s="637"/>
      <c r="ADK36" s="637"/>
      <c r="ADL36" s="637"/>
      <c r="ADM36" s="637"/>
      <c r="ADN36" s="637"/>
      <c r="ADO36" s="637"/>
      <c r="ADP36" s="637"/>
      <c r="ADQ36" s="637"/>
      <c r="ADR36" s="637"/>
      <c r="ADS36" s="637"/>
      <c r="ADT36" s="637"/>
      <c r="ADU36" s="637"/>
      <c r="ADV36" s="637"/>
      <c r="ADW36" s="637"/>
      <c r="ADX36" s="637"/>
      <c r="ADY36" s="637"/>
      <c r="ADZ36" s="637"/>
      <c r="AEA36" s="637"/>
      <c r="AEB36" s="637"/>
      <c r="AEC36" s="637"/>
      <c r="AED36" s="637"/>
      <c r="AEE36" s="637"/>
      <c r="AEF36" s="637"/>
      <c r="AEG36" s="637"/>
      <c r="AEH36" s="637"/>
      <c r="AEI36" s="637"/>
      <c r="AEJ36" s="637"/>
      <c r="AEK36" s="637"/>
      <c r="AEL36" s="637"/>
      <c r="AEM36" s="637"/>
      <c r="AEN36" s="637"/>
      <c r="AEO36" s="637"/>
      <c r="AEP36" s="637"/>
      <c r="AEQ36" s="637"/>
      <c r="AER36" s="637"/>
      <c r="AES36" s="637"/>
      <c r="AET36" s="637"/>
      <c r="AEU36" s="637"/>
      <c r="AEV36" s="637"/>
      <c r="AEW36" s="637"/>
      <c r="AEX36" s="637"/>
      <c r="AEY36" s="637"/>
      <c r="AEZ36" s="637"/>
      <c r="AFA36" s="637"/>
      <c r="AFB36" s="637"/>
      <c r="AFC36" s="637"/>
      <c r="AFD36" s="637"/>
      <c r="AFE36" s="637"/>
      <c r="AFF36" s="637"/>
      <c r="AFG36" s="637"/>
      <c r="AFH36" s="637"/>
      <c r="AFI36" s="637"/>
      <c r="AFJ36" s="637"/>
      <c r="AFK36" s="637"/>
      <c r="AFL36" s="637"/>
      <c r="AFM36" s="637"/>
      <c r="AFN36" s="637"/>
      <c r="AFO36" s="637"/>
      <c r="AFP36" s="637"/>
      <c r="AFQ36" s="637"/>
      <c r="AFR36" s="637"/>
      <c r="AFS36" s="637"/>
      <c r="AFT36" s="637"/>
      <c r="AFU36" s="637"/>
      <c r="AFV36" s="637"/>
      <c r="AFW36" s="637"/>
      <c r="AFX36" s="637"/>
      <c r="AFY36" s="637"/>
      <c r="AFZ36" s="637"/>
      <c r="AGA36" s="637"/>
      <c r="AGB36" s="637"/>
      <c r="AGC36" s="637"/>
      <c r="AGD36" s="637"/>
      <c r="AGE36" s="637"/>
      <c r="AGF36" s="637"/>
      <c r="AGG36" s="637"/>
      <c r="AGH36" s="637"/>
      <c r="AGI36" s="637"/>
      <c r="AGJ36" s="637"/>
      <c r="AGK36" s="637"/>
      <c r="AGL36" s="637"/>
      <c r="AGM36" s="637"/>
      <c r="AGN36" s="637"/>
      <c r="AGO36" s="637"/>
      <c r="AGP36" s="637"/>
      <c r="AGQ36" s="637"/>
      <c r="AGR36" s="637"/>
      <c r="AGS36" s="637"/>
      <c r="AGT36" s="637"/>
      <c r="AGU36" s="637"/>
      <c r="AGV36" s="637"/>
      <c r="AGW36" s="637"/>
      <c r="AGX36" s="637"/>
      <c r="AGY36" s="637"/>
      <c r="AGZ36" s="637"/>
      <c r="AHA36" s="637"/>
      <c r="AHB36" s="637"/>
      <c r="AHC36" s="637"/>
      <c r="AHD36" s="637"/>
      <c r="AHE36" s="637"/>
      <c r="AHF36" s="637"/>
      <c r="AHG36" s="637"/>
      <c r="AHH36" s="637"/>
      <c r="AHI36" s="637"/>
      <c r="AHJ36" s="637"/>
      <c r="AHK36" s="637"/>
      <c r="AHL36" s="637"/>
      <c r="AHM36" s="637"/>
      <c r="AHN36" s="637"/>
      <c r="AHO36" s="637"/>
      <c r="AHP36" s="637"/>
      <c r="AHQ36" s="637"/>
      <c r="AHR36" s="637"/>
      <c r="AHS36" s="637"/>
      <c r="AHT36" s="637"/>
      <c r="AHU36" s="637"/>
      <c r="AHV36" s="637"/>
      <c r="AHW36" s="637"/>
      <c r="AHX36" s="637"/>
      <c r="AHY36" s="637"/>
      <c r="AHZ36" s="637"/>
      <c r="AIA36" s="637"/>
      <c r="AIB36" s="637"/>
      <c r="AIC36" s="637"/>
      <c r="AID36" s="637"/>
      <c r="AIE36" s="637"/>
      <c r="AIF36" s="637"/>
      <c r="AIG36" s="637"/>
      <c r="AIH36" s="637"/>
      <c r="AII36" s="637"/>
      <c r="AIJ36" s="637"/>
      <c r="AIK36" s="637"/>
      <c r="AIL36" s="637"/>
      <c r="AIM36" s="637"/>
      <c r="AIN36" s="637"/>
      <c r="AIO36" s="637"/>
      <c r="AIP36" s="637"/>
      <c r="AIQ36" s="637"/>
      <c r="AIR36" s="637"/>
      <c r="AIS36" s="637"/>
      <c r="AIT36" s="637"/>
      <c r="AIU36" s="637"/>
      <c r="AIV36" s="637"/>
      <c r="AIW36" s="637"/>
      <c r="AIX36" s="637"/>
      <c r="AIY36" s="637"/>
      <c r="AIZ36" s="637"/>
      <c r="AJA36" s="637"/>
      <c r="AJB36" s="637"/>
      <c r="AJC36" s="637"/>
      <c r="AJD36" s="637"/>
      <c r="AJE36" s="637"/>
      <c r="AJF36" s="637"/>
      <c r="AJG36" s="637"/>
      <c r="AJH36" s="637"/>
      <c r="AJI36" s="637"/>
      <c r="AJJ36" s="637"/>
      <c r="AJK36" s="637"/>
      <c r="AJL36" s="637"/>
      <c r="AJM36" s="637"/>
      <c r="AJN36" s="637"/>
      <c r="AJO36" s="637"/>
      <c r="AJP36" s="637"/>
      <c r="AJQ36" s="637"/>
      <c r="AJR36" s="637"/>
      <c r="AJS36" s="637"/>
      <c r="AJT36" s="637"/>
      <c r="AJU36" s="637"/>
      <c r="AJV36" s="637"/>
      <c r="AJW36" s="637"/>
      <c r="AJX36" s="637"/>
      <c r="AJY36" s="637"/>
      <c r="AJZ36" s="637"/>
      <c r="AKA36" s="637"/>
      <c r="AKB36" s="637"/>
      <c r="AKC36" s="637"/>
      <c r="AKD36" s="637"/>
      <c r="AKE36" s="637"/>
      <c r="AKF36" s="637"/>
      <c r="AKG36" s="637"/>
      <c r="AKH36" s="637"/>
      <c r="AKI36" s="637"/>
      <c r="AKJ36" s="637"/>
      <c r="AKK36" s="637"/>
      <c r="AKL36" s="637"/>
      <c r="AKM36" s="637"/>
      <c r="AKN36" s="637"/>
      <c r="AKO36" s="637"/>
      <c r="AKP36" s="637"/>
      <c r="AKQ36" s="637"/>
      <c r="AKR36" s="637"/>
      <c r="AKS36" s="637"/>
      <c r="AKT36" s="637"/>
      <c r="AKU36" s="637"/>
      <c r="AKV36" s="637"/>
      <c r="AKW36" s="637"/>
      <c r="AKX36" s="637"/>
      <c r="AKY36" s="637"/>
      <c r="AKZ36" s="637"/>
      <c r="ALA36" s="637"/>
      <c r="ALB36" s="637"/>
      <c r="ALC36" s="637"/>
      <c r="ALD36" s="637"/>
      <c r="ALE36" s="637"/>
      <c r="ALF36" s="637"/>
      <c r="ALG36" s="637"/>
      <c r="ALH36" s="637"/>
      <c r="ALI36" s="637"/>
      <c r="ALJ36" s="637"/>
      <c r="ALK36" s="637"/>
      <c r="ALL36" s="637"/>
      <c r="ALM36" s="637"/>
      <c r="ALN36" s="637"/>
      <c r="ALO36" s="637"/>
      <c r="ALP36" s="637"/>
      <c r="ALQ36" s="637"/>
      <c r="ALR36" s="637"/>
      <c r="ALS36" s="637"/>
      <c r="ALT36" s="637"/>
      <c r="ALU36" s="637"/>
      <c r="ALV36" s="637"/>
      <c r="ALW36" s="637"/>
      <c r="ALX36" s="637"/>
      <c r="ALY36" s="637"/>
      <c r="ALZ36" s="637"/>
      <c r="AMA36" s="637"/>
      <c r="AMB36" s="637"/>
      <c r="AMC36" s="637"/>
      <c r="AMD36" s="637"/>
      <c r="AME36" s="637"/>
      <c r="AMF36" s="637"/>
      <c r="AMG36" s="637"/>
      <c r="AMH36" s="637"/>
      <c r="AMI36" s="637"/>
      <c r="AMJ36" s="637"/>
    </row>
    <row r="37" spans="1:1024" s="638" customFormat="1" ht="12.75">
      <c r="A37" s="984"/>
      <c r="B37" s="985"/>
      <c r="C37" s="986"/>
      <c r="D37" s="981" t="s">
        <v>861</v>
      </c>
      <c r="E37" s="982">
        <v>800</v>
      </c>
      <c r="F37" s="982">
        <v>1200</v>
      </c>
      <c r="G37" s="983"/>
      <c r="H37" s="983"/>
      <c r="I37" s="983"/>
      <c r="J37" s="983"/>
      <c r="K37" s="983"/>
      <c r="L37" s="983"/>
      <c r="M37" s="983"/>
      <c r="N37" s="983"/>
      <c r="O37" s="983">
        <v>1200</v>
      </c>
      <c r="P37" s="983"/>
      <c r="Q37" s="983"/>
      <c r="R37" s="984"/>
      <c r="S37" s="637"/>
      <c r="T37" s="637"/>
      <c r="U37" s="637"/>
      <c r="V37" s="637"/>
      <c r="W37" s="637"/>
      <c r="X37" s="637"/>
      <c r="Y37" s="637"/>
      <c r="Z37" s="637"/>
      <c r="AA37" s="637"/>
      <c r="AB37" s="637"/>
      <c r="AC37" s="637"/>
      <c r="AD37" s="637"/>
      <c r="AE37" s="637"/>
      <c r="AF37" s="637"/>
      <c r="AG37" s="637"/>
      <c r="AH37" s="637"/>
      <c r="AI37" s="637"/>
      <c r="AJ37" s="637"/>
      <c r="AK37" s="637"/>
      <c r="AL37" s="637"/>
      <c r="AM37" s="637"/>
      <c r="AN37" s="637"/>
      <c r="AO37" s="637"/>
      <c r="AP37" s="637"/>
      <c r="AQ37" s="637"/>
      <c r="AR37" s="637"/>
      <c r="AS37" s="637"/>
      <c r="AT37" s="637"/>
      <c r="AU37" s="637"/>
      <c r="AV37" s="637"/>
      <c r="AW37" s="637"/>
      <c r="AX37" s="637"/>
      <c r="AY37" s="637"/>
      <c r="AZ37" s="637"/>
      <c r="BA37" s="637"/>
      <c r="BB37" s="637"/>
      <c r="BC37" s="637"/>
      <c r="BD37" s="637"/>
      <c r="BE37" s="637"/>
      <c r="BF37" s="637"/>
      <c r="BG37" s="637"/>
      <c r="BH37" s="637"/>
      <c r="BI37" s="637"/>
      <c r="BJ37" s="637"/>
      <c r="BK37" s="637"/>
      <c r="BL37" s="637"/>
      <c r="BM37" s="637"/>
      <c r="BN37" s="637"/>
      <c r="BO37" s="637"/>
      <c r="BP37" s="637"/>
      <c r="BQ37" s="637"/>
      <c r="BR37" s="637"/>
      <c r="BS37" s="637"/>
      <c r="BT37" s="637"/>
      <c r="BU37" s="637"/>
      <c r="BV37" s="637"/>
      <c r="BW37" s="637"/>
      <c r="BX37" s="637"/>
      <c r="BY37" s="637"/>
      <c r="BZ37" s="637"/>
      <c r="CA37" s="637"/>
      <c r="CB37" s="637"/>
      <c r="CC37" s="637"/>
      <c r="CD37" s="637"/>
      <c r="CE37" s="637"/>
      <c r="CF37" s="637"/>
      <c r="CG37" s="637"/>
      <c r="CH37" s="637"/>
      <c r="CI37" s="637"/>
      <c r="CJ37" s="637"/>
      <c r="CK37" s="637"/>
      <c r="CL37" s="637"/>
      <c r="CM37" s="637"/>
      <c r="CN37" s="637"/>
      <c r="CO37" s="637"/>
      <c r="CP37" s="637"/>
      <c r="CQ37" s="637"/>
      <c r="CR37" s="637"/>
      <c r="CS37" s="637"/>
      <c r="CT37" s="637"/>
      <c r="CU37" s="637"/>
      <c r="CV37" s="637"/>
      <c r="CW37" s="637"/>
      <c r="CX37" s="637"/>
      <c r="CY37" s="637"/>
      <c r="CZ37" s="637"/>
      <c r="DA37" s="637"/>
      <c r="DB37" s="637"/>
      <c r="DC37" s="637"/>
      <c r="DD37" s="637"/>
      <c r="DE37" s="637"/>
      <c r="DF37" s="637"/>
      <c r="DG37" s="637"/>
      <c r="DH37" s="637"/>
      <c r="DI37" s="637"/>
      <c r="DJ37" s="637"/>
      <c r="DK37" s="637"/>
      <c r="DL37" s="637"/>
      <c r="DM37" s="637"/>
      <c r="DN37" s="637"/>
      <c r="DO37" s="637"/>
      <c r="DP37" s="637"/>
      <c r="DQ37" s="637"/>
      <c r="DR37" s="637"/>
      <c r="DS37" s="637"/>
      <c r="DT37" s="637"/>
      <c r="DU37" s="637"/>
      <c r="DV37" s="637"/>
      <c r="DW37" s="637"/>
      <c r="DX37" s="637"/>
      <c r="DY37" s="637"/>
      <c r="DZ37" s="637"/>
      <c r="EA37" s="637"/>
      <c r="EB37" s="637"/>
      <c r="EC37" s="637"/>
      <c r="ED37" s="637"/>
      <c r="EE37" s="637"/>
      <c r="EF37" s="637"/>
      <c r="EG37" s="637"/>
      <c r="EH37" s="637"/>
      <c r="EI37" s="637"/>
      <c r="EJ37" s="637"/>
      <c r="EK37" s="637"/>
      <c r="EL37" s="637"/>
      <c r="EM37" s="637"/>
      <c r="EN37" s="637"/>
      <c r="EO37" s="637"/>
      <c r="EP37" s="637"/>
      <c r="EQ37" s="637"/>
      <c r="ER37" s="637"/>
      <c r="ES37" s="637"/>
      <c r="ET37" s="637"/>
      <c r="EU37" s="637"/>
      <c r="EV37" s="637"/>
      <c r="EW37" s="637"/>
      <c r="EX37" s="637"/>
      <c r="EY37" s="637"/>
      <c r="EZ37" s="637"/>
      <c r="FA37" s="637"/>
      <c r="FB37" s="637"/>
      <c r="FC37" s="637"/>
      <c r="FD37" s="637"/>
      <c r="FE37" s="637"/>
      <c r="FF37" s="637"/>
      <c r="FG37" s="637"/>
      <c r="FH37" s="637"/>
      <c r="FI37" s="637"/>
      <c r="FJ37" s="637"/>
      <c r="FK37" s="637"/>
      <c r="FL37" s="637"/>
      <c r="FM37" s="637"/>
      <c r="FN37" s="637"/>
      <c r="FO37" s="637"/>
      <c r="FP37" s="637"/>
      <c r="FQ37" s="637"/>
      <c r="FR37" s="637"/>
      <c r="FS37" s="637"/>
      <c r="FT37" s="637"/>
      <c r="FU37" s="637"/>
      <c r="FV37" s="637"/>
      <c r="FW37" s="637"/>
      <c r="FX37" s="637"/>
      <c r="FY37" s="637"/>
      <c r="FZ37" s="637"/>
      <c r="GA37" s="637"/>
      <c r="GB37" s="637"/>
      <c r="GC37" s="637"/>
      <c r="GD37" s="637"/>
      <c r="GE37" s="637"/>
      <c r="GF37" s="637"/>
      <c r="GG37" s="637"/>
      <c r="GH37" s="637"/>
      <c r="GI37" s="637"/>
      <c r="GJ37" s="637"/>
      <c r="GK37" s="637"/>
      <c r="GL37" s="637"/>
      <c r="GM37" s="637"/>
      <c r="GN37" s="637"/>
      <c r="GO37" s="637"/>
      <c r="GP37" s="637"/>
      <c r="GQ37" s="637"/>
      <c r="GR37" s="637"/>
      <c r="GS37" s="637"/>
      <c r="GT37" s="637"/>
      <c r="GU37" s="637"/>
      <c r="GV37" s="637"/>
      <c r="GW37" s="637"/>
      <c r="GX37" s="637"/>
      <c r="GY37" s="637"/>
      <c r="GZ37" s="637"/>
      <c r="HA37" s="637"/>
      <c r="HB37" s="637"/>
      <c r="HC37" s="637"/>
      <c r="HD37" s="637"/>
      <c r="HE37" s="637"/>
      <c r="HF37" s="637"/>
      <c r="HG37" s="637"/>
      <c r="HH37" s="637"/>
      <c r="HI37" s="637"/>
      <c r="HJ37" s="637"/>
      <c r="HK37" s="637"/>
      <c r="HL37" s="637"/>
      <c r="HM37" s="637"/>
      <c r="HN37" s="637"/>
      <c r="HO37" s="637"/>
      <c r="HP37" s="637"/>
      <c r="HQ37" s="637"/>
      <c r="HR37" s="637"/>
      <c r="HS37" s="637"/>
      <c r="HT37" s="637"/>
      <c r="HU37" s="637"/>
      <c r="HV37" s="637"/>
      <c r="HW37" s="637"/>
      <c r="HX37" s="637"/>
      <c r="HY37" s="637"/>
      <c r="HZ37" s="637"/>
      <c r="IA37" s="637"/>
      <c r="IB37" s="637"/>
      <c r="IC37" s="637"/>
      <c r="ID37" s="637"/>
      <c r="IE37" s="637"/>
      <c r="IF37" s="637"/>
      <c r="IG37" s="637"/>
      <c r="IH37" s="637"/>
      <c r="II37" s="637"/>
      <c r="IJ37" s="637"/>
      <c r="IK37" s="637"/>
      <c r="IL37" s="637"/>
      <c r="IM37" s="637"/>
      <c r="IN37" s="637"/>
      <c r="IO37" s="637"/>
      <c r="IP37" s="637"/>
      <c r="IQ37" s="637"/>
      <c r="IR37" s="637"/>
      <c r="IS37" s="637"/>
      <c r="IT37" s="637"/>
      <c r="IU37" s="637"/>
      <c r="IV37" s="637"/>
      <c r="IW37" s="637"/>
      <c r="IX37" s="637"/>
      <c r="IY37" s="637"/>
      <c r="IZ37" s="637"/>
      <c r="JA37" s="637"/>
      <c r="JB37" s="637"/>
      <c r="JC37" s="637"/>
      <c r="JD37" s="637"/>
      <c r="JE37" s="637"/>
      <c r="JF37" s="637"/>
      <c r="JG37" s="637"/>
      <c r="JH37" s="637"/>
      <c r="JI37" s="637"/>
      <c r="JJ37" s="637"/>
      <c r="JK37" s="637"/>
      <c r="JL37" s="637"/>
      <c r="JM37" s="637"/>
      <c r="JN37" s="637"/>
      <c r="JO37" s="637"/>
      <c r="JP37" s="637"/>
      <c r="JQ37" s="637"/>
      <c r="JR37" s="637"/>
      <c r="JS37" s="637"/>
      <c r="JT37" s="637"/>
      <c r="JU37" s="637"/>
      <c r="JV37" s="637"/>
      <c r="JW37" s="637"/>
      <c r="JX37" s="637"/>
      <c r="JY37" s="637"/>
      <c r="JZ37" s="637"/>
      <c r="KA37" s="637"/>
      <c r="KB37" s="637"/>
      <c r="KC37" s="637"/>
      <c r="KD37" s="637"/>
      <c r="KE37" s="637"/>
      <c r="KF37" s="637"/>
      <c r="KG37" s="637"/>
      <c r="KH37" s="637"/>
      <c r="KI37" s="637"/>
      <c r="KJ37" s="637"/>
      <c r="KK37" s="637"/>
      <c r="KL37" s="637"/>
      <c r="KM37" s="637"/>
      <c r="KN37" s="637"/>
      <c r="KO37" s="637"/>
      <c r="KP37" s="637"/>
      <c r="KQ37" s="637"/>
      <c r="KR37" s="637"/>
      <c r="KS37" s="637"/>
      <c r="KT37" s="637"/>
      <c r="KU37" s="637"/>
      <c r="KV37" s="637"/>
      <c r="KW37" s="637"/>
      <c r="KX37" s="637"/>
      <c r="KY37" s="637"/>
      <c r="KZ37" s="637"/>
      <c r="LA37" s="637"/>
      <c r="LB37" s="637"/>
      <c r="LC37" s="637"/>
      <c r="LD37" s="637"/>
      <c r="LE37" s="637"/>
      <c r="LF37" s="637"/>
      <c r="LG37" s="637"/>
      <c r="LH37" s="637"/>
      <c r="LI37" s="637"/>
      <c r="LJ37" s="637"/>
      <c r="LK37" s="637"/>
      <c r="LL37" s="637"/>
      <c r="LM37" s="637"/>
      <c r="LN37" s="637"/>
      <c r="LO37" s="637"/>
      <c r="LP37" s="637"/>
      <c r="LQ37" s="637"/>
      <c r="LR37" s="637"/>
      <c r="LS37" s="637"/>
      <c r="LT37" s="637"/>
      <c r="LU37" s="637"/>
      <c r="LV37" s="637"/>
      <c r="LW37" s="637"/>
      <c r="LX37" s="637"/>
      <c r="LY37" s="637"/>
      <c r="LZ37" s="637"/>
      <c r="MA37" s="637"/>
      <c r="MB37" s="637"/>
      <c r="MC37" s="637"/>
      <c r="MD37" s="637"/>
      <c r="ME37" s="637"/>
      <c r="MF37" s="637"/>
      <c r="MG37" s="637"/>
      <c r="MH37" s="637"/>
      <c r="MI37" s="637"/>
      <c r="MJ37" s="637"/>
      <c r="MK37" s="637"/>
      <c r="ML37" s="637"/>
      <c r="MM37" s="637"/>
      <c r="MN37" s="637"/>
      <c r="MO37" s="637"/>
      <c r="MP37" s="637"/>
      <c r="MQ37" s="637"/>
      <c r="MR37" s="637"/>
      <c r="MS37" s="637"/>
      <c r="MT37" s="637"/>
      <c r="MU37" s="637"/>
      <c r="MV37" s="637"/>
      <c r="MW37" s="637"/>
      <c r="MX37" s="637"/>
      <c r="MY37" s="637"/>
      <c r="MZ37" s="637"/>
      <c r="NA37" s="637"/>
      <c r="NB37" s="637"/>
      <c r="NC37" s="637"/>
      <c r="ND37" s="637"/>
      <c r="NE37" s="637"/>
      <c r="NF37" s="637"/>
      <c r="NG37" s="637"/>
      <c r="NH37" s="637"/>
      <c r="NI37" s="637"/>
      <c r="NJ37" s="637"/>
      <c r="NK37" s="637"/>
      <c r="NL37" s="637"/>
      <c r="NM37" s="637"/>
      <c r="NN37" s="637"/>
      <c r="NO37" s="637"/>
      <c r="NP37" s="637"/>
      <c r="NQ37" s="637"/>
      <c r="NR37" s="637"/>
      <c r="NS37" s="637"/>
      <c r="NT37" s="637"/>
      <c r="NU37" s="637"/>
      <c r="NV37" s="637"/>
      <c r="NW37" s="637"/>
      <c r="NX37" s="637"/>
      <c r="NY37" s="637"/>
      <c r="NZ37" s="637"/>
      <c r="OA37" s="637"/>
      <c r="OB37" s="637"/>
      <c r="OC37" s="637"/>
      <c r="OD37" s="637"/>
      <c r="OE37" s="637"/>
      <c r="OF37" s="637"/>
      <c r="OG37" s="637"/>
      <c r="OH37" s="637"/>
      <c r="OI37" s="637"/>
      <c r="OJ37" s="637"/>
      <c r="OK37" s="637"/>
      <c r="OL37" s="637"/>
      <c r="OM37" s="637"/>
      <c r="ON37" s="637"/>
      <c r="OO37" s="637"/>
      <c r="OP37" s="637"/>
      <c r="OQ37" s="637"/>
      <c r="OR37" s="637"/>
      <c r="OS37" s="637"/>
      <c r="OT37" s="637"/>
      <c r="OU37" s="637"/>
      <c r="OV37" s="637"/>
      <c r="OW37" s="637"/>
      <c r="OX37" s="637"/>
      <c r="OY37" s="637"/>
      <c r="OZ37" s="637"/>
      <c r="PA37" s="637"/>
      <c r="PB37" s="637"/>
      <c r="PC37" s="637"/>
      <c r="PD37" s="637"/>
      <c r="PE37" s="637"/>
      <c r="PF37" s="637"/>
      <c r="PG37" s="637"/>
      <c r="PH37" s="637"/>
      <c r="PI37" s="637"/>
      <c r="PJ37" s="637"/>
      <c r="PK37" s="637"/>
      <c r="PL37" s="637"/>
      <c r="PM37" s="637"/>
      <c r="PN37" s="637"/>
      <c r="PO37" s="637"/>
      <c r="PP37" s="637"/>
      <c r="PQ37" s="637"/>
      <c r="PR37" s="637"/>
      <c r="PS37" s="637"/>
      <c r="PT37" s="637"/>
      <c r="PU37" s="637"/>
      <c r="PV37" s="637"/>
      <c r="PW37" s="637"/>
      <c r="PX37" s="637"/>
      <c r="PY37" s="637"/>
      <c r="PZ37" s="637"/>
      <c r="QA37" s="637"/>
      <c r="QB37" s="637"/>
      <c r="QC37" s="637"/>
      <c r="QD37" s="637"/>
      <c r="QE37" s="637"/>
      <c r="QF37" s="637"/>
      <c r="QG37" s="637"/>
      <c r="QH37" s="637"/>
      <c r="QI37" s="637"/>
      <c r="QJ37" s="637"/>
      <c r="QK37" s="637"/>
      <c r="QL37" s="637"/>
      <c r="QM37" s="637"/>
      <c r="QN37" s="637"/>
      <c r="QO37" s="637"/>
      <c r="QP37" s="637"/>
      <c r="QQ37" s="637"/>
      <c r="QR37" s="637"/>
      <c r="QS37" s="637"/>
      <c r="QT37" s="637"/>
      <c r="QU37" s="637"/>
      <c r="QV37" s="637"/>
      <c r="QW37" s="637"/>
      <c r="QX37" s="637"/>
      <c r="QY37" s="637"/>
      <c r="QZ37" s="637"/>
      <c r="RA37" s="637"/>
      <c r="RB37" s="637"/>
      <c r="RC37" s="637"/>
      <c r="RD37" s="637"/>
      <c r="RE37" s="637"/>
      <c r="RF37" s="637"/>
      <c r="RG37" s="637"/>
      <c r="RH37" s="637"/>
      <c r="RI37" s="637"/>
      <c r="RJ37" s="637"/>
      <c r="RK37" s="637"/>
      <c r="RL37" s="637"/>
      <c r="RM37" s="637"/>
      <c r="RN37" s="637"/>
      <c r="RO37" s="637"/>
      <c r="RP37" s="637"/>
      <c r="RQ37" s="637"/>
      <c r="RR37" s="637"/>
      <c r="RS37" s="637"/>
      <c r="RT37" s="637"/>
      <c r="RU37" s="637"/>
      <c r="RV37" s="637"/>
      <c r="RW37" s="637"/>
      <c r="RX37" s="637"/>
      <c r="RY37" s="637"/>
      <c r="RZ37" s="637"/>
      <c r="SA37" s="637"/>
      <c r="SB37" s="637"/>
      <c r="SC37" s="637"/>
      <c r="SD37" s="637"/>
      <c r="SE37" s="637"/>
      <c r="SF37" s="637"/>
      <c r="SG37" s="637"/>
      <c r="SH37" s="637"/>
      <c r="SI37" s="637"/>
      <c r="SJ37" s="637"/>
      <c r="SK37" s="637"/>
      <c r="SL37" s="637"/>
      <c r="SM37" s="637"/>
      <c r="SN37" s="637"/>
      <c r="SO37" s="637"/>
      <c r="SP37" s="637"/>
      <c r="SQ37" s="637"/>
      <c r="SR37" s="637"/>
      <c r="SS37" s="637"/>
      <c r="ST37" s="637"/>
      <c r="SU37" s="637"/>
      <c r="SV37" s="637"/>
      <c r="SW37" s="637"/>
      <c r="SX37" s="637"/>
      <c r="SY37" s="637"/>
      <c r="SZ37" s="637"/>
      <c r="TA37" s="637"/>
      <c r="TB37" s="637"/>
      <c r="TC37" s="637"/>
      <c r="TD37" s="637"/>
      <c r="TE37" s="637"/>
      <c r="TF37" s="637"/>
      <c r="TG37" s="637"/>
      <c r="TH37" s="637"/>
      <c r="TI37" s="637"/>
      <c r="TJ37" s="637"/>
      <c r="TK37" s="637"/>
      <c r="TL37" s="637"/>
      <c r="TM37" s="637"/>
      <c r="TN37" s="637"/>
      <c r="TO37" s="637"/>
      <c r="TP37" s="637"/>
      <c r="TQ37" s="637"/>
      <c r="TR37" s="637"/>
      <c r="TS37" s="637"/>
      <c r="TT37" s="637"/>
      <c r="TU37" s="637"/>
      <c r="TV37" s="637"/>
      <c r="TW37" s="637"/>
      <c r="TX37" s="637"/>
      <c r="TY37" s="637"/>
      <c r="TZ37" s="637"/>
      <c r="UA37" s="637"/>
      <c r="UB37" s="637"/>
      <c r="UC37" s="637"/>
      <c r="UD37" s="637"/>
      <c r="UE37" s="637"/>
      <c r="UF37" s="637"/>
      <c r="UG37" s="637"/>
      <c r="UH37" s="637"/>
      <c r="UI37" s="637"/>
      <c r="UJ37" s="637"/>
      <c r="UK37" s="637"/>
      <c r="UL37" s="637"/>
      <c r="UM37" s="637"/>
      <c r="UN37" s="637"/>
      <c r="UO37" s="637"/>
      <c r="UP37" s="637"/>
      <c r="UQ37" s="637"/>
      <c r="UR37" s="637"/>
      <c r="US37" s="637"/>
      <c r="UT37" s="637"/>
      <c r="UU37" s="637"/>
      <c r="UV37" s="637"/>
      <c r="UW37" s="637"/>
      <c r="UX37" s="637"/>
      <c r="UY37" s="637"/>
      <c r="UZ37" s="637"/>
      <c r="VA37" s="637"/>
      <c r="VB37" s="637"/>
      <c r="VC37" s="637"/>
      <c r="VD37" s="637"/>
      <c r="VE37" s="637"/>
      <c r="VF37" s="637"/>
      <c r="VG37" s="637"/>
      <c r="VH37" s="637"/>
      <c r="VI37" s="637"/>
      <c r="VJ37" s="637"/>
      <c r="VK37" s="637"/>
      <c r="VL37" s="637"/>
      <c r="VM37" s="637"/>
      <c r="VN37" s="637"/>
      <c r="VO37" s="637"/>
      <c r="VP37" s="637"/>
      <c r="VQ37" s="637"/>
      <c r="VR37" s="637"/>
      <c r="VS37" s="637"/>
      <c r="VT37" s="637"/>
      <c r="VU37" s="637"/>
      <c r="VV37" s="637"/>
      <c r="VW37" s="637"/>
      <c r="VX37" s="637"/>
      <c r="VY37" s="637"/>
      <c r="VZ37" s="637"/>
      <c r="WA37" s="637"/>
      <c r="WB37" s="637"/>
      <c r="WC37" s="637"/>
      <c r="WD37" s="637"/>
      <c r="WE37" s="637"/>
      <c r="WF37" s="637"/>
      <c r="WG37" s="637"/>
      <c r="WH37" s="637"/>
      <c r="WI37" s="637"/>
      <c r="WJ37" s="637"/>
      <c r="WK37" s="637"/>
      <c r="WL37" s="637"/>
      <c r="WM37" s="637"/>
      <c r="WN37" s="637"/>
      <c r="WO37" s="637"/>
      <c r="WP37" s="637"/>
      <c r="WQ37" s="637"/>
      <c r="WR37" s="637"/>
      <c r="WS37" s="637"/>
      <c r="WT37" s="637"/>
      <c r="WU37" s="637"/>
      <c r="WV37" s="637"/>
      <c r="WW37" s="637"/>
      <c r="WX37" s="637"/>
      <c r="WY37" s="637"/>
      <c r="WZ37" s="637"/>
      <c r="XA37" s="637"/>
      <c r="XB37" s="637"/>
      <c r="XC37" s="637"/>
      <c r="XD37" s="637"/>
      <c r="XE37" s="637"/>
      <c r="XF37" s="637"/>
      <c r="XG37" s="637"/>
      <c r="XH37" s="637"/>
      <c r="XI37" s="637"/>
      <c r="XJ37" s="637"/>
      <c r="XK37" s="637"/>
      <c r="XL37" s="637"/>
      <c r="XM37" s="637"/>
      <c r="XN37" s="637"/>
      <c r="XO37" s="637"/>
      <c r="XP37" s="637"/>
      <c r="XQ37" s="637"/>
      <c r="XR37" s="637"/>
      <c r="XS37" s="637"/>
      <c r="XT37" s="637"/>
      <c r="XU37" s="637"/>
      <c r="XV37" s="637"/>
      <c r="XW37" s="637"/>
      <c r="XX37" s="637"/>
      <c r="XY37" s="637"/>
      <c r="XZ37" s="637"/>
      <c r="YA37" s="637"/>
      <c r="YB37" s="637"/>
      <c r="YC37" s="637"/>
      <c r="YD37" s="637"/>
      <c r="YE37" s="637"/>
      <c r="YF37" s="637"/>
      <c r="YG37" s="637"/>
      <c r="YH37" s="637"/>
      <c r="YI37" s="637"/>
      <c r="YJ37" s="637"/>
      <c r="YK37" s="637"/>
      <c r="YL37" s="637"/>
      <c r="YM37" s="637"/>
      <c r="YN37" s="637"/>
      <c r="YO37" s="637"/>
      <c r="YP37" s="637"/>
      <c r="YQ37" s="637"/>
      <c r="YR37" s="637"/>
      <c r="YS37" s="637"/>
      <c r="YT37" s="637"/>
      <c r="YU37" s="637"/>
      <c r="YV37" s="637"/>
      <c r="YW37" s="637"/>
      <c r="YX37" s="637"/>
      <c r="YY37" s="637"/>
      <c r="YZ37" s="637"/>
      <c r="ZA37" s="637"/>
      <c r="ZB37" s="637"/>
      <c r="ZC37" s="637"/>
      <c r="ZD37" s="637"/>
      <c r="ZE37" s="637"/>
      <c r="ZF37" s="637"/>
      <c r="ZG37" s="637"/>
      <c r="ZH37" s="637"/>
      <c r="ZI37" s="637"/>
      <c r="ZJ37" s="637"/>
      <c r="ZK37" s="637"/>
      <c r="ZL37" s="637"/>
      <c r="ZM37" s="637"/>
      <c r="ZN37" s="637"/>
      <c r="ZO37" s="637"/>
      <c r="ZP37" s="637"/>
      <c r="ZQ37" s="637"/>
      <c r="ZR37" s="637"/>
      <c r="ZS37" s="637"/>
      <c r="ZT37" s="637"/>
      <c r="ZU37" s="637"/>
      <c r="ZV37" s="637"/>
      <c r="ZW37" s="637"/>
      <c r="ZX37" s="637"/>
      <c r="ZY37" s="637"/>
      <c r="ZZ37" s="637"/>
      <c r="AAA37" s="637"/>
      <c r="AAB37" s="637"/>
      <c r="AAC37" s="637"/>
      <c r="AAD37" s="637"/>
      <c r="AAE37" s="637"/>
      <c r="AAF37" s="637"/>
      <c r="AAG37" s="637"/>
      <c r="AAH37" s="637"/>
      <c r="AAI37" s="637"/>
      <c r="AAJ37" s="637"/>
      <c r="AAK37" s="637"/>
      <c r="AAL37" s="637"/>
      <c r="AAM37" s="637"/>
      <c r="AAN37" s="637"/>
      <c r="AAO37" s="637"/>
      <c r="AAP37" s="637"/>
      <c r="AAQ37" s="637"/>
      <c r="AAR37" s="637"/>
      <c r="AAS37" s="637"/>
      <c r="AAT37" s="637"/>
      <c r="AAU37" s="637"/>
      <c r="AAV37" s="637"/>
      <c r="AAW37" s="637"/>
      <c r="AAX37" s="637"/>
      <c r="AAY37" s="637"/>
      <c r="AAZ37" s="637"/>
      <c r="ABA37" s="637"/>
      <c r="ABB37" s="637"/>
      <c r="ABC37" s="637"/>
      <c r="ABD37" s="637"/>
      <c r="ABE37" s="637"/>
      <c r="ABF37" s="637"/>
      <c r="ABG37" s="637"/>
      <c r="ABH37" s="637"/>
      <c r="ABI37" s="637"/>
      <c r="ABJ37" s="637"/>
      <c r="ABK37" s="637"/>
      <c r="ABL37" s="637"/>
      <c r="ABM37" s="637"/>
      <c r="ABN37" s="637"/>
      <c r="ABO37" s="637"/>
      <c r="ABP37" s="637"/>
      <c r="ABQ37" s="637"/>
      <c r="ABR37" s="637"/>
      <c r="ABS37" s="637"/>
      <c r="ABT37" s="637"/>
      <c r="ABU37" s="637"/>
      <c r="ABV37" s="637"/>
      <c r="ABW37" s="637"/>
      <c r="ABX37" s="637"/>
      <c r="ABY37" s="637"/>
      <c r="ABZ37" s="637"/>
      <c r="ACA37" s="637"/>
      <c r="ACB37" s="637"/>
      <c r="ACC37" s="637"/>
      <c r="ACD37" s="637"/>
      <c r="ACE37" s="637"/>
      <c r="ACF37" s="637"/>
      <c r="ACG37" s="637"/>
      <c r="ACH37" s="637"/>
      <c r="ACI37" s="637"/>
      <c r="ACJ37" s="637"/>
      <c r="ACK37" s="637"/>
      <c r="ACL37" s="637"/>
      <c r="ACM37" s="637"/>
      <c r="ACN37" s="637"/>
      <c r="ACO37" s="637"/>
      <c r="ACP37" s="637"/>
      <c r="ACQ37" s="637"/>
      <c r="ACR37" s="637"/>
      <c r="ACS37" s="637"/>
      <c r="ACT37" s="637"/>
      <c r="ACU37" s="637"/>
      <c r="ACV37" s="637"/>
      <c r="ACW37" s="637"/>
      <c r="ACX37" s="637"/>
      <c r="ACY37" s="637"/>
      <c r="ACZ37" s="637"/>
      <c r="ADA37" s="637"/>
      <c r="ADB37" s="637"/>
      <c r="ADC37" s="637"/>
      <c r="ADD37" s="637"/>
      <c r="ADE37" s="637"/>
      <c r="ADF37" s="637"/>
      <c r="ADG37" s="637"/>
      <c r="ADH37" s="637"/>
      <c r="ADI37" s="637"/>
      <c r="ADJ37" s="637"/>
      <c r="ADK37" s="637"/>
      <c r="ADL37" s="637"/>
      <c r="ADM37" s="637"/>
      <c r="ADN37" s="637"/>
      <c r="ADO37" s="637"/>
      <c r="ADP37" s="637"/>
      <c r="ADQ37" s="637"/>
      <c r="ADR37" s="637"/>
      <c r="ADS37" s="637"/>
      <c r="ADT37" s="637"/>
      <c r="ADU37" s="637"/>
      <c r="ADV37" s="637"/>
      <c r="ADW37" s="637"/>
      <c r="ADX37" s="637"/>
      <c r="ADY37" s="637"/>
      <c r="ADZ37" s="637"/>
      <c r="AEA37" s="637"/>
      <c r="AEB37" s="637"/>
      <c r="AEC37" s="637"/>
      <c r="AED37" s="637"/>
      <c r="AEE37" s="637"/>
      <c r="AEF37" s="637"/>
      <c r="AEG37" s="637"/>
      <c r="AEH37" s="637"/>
      <c r="AEI37" s="637"/>
      <c r="AEJ37" s="637"/>
      <c r="AEK37" s="637"/>
      <c r="AEL37" s="637"/>
      <c r="AEM37" s="637"/>
      <c r="AEN37" s="637"/>
      <c r="AEO37" s="637"/>
      <c r="AEP37" s="637"/>
      <c r="AEQ37" s="637"/>
      <c r="AER37" s="637"/>
      <c r="AES37" s="637"/>
      <c r="AET37" s="637"/>
      <c r="AEU37" s="637"/>
      <c r="AEV37" s="637"/>
      <c r="AEW37" s="637"/>
      <c r="AEX37" s="637"/>
      <c r="AEY37" s="637"/>
      <c r="AEZ37" s="637"/>
      <c r="AFA37" s="637"/>
      <c r="AFB37" s="637"/>
      <c r="AFC37" s="637"/>
      <c r="AFD37" s="637"/>
      <c r="AFE37" s="637"/>
      <c r="AFF37" s="637"/>
      <c r="AFG37" s="637"/>
      <c r="AFH37" s="637"/>
      <c r="AFI37" s="637"/>
      <c r="AFJ37" s="637"/>
      <c r="AFK37" s="637"/>
      <c r="AFL37" s="637"/>
      <c r="AFM37" s="637"/>
      <c r="AFN37" s="637"/>
      <c r="AFO37" s="637"/>
      <c r="AFP37" s="637"/>
      <c r="AFQ37" s="637"/>
      <c r="AFR37" s="637"/>
      <c r="AFS37" s="637"/>
      <c r="AFT37" s="637"/>
      <c r="AFU37" s="637"/>
      <c r="AFV37" s="637"/>
      <c r="AFW37" s="637"/>
      <c r="AFX37" s="637"/>
      <c r="AFY37" s="637"/>
      <c r="AFZ37" s="637"/>
      <c r="AGA37" s="637"/>
      <c r="AGB37" s="637"/>
      <c r="AGC37" s="637"/>
      <c r="AGD37" s="637"/>
      <c r="AGE37" s="637"/>
      <c r="AGF37" s="637"/>
      <c r="AGG37" s="637"/>
      <c r="AGH37" s="637"/>
      <c r="AGI37" s="637"/>
      <c r="AGJ37" s="637"/>
      <c r="AGK37" s="637"/>
      <c r="AGL37" s="637"/>
      <c r="AGM37" s="637"/>
      <c r="AGN37" s="637"/>
      <c r="AGO37" s="637"/>
      <c r="AGP37" s="637"/>
      <c r="AGQ37" s="637"/>
      <c r="AGR37" s="637"/>
      <c r="AGS37" s="637"/>
      <c r="AGT37" s="637"/>
      <c r="AGU37" s="637"/>
      <c r="AGV37" s="637"/>
      <c r="AGW37" s="637"/>
      <c r="AGX37" s="637"/>
      <c r="AGY37" s="637"/>
      <c r="AGZ37" s="637"/>
      <c r="AHA37" s="637"/>
      <c r="AHB37" s="637"/>
      <c r="AHC37" s="637"/>
      <c r="AHD37" s="637"/>
      <c r="AHE37" s="637"/>
      <c r="AHF37" s="637"/>
      <c r="AHG37" s="637"/>
      <c r="AHH37" s="637"/>
      <c r="AHI37" s="637"/>
      <c r="AHJ37" s="637"/>
      <c r="AHK37" s="637"/>
      <c r="AHL37" s="637"/>
      <c r="AHM37" s="637"/>
      <c r="AHN37" s="637"/>
      <c r="AHO37" s="637"/>
      <c r="AHP37" s="637"/>
      <c r="AHQ37" s="637"/>
      <c r="AHR37" s="637"/>
      <c r="AHS37" s="637"/>
      <c r="AHT37" s="637"/>
      <c r="AHU37" s="637"/>
      <c r="AHV37" s="637"/>
      <c r="AHW37" s="637"/>
      <c r="AHX37" s="637"/>
      <c r="AHY37" s="637"/>
      <c r="AHZ37" s="637"/>
      <c r="AIA37" s="637"/>
      <c r="AIB37" s="637"/>
      <c r="AIC37" s="637"/>
      <c r="AID37" s="637"/>
      <c r="AIE37" s="637"/>
      <c r="AIF37" s="637"/>
      <c r="AIG37" s="637"/>
      <c r="AIH37" s="637"/>
      <c r="AII37" s="637"/>
      <c r="AIJ37" s="637"/>
      <c r="AIK37" s="637"/>
      <c r="AIL37" s="637"/>
      <c r="AIM37" s="637"/>
      <c r="AIN37" s="637"/>
      <c r="AIO37" s="637"/>
      <c r="AIP37" s="637"/>
      <c r="AIQ37" s="637"/>
      <c r="AIR37" s="637"/>
      <c r="AIS37" s="637"/>
      <c r="AIT37" s="637"/>
      <c r="AIU37" s="637"/>
      <c r="AIV37" s="637"/>
      <c r="AIW37" s="637"/>
      <c r="AIX37" s="637"/>
      <c r="AIY37" s="637"/>
      <c r="AIZ37" s="637"/>
      <c r="AJA37" s="637"/>
      <c r="AJB37" s="637"/>
      <c r="AJC37" s="637"/>
      <c r="AJD37" s="637"/>
      <c r="AJE37" s="637"/>
      <c r="AJF37" s="637"/>
      <c r="AJG37" s="637"/>
      <c r="AJH37" s="637"/>
      <c r="AJI37" s="637"/>
      <c r="AJJ37" s="637"/>
      <c r="AJK37" s="637"/>
      <c r="AJL37" s="637"/>
      <c r="AJM37" s="637"/>
      <c r="AJN37" s="637"/>
      <c r="AJO37" s="637"/>
      <c r="AJP37" s="637"/>
      <c r="AJQ37" s="637"/>
      <c r="AJR37" s="637"/>
      <c r="AJS37" s="637"/>
      <c r="AJT37" s="637"/>
      <c r="AJU37" s="637"/>
      <c r="AJV37" s="637"/>
      <c r="AJW37" s="637"/>
      <c r="AJX37" s="637"/>
      <c r="AJY37" s="637"/>
      <c r="AJZ37" s="637"/>
      <c r="AKA37" s="637"/>
      <c r="AKB37" s="637"/>
      <c r="AKC37" s="637"/>
      <c r="AKD37" s="637"/>
      <c r="AKE37" s="637"/>
      <c r="AKF37" s="637"/>
      <c r="AKG37" s="637"/>
      <c r="AKH37" s="637"/>
      <c r="AKI37" s="637"/>
      <c r="AKJ37" s="637"/>
      <c r="AKK37" s="637"/>
      <c r="AKL37" s="637"/>
      <c r="AKM37" s="637"/>
      <c r="AKN37" s="637"/>
      <c r="AKO37" s="637"/>
      <c r="AKP37" s="637"/>
      <c r="AKQ37" s="637"/>
      <c r="AKR37" s="637"/>
      <c r="AKS37" s="637"/>
      <c r="AKT37" s="637"/>
      <c r="AKU37" s="637"/>
      <c r="AKV37" s="637"/>
      <c r="AKW37" s="637"/>
      <c r="AKX37" s="637"/>
      <c r="AKY37" s="637"/>
      <c r="AKZ37" s="637"/>
      <c r="ALA37" s="637"/>
      <c r="ALB37" s="637"/>
      <c r="ALC37" s="637"/>
      <c r="ALD37" s="637"/>
      <c r="ALE37" s="637"/>
      <c r="ALF37" s="637"/>
      <c r="ALG37" s="637"/>
      <c r="ALH37" s="637"/>
      <c r="ALI37" s="637"/>
      <c r="ALJ37" s="637"/>
      <c r="ALK37" s="637"/>
      <c r="ALL37" s="637"/>
      <c r="ALM37" s="637"/>
      <c r="ALN37" s="637"/>
      <c r="ALO37" s="637"/>
      <c r="ALP37" s="637"/>
      <c r="ALQ37" s="637"/>
      <c r="ALR37" s="637"/>
      <c r="ALS37" s="637"/>
      <c r="ALT37" s="637"/>
      <c r="ALU37" s="637"/>
      <c r="ALV37" s="637"/>
      <c r="ALW37" s="637"/>
      <c r="ALX37" s="637"/>
      <c r="ALY37" s="637"/>
      <c r="ALZ37" s="637"/>
      <c r="AMA37" s="637"/>
      <c r="AMB37" s="637"/>
      <c r="AMC37" s="637"/>
      <c r="AMD37" s="637"/>
      <c r="AME37" s="637"/>
      <c r="AMF37" s="637"/>
      <c r="AMG37" s="637"/>
      <c r="AMH37" s="637"/>
      <c r="AMI37" s="637"/>
      <c r="AMJ37" s="637"/>
    </row>
    <row r="38" spans="1:1024" s="638" customFormat="1" ht="12.75">
      <c r="A38" s="984"/>
      <c r="B38" s="985"/>
      <c r="C38" s="986"/>
      <c r="D38" s="981" t="s">
        <v>1041</v>
      </c>
      <c r="E38" s="982">
        <v>800</v>
      </c>
      <c r="F38" s="982">
        <v>1200</v>
      </c>
      <c r="G38" s="983"/>
      <c r="H38" s="983"/>
      <c r="I38" s="983"/>
      <c r="J38" s="983"/>
      <c r="K38" s="983"/>
      <c r="L38" s="983"/>
      <c r="M38" s="983"/>
      <c r="N38" s="983"/>
      <c r="O38" s="983">
        <v>1200</v>
      </c>
      <c r="P38" s="983"/>
      <c r="Q38" s="983"/>
      <c r="R38" s="984"/>
      <c r="S38" s="637"/>
      <c r="T38" s="637"/>
      <c r="U38" s="637"/>
      <c r="V38" s="637"/>
      <c r="W38" s="637"/>
      <c r="X38" s="637"/>
      <c r="Y38" s="637"/>
      <c r="Z38" s="637"/>
      <c r="AA38" s="637"/>
      <c r="AB38" s="637"/>
      <c r="AC38" s="637"/>
      <c r="AD38" s="637"/>
      <c r="AE38" s="637"/>
      <c r="AF38" s="637"/>
      <c r="AG38" s="637"/>
      <c r="AH38" s="637"/>
      <c r="AI38" s="637"/>
      <c r="AJ38" s="637"/>
      <c r="AK38" s="637"/>
      <c r="AL38" s="637"/>
      <c r="AM38" s="637"/>
      <c r="AN38" s="637"/>
      <c r="AO38" s="637"/>
      <c r="AP38" s="637"/>
      <c r="AQ38" s="637"/>
      <c r="AR38" s="637"/>
      <c r="AS38" s="637"/>
      <c r="AT38" s="637"/>
      <c r="AU38" s="637"/>
      <c r="AV38" s="637"/>
      <c r="AW38" s="637"/>
      <c r="AX38" s="637"/>
      <c r="AY38" s="637"/>
      <c r="AZ38" s="637"/>
      <c r="BA38" s="637"/>
      <c r="BB38" s="637"/>
      <c r="BC38" s="637"/>
      <c r="BD38" s="637"/>
      <c r="BE38" s="637"/>
      <c r="BF38" s="637"/>
      <c r="BG38" s="637"/>
      <c r="BH38" s="637"/>
      <c r="BI38" s="637"/>
      <c r="BJ38" s="637"/>
      <c r="BK38" s="637"/>
      <c r="BL38" s="637"/>
      <c r="BM38" s="637"/>
      <c r="BN38" s="637"/>
      <c r="BO38" s="637"/>
      <c r="BP38" s="637"/>
      <c r="BQ38" s="637"/>
      <c r="BR38" s="637"/>
      <c r="BS38" s="637"/>
      <c r="BT38" s="637"/>
      <c r="BU38" s="637"/>
      <c r="BV38" s="637"/>
      <c r="BW38" s="637"/>
      <c r="BX38" s="637"/>
      <c r="BY38" s="637"/>
      <c r="BZ38" s="637"/>
      <c r="CA38" s="637"/>
      <c r="CB38" s="637"/>
      <c r="CC38" s="637"/>
      <c r="CD38" s="637"/>
      <c r="CE38" s="637"/>
      <c r="CF38" s="637"/>
      <c r="CG38" s="637"/>
      <c r="CH38" s="637"/>
      <c r="CI38" s="637"/>
      <c r="CJ38" s="637"/>
      <c r="CK38" s="637"/>
      <c r="CL38" s="637"/>
      <c r="CM38" s="637"/>
      <c r="CN38" s="637"/>
      <c r="CO38" s="637"/>
      <c r="CP38" s="637"/>
      <c r="CQ38" s="637"/>
      <c r="CR38" s="637"/>
      <c r="CS38" s="637"/>
      <c r="CT38" s="637"/>
      <c r="CU38" s="637"/>
      <c r="CV38" s="637"/>
      <c r="CW38" s="637"/>
      <c r="CX38" s="637"/>
      <c r="CY38" s="637"/>
      <c r="CZ38" s="637"/>
      <c r="DA38" s="637"/>
      <c r="DB38" s="637"/>
      <c r="DC38" s="637"/>
      <c r="DD38" s="637"/>
      <c r="DE38" s="637"/>
      <c r="DF38" s="637"/>
      <c r="DG38" s="637"/>
      <c r="DH38" s="637"/>
      <c r="DI38" s="637"/>
      <c r="DJ38" s="637"/>
      <c r="DK38" s="637"/>
      <c r="DL38" s="637"/>
      <c r="DM38" s="637"/>
      <c r="DN38" s="637"/>
      <c r="DO38" s="637"/>
      <c r="DP38" s="637"/>
      <c r="DQ38" s="637"/>
      <c r="DR38" s="637"/>
      <c r="DS38" s="637"/>
      <c r="DT38" s="637"/>
      <c r="DU38" s="637"/>
      <c r="DV38" s="637"/>
      <c r="DW38" s="637"/>
      <c r="DX38" s="637"/>
      <c r="DY38" s="637"/>
      <c r="DZ38" s="637"/>
      <c r="EA38" s="637"/>
      <c r="EB38" s="637"/>
      <c r="EC38" s="637"/>
      <c r="ED38" s="637"/>
      <c r="EE38" s="637"/>
      <c r="EF38" s="637"/>
      <c r="EG38" s="637"/>
      <c r="EH38" s="637"/>
      <c r="EI38" s="637"/>
      <c r="EJ38" s="637"/>
      <c r="EK38" s="637"/>
      <c r="EL38" s="637"/>
      <c r="EM38" s="637"/>
      <c r="EN38" s="637"/>
      <c r="EO38" s="637"/>
      <c r="EP38" s="637"/>
      <c r="EQ38" s="637"/>
      <c r="ER38" s="637"/>
      <c r="ES38" s="637"/>
      <c r="ET38" s="637"/>
      <c r="EU38" s="637"/>
      <c r="EV38" s="637"/>
      <c r="EW38" s="637"/>
      <c r="EX38" s="637"/>
      <c r="EY38" s="637"/>
      <c r="EZ38" s="637"/>
      <c r="FA38" s="637"/>
      <c r="FB38" s="637"/>
      <c r="FC38" s="637"/>
      <c r="FD38" s="637"/>
      <c r="FE38" s="637"/>
      <c r="FF38" s="637"/>
      <c r="FG38" s="637"/>
      <c r="FH38" s="637"/>
      <c r="FI38" s="637"/>
      <c r="FJ38" s="637"/>
      <c r="FK38" s="637"/>
      <c r="FL38" s="637"/>
      <c r="FM38" s="637"/>
      <c r="FN38" s="637"/>
      <c r="FO38" s="637"/>
      <c r="FP38" s="637"/>
      <c r="FQ38" s="637"/>
      <c r="FR38" s="637"/>
      <c r="FS38" s="637"/>
      <c r="FT38" s="637"/>
      <c r="FU38" s="637"/>
      <c r="FV38" s="637"/>
      <c r="FW38" s="637"/>
      <c r="FX38" s="637"/>
      <c r="FY38" s="637"/>
      <c r="FZ38" s="637"/>
      <c r="GA38" s="637"/>
      <c r="GB38" s="637"/>
      <c r="GC38" s="637"/>
      <c r="GD38" s="637"/>
      <c r="GE38" s="637"/>
      <c r="GF38" s="637"/>
      <c r="GG38" s="637"/>
      <c r="GH38" s="637"/>
      <c r="GI38" s="637"/>
      <c r="GJ38" s="637"/>
      <c r="GK38" s="637"/>
      <c r="GL38" s="637"/>
      <c r="GM38" s="637"/>
      <c r="GN38" s="637"/>
      <c r="GO38" s="637"/>
      <c r="GP38" s="637"/>
      <c r="GQ38" s="637"/>
      <c r="GR38" s="637"/>
      <c r="GS38" s="637"/>
      <c r="GT38" s="637"/>
      <c r="GU38" s="637"/>
      <c r="GV38" s="637"/>
      <c r="GW38" s="637"/>
      <c r="GX38" s="637"/>
      <c r="GY38" s="637"/>
      <c r="GZ38" s="637"/>
      <c r="HA38" s="637"/>
      <c r="HB38" s="637"/>
      <c r="HC38" s="637"/>
      <c r="HD38" s="637"/>
      <c r="HE38" s="637"/>
      <c r="HF38" s="637"/>
      <c r="HG38" s="637"/>
      <c r="HH38" s="637"/>
      <c r="HI38" s="637"/>
      <c r="HJ38" s="637"/>
      <c r="HK38" s="637"/>
      <c r="HL38" s="637"/>
      <c r="HM38" s="637"/>
      <c r="HN38" s="637"/>
      <c r="HO38" s="637"/>
      <c r="HP38" s="637"/>
      <c r="HQ38" s="637"/>
      <c r="HR38" s="637"/>
      <c r="HS38" s="637"/>
      <c r="HT38" s="637"/>
      <c r="HU38" s="637"/>
      <c r="HV38" s="637"/>
      <c r="HW38" s="637"/>
      <c r="HX38" s="637"/>
      <c r="HY38" s="637"/>
      <c r="HZ38" s="637"/>
      <c r="IA38" s="637"/>
      <c r="IB38" s="637"/>
      <c r="IC38" s="637"/>
      <c r="ID38" s="637"/>
      <c r="IE38" s="637"/>
      <c r="IF38" s="637"/>
      <c r="IG38" s="637"/>
      <c r="IH38" s="637"/>
      <c r="II38" s="637"/>
      <c r="IJ38" s="637"/>
      <c r="IK38" s="637"/>
      <c r="IL38" s="637"/>
      <c r="IM38" s="637"/>
      <c r="IN38" s="637"/>
      <c r="IO38" s="637"/>
      <c r="IP38" s="637"/>
      <c r="IQ38" s="637"/>
      <c r="IR38" s="637"/>
      <c r="IS38" s="637"/>
      <c r="IT38" s="637"/>
      <c r="IU38" s="637"/>
      <c r="IV38" s="637"/>
      <c r="IW38" s="637"/>
      <c r="IX38" s="637"/>
      <c r="IY38" s="637"/>
      <c r="IZ38" s="637"/>
      <c r="JA38" s="637"/>
      <c r="JB38" s="637"/>
      <c r="JC38" s="637"/>
      <c r="JD38" s="637"/>
      <c r="JE38" s="637"/>
      <c r="JF38" s="637"/>
      <c r="JG38" s="637"/>
      <c r="JH38" s="637"/>
      <c r="JI38" s="637"/>
      <c r="JJ38" s="637"/>
      <c r="JK38" s="637"/>
      <c r="JL38" s="637"/>
      <c r="JM38" s="637"/>
      <c r="JN38" s="637"/>
      <c r="JO38" s="637"/>
      <c r="JP38" s="637"/>
      <c r="JQ38" s="637"/>
      <c r="JR38" s="637"/>
      <c r="JS38" s="637"/>
      <c r="JT38" s="637"/>
      <c r="JU38" s="637"/>
      <c r="JV38" s="637"/>
      <c r="JW38" s="637"/>
      <c r="JX38" s="637"/>
      <c r="JY38" s="637"/>
      <c r="JZ38" s="637"/>
      <c r="KA38" s="637"/>
      <c r="KB38" s="637"/>
      <c r="KC38" s="637"/>
      <c r="KD38" s="637"/>
      <c r="KE38" s="637"/>
      <c r="KF38" s="637"/>
      <c r="KG38" s="637"/>
      <c r="KH38" s="637"/>
      <c r="KI38" s="637"/>
      <c r="KJ38" s="637"/>
      <c r="KK38" s="637"/>
      <c r="KL38" s="637"/>
      <c r="KM38" s="637"/>
      <c r="KN38" s="637"/>
      <c r="KO38" s="637"/>
      <c r="KP38" s="637"/>
      <c r="KQ38" s="637"/>
      <c r="KR38" s="637"/>
      <c r="KS38" s="637"/>
      <c r="KT38" s="637"/>
      <c r="KU38" s="637"/>
      <c r="KV38" s="637"/>
      <c r="KW38" s="637"/>
      <c r="KX38" s="637"/>
      <c r="KY38" s="637"/>
      <c r="KZ38" s="637"/>
      <c r="LA38" s="637"/>
      <c r="LB38" s="637"/>
      <c r="LC38" s="637"/>
      <c r="LD38" s="637"/>
      <c r="LE38" s="637"/>
      <c r="LF38" s="637"/>
      <c r="LG38" s="637"/>
      <c r="LH38" s="637"/>
      <c r="LI38" s="637"/>
      <c r="LJ38" s="637"/>
      <c r="LK38" s="637"/>
      <c r="LL38" s="637"/>
      <c r="LM38" s="637"/>
      <c r="LN38" s="637"/>
      <c r="LO38" s="637"/>
      <c r="LP38" s="637"/>
      <c r="LQ38" s="637"/>
      <c r="LR38" s="637"/>
      <c r="LS38" s="637"/>
      <c r="LT38" s="637"/>
      <c r="LU38" s="637"/>
      <c r="LV38" s="637"/>
      <c r="LW38" s="637"/>
      <c r="LX38" s="637"/>
      <c r="LY38" s="637"/>
      <c r="LZ38" s="637"/>
      <c r="MA38" s="637"/>
      <c r="MB38" s="637"/>
      <c r="MC38" s="637"/>
      <c r="MD38" s="637"/>
      <c r="ME38" s="637"/>
      <c r="MF38" s="637"/>
      <c r="MG38" s="637"/>
      <c r="MH38" s="637"/>
      <c r="MI38" s="637"/>
      <c r="MJ38" s="637"/>
      <c r="MK38" s="637"/>
      <c r="ML38" s="637"/>
      <c r="MM38" s="637"/>
      <c r="MN38" s="637"/>
      <c r="MO38" s="637"/>
      <c r="MP38" s="637"/>
      <c r="MQ38" s="637"/>
      <c r="MR38" s="637"/>
      <c r="MS38" s="637"/>
      <c r="MT38" s="637"/>
      <c r="MU38" s="637"/>
      <c r="MV38" s="637"/>
      <c r="MW38" s="637"/>
      <c r="MX38" s="637"/>
      <c r="MY38" s="637"/>
      <c r="MZ38" s="637"/>
      <c r="NA38" s="637"/>
      <c r="NB38" s="637"/>
      <c r="NC38" s="637"/>
      <c r="ND38" s="637"/>
      <c r="NE38" s="637"/>
      <c r="NF38" s="637"/>
      <c r="NG38" s="637"/>
      <c r="NH38" s="637"/>
      <c r="NI38" s="637"/>
      <c r="NJ38" s="637"/>
      <c r="NK38" s="637"/>
      <c r="NL38" s="637"/>
      <c r="NM38" s="637"/>
      <c r="NN38" s="637"/>
      <c r="NO38" s="637"/>
      <c r="NP38" s="637"/>
      <c r="NQ38" s="637"/>
      <c r="NR38" s="637"/>
      <c r="NS38" s="637"/>
      <c r="NT38" s="637"/>
      <c r="NU38" s="637"/>
      <c r="NV38" s="637"/>
      <c r="NW38" s="637"/>
      <c r="NX38" s="637"/>
      <c r="NY38" s="637"/>
      <c r="NZ38" s="637"/>
      <c r="OA38" s="637"/>
      <c r="OB38" s="637"/>
      <c r="OC38" s="637"/>
      <c r="OD38" s="637"/>
      <c r="OE38" s="637"/>
      <c r="OF38" s="637"/>
      <c r="OG38" s="637"/>
      <c r="OH38" s="637"/>
      <c r="OI38" s="637"/>
      <c r="OJ38" s="637"/>
      <c r="OK38" s="637"/>
      <c r="OL38" s="637"/>
      <c r="OM38" s="637"/>
      <c r="ON38" s="637"/>
      <c r="OO38" s="637"/>
      <c r="OP38" s="637"/>
      <c r="OQ38" s="637"/>
      <c r="OR38" s="637"/>
      <c r="OS38" s="637"/>
      <c r="OT38" s="637"/>
      <c r="OU38" s="637"/>
      <c r="OV38" s="637"/>
      <c r="OW38" s="637"/>
      <c r="OX38" s="637"/>
      <c r="OY38" s="637"/>
      <c r="OZ38" s="637"/>
      <c r="PA38" s="637"/>
      <c r="PB38" s="637"/>
      <c r="PC38" s="637"/>
      <c r="PD38" s="637"/>
      <c r="PE38" s="637"/>
      <c r="PF38" s="637"/>
      <c r="PG38" s="637"/>
      <c r="PH38" s="637"/>
      <c r="PI38" s="637"/>
      <c r="PJ38" s="637"/>
      <c r="PK38" s="637"/>
      <c r="PL38" s="637"/>
      <c r="PM38" s="637"/>
      <c r="PN38" s="637"/>
      <c r="PO38" s="637"/>
      <c r="PP38" s="637"/>
      <c r="PQ38" s="637"/>
      <c r="PR38" s="637"/>
      <c r="PS38" s="637"/>
      <c r="PT38" s="637"/>
      <c r="PU38" s="637"/>
      <c r="PV38" s="637"/>
      <c r="PW38" s="637"/>
      <c r="PX38" s="637"/>
      <c r="PY38" s="637"/>
      <c r="PZ38" s="637"/>
      <c r="QA38" s="637"/>
      <c r="QB38" s="637"/>
      <c r="QC38" s="637"/>
      <c r="QD38" s="637"/>
      <c r="QE38" s="637"/>
      <c r="QF38" s="637"/>
      <c r="QG38" s="637"/>
      <c r="QH38" s="637"/>
      <c r="QI38" s="637"/>
      <c r="QJ38" s="637"/>
      <c r="QK38" s="637"/>
      <c r="QL38" s="637"/>
      <c r="QM38" s="637"/>
      <c r="QN38" s="637"/>
      <c r="QO38" s="637"/>
      <c r="QP38" s="637"/>
      <c r="QQ38" s="637"/>
      <c r="QR38" s="637"/>
      <c r="QS38" s="637"/>
      <c r="QT38" s="637"/>
      <c r="QU38" s="637"/>
      <c r="QV38" s="637"/>
      <c r="QW38" s="637"/>
      <c r="QX38" s="637"/>
      <c r="QY38" s="637"/>
      <c r="QZ38" s="637"/>
      <c r="RA38" s="637"/>
      <c r="RB38" s="637"/>
      <c r="RC38" s="637"/>
      <c r="RD38" s="637"/>
      <c r="RE38" s="637"/>
      <c r="RF38" s="637"/>
      <c r="RG38" s="637"/>
      <c r="RH38" s="637"/>
      <c r="RI38" s="637"/>
      <c r="RJ38" s="637"/>
      <c r="RK38" s="637"/>
      <c r="RL38" s="637"/>
      <c r="RM38" s="637"/>
      <c r="RN38" s="637"/>
      <c r="RO38" s="637"/>
      <c r="RP38" s="637"/>
      <c r="RQ38" s="637"/>
      <c r="RR38" s="637"/>
      <c r="RS38" s="637"/>
      <c r="RT38" s="637"/>
      <c r="RU38" s="637"/>
      <c r="RV38" s="637"/>
      <c r="RW38" s="637"/>
      <c r="RX38" s="637"/>
      <c r="RY38" s="637"/>
      <c r="RZ38" s="637"/>
      <c r="SA38" s="637"/>
      <c r="SB38" s="637"/>
      <c r="SC38" s="637"/>
      <c r="SD38" s="637"/>
      <c r="SE38" s="637"/>
      <c r="SF38" s="637"/>
      <c r="SG38" s="637"/>
      <c r="SH38" s="637"/>
      <c r="SI38" s="637"/>
      <c r="SJ38" s="637"/>
      <c r="SK38" s="637"/>
      <c r="SL38" s="637"/>
      <c r="SM38" s="637"/>
      <c r="SN38" s="637"/>
      <c r="SO38" s="637"/>
      <c r="SP38" s="637"/>
      <c r="SQ38" s="637"/>
      <c r="SR38" s="637"/>
      <c r="SS38" s="637"/>
      <c r="ST38" s="637"/>
      <c r="SU38" s="637"/>
      <c r="SV38" s="637"/>
      <c r="SW38" s="637"/>
      <c r="SX38" s="637"/>
      <c r="SY38" s="637"/>
      <c r="SZ38" s="637"/>
      <c r="TA38" s="637"/>
      <c r="TB38" s="637"/>
      <c r="TC38" s="637"/>
      <c r="TD38" s="637"/>
      <c r="TE38" s="637"/>
      <c r="TF38" s="637"/>
      <c r="TG38" s="637"/>
      <c r="TH38" s="637"/>
      <c r="TI38" s="637"/>
      <c r="TJ38" s="637"/>
      <c r="TK38" s="637"/>
      <c r="TL38" s="637"/>
      <c r="TM38" s="637"/>
      <c r="TN38" s="637"/>
      <c r="TO38" s="637"/>
      <c r="TP38" s="637"/>
      <c r="TQ38" s="637"/>
      <c r="TR38" s="637"/>
      <c r="TS38" s="637"/>
      <c r="TT38" s="637"/>
      <c r="TU38" s="637"/>
      <c r="TV38" s="637"/>
      <c r="TW38" s="637"/>
      <c r="TX38" s="637"/>
      <c r="TY38" s="637"/>
      <c r="TZ38" s="637"/>
      <c r="UA38" s="637"/>
      <c r="UB38" s="637"/>
      <c r="UC38" s="637"/>
      <c r="UD38" s="637"/>
      <c r="UE38" s="637"/>
      <c r="UF38" s="637"/>
      <c r="UG38" s="637"/>
      <c r="UH38" s="637"/>
      <c r="UI38" s="637"/>
      <c r="UJ38" s="637"/>
      <c r="UK38" s="637"/>
      <c r="UL38" s="637"/>
      <c r="UM38" s="637"/>
      <c r="UN38" s="637"/>
      <c r="UO38" s="637"/>
      <c r="UP38" s="637"/>
      <c r="UQ38" s="637"/>
      <c r="UR38" s="637"/>
      <c r="US38" s="637"/>
      <c r="UT38" s="637"/>
      <c r="UU38" s="637"/>
      <c r="UV38" s="637"/>
      <c r="UW38" s="637"/>
      <c r="UX38" s="637"/>
      <c r="UY38" s="637"/>
      <c r="UZ38" s="637"/>
      <c r="VA38" s="637"/>
      <c r="VB38" s="637"/>
      <c r="VC38" s="637"/>
      <c r="VD38" s="637"/>
      <c r="VE38" s="637"/>
      <c r="VF38" s="637"/>
      <c r="VG38" s="637"/>
      <c r="VH38" s="637"/>
      <c r="VI38" s="637"/>
      <c r="VJ38" s="637"/>
      <c r="VK38" s="637"/>
      <c r="VL38" s="637"/>
      <c r="VM38" s="637"/>
      <c r="VN38" s="637"/>
      <c r="VO38" s="637"/>
      <c r="VP38" s="637"/>
      <c r="VQ38" s="637"/>
      <c r="VR38" s="637"/>
      <c r="VS38" s="637"/>
      <c r="VT38" s="637"/>
      <c r="VU38" s="637"/>
      <c r="VV38" s="637"/>
      <c r="VW38" s="637"/>
      <c r="VX38" s="637"/>
      <c r="VY38" s="637"/>
      <c r="VZ38" s="637"/>
      <c r="WA38" s="637"/>
      <c r="WB38" s="637"/>
      <c r="WC38" s="637"/>
      <c r="WD38" s="637"/>
      <c r="WE38" s="637"/>
      <c r="WF38" s="637"/>
      <c r="WG38" s="637"/>
      <c r="WH38" s="637"/>
      <c r="WI38" s="637"/>
      <c r="WJ38" s="637"/>
      <c r="WK38" s="637"/>
      <c r="WL38" s="637"/>
      <c r="WM38" s="637"/>
      <c r="WN38" s="637"/>
      <c r="WO38" s="637"/>
      <c r="WP38" s="637"/>
      <c r="WQ38" s="637"/>
      <c r="WR38" s="637"/>
      <c r="WS38" s="637"/>
      <c r="WT38" s="637"/>
      <c r="WU38" s="637"/>
      <c r="WV38" s="637"/>
      <c r="WW38" s="637"/>
      <c r="WX38" s="637"/>
      <c r="WY38" s="637"/>
      <c r="WZ38" s="637"/>
      <c r="XA38" s="637"/>
      <c r="XB38" s="637"/>
      <c r="XC38" s="637"/>
      <c r="XD38" s="637"/>
      <c r="XE38" s="637"/>
      <c r="XF38" s="637"/>
      <c r="XG38" s="637"/>
      <c r="XH38" s="637"/>
      <c r="XI38" s="637"/>
      <c r="XJ38" s="637"/>
      <c r="XK38" s="637"/>
      <c r="XL38" s="637"/>
      <c r="XM38" s="637"/>
      <c r="XN38" s="637"/>
      <c r="XO38" s="637"/>
      <c r="XP38" s="637"/>
      <c r="XQ38" s="637"/>
      <c r="XR38" s="637"/>
      <c r="XS38" s="637"/>
      <c r="XT38" s="637"/>
      <c r="XU38" s="637"/>
      <c r="XV38" s="637"/>
      <c r="XW38" s="637"/>
      <c r="XX38" s="637"/>
      <c r="XY38" s="637"/>
      <c r="XZ38" s="637"/>
      <c r="YA38" s="637"/>
      <c r="YB38" s="637"/>
      <c r="YC38" s="637"/>
      <c r="YD38" s="637"/>
      <c r="YE38" s="637"/>
      <c r="YF38" s="637"/>
      <c r="YG38" s="637"/>
      <c r="YH38" s="637"/>
      <c r="YI38" s="637"/>
      <c r="YJ38" s="637"/>
      <c r="YK38" s="637"/>
      <c r="YL38" s="637"/>
      <c r="YM38" s="637"/>
      <c r="YN38" s="637"/>
      <c r="YO38" s="637"/>
      <c r="YP38" s="637"/>
      <c r="YQ38" s="637"/>
      <c r="YR38" s="637"/>
      <c r="YS38" s="637"/>
      <c r="YT38" s="637"/>
      <c r="YU38" s="637"/>
      <c r="YV38" s="637"/>
      <c r="YW38" s="637"/>
      <c r="YX38" s="637"/>
      <c r="YY38" s="637"/>
      <c r="YZ38" s="637"/>
      <c r="ZA38" s="637"/>
      <c r="ZB38" s="637"/>
      <c r="ZC38" s="637"/>
      <c r="ZD38" s="637"/>
      <c r="ZE38" s="637"/>
      <c r="ZF38" s="637"/>
      <c r="ZG38" s="637"/>
      <c r="ZH38" s="637"/>
      <c r="ZI38" s="637"/>
      <c r="ZJ38" s="637"/>
      <c r="ZK38" s="637"/>
      <c r="ZL38" s="637"/>
      <c r="ZM38" s="637"/>
      <c r="ZN38" s="637"/>
      <c r="ZO38" s="637"/>
      <c r="ZP38" s="637"/>
      <c r="ZQ38" s="637"/>
      <c r="ZR38" s="637"/>
      <c r="ZS38" s="637"/>
      <c r="ZT38" s="637"/>
      <c r="ZU38" s="637"/>
      <c r="ZV38" s="637"/>
      <c r="ZW38" s="637"/>
      <c r="ZX38" s="637"/>
      <c r="ZY38" s="637"/>
      <c r="ZZ38" s="637"/>
      <c r="AAA38" s="637"/>
      <c r="AAB38" s="637"/>
      <c r="AAC38" s="637"/>
      <c r="AAD38" s="637"/>
      <c r="AAE38" s="637"/>
      <c r="AAF38" s="637"/>
      <c r="AAG38" s="637"/>
      <c r="AAH38" s="637"/>
      <c r="AAI38" s="637"/>
      <c r="AAJ38" s="637"/>
      <c r="AAK38" s="637"/>
      <c r="AAL38" s="637"/>
      <c r="AAM38" s="637"/>
      <c r="AAN38" s="637"/>
      <c r="AAO38" s="637"/>
      <c r="AAP38" s="637"/>
      <c r="AAQ38" s="637"/>
      <c r="AAR38" s="637"/>
      <c r="AAS38" s="637"/>
      <c r="AAT38" s="637"/>
      <c r="AAU38" s="637"/>
      <c r="AAV38" s="637"/>
      <c r="AAW38" s="637"/>
      <c r="AAX38" s="637"/>
      <c r="AAY38" s="637"/>
      <c r="AAZ38" s="637"/>
      <c r="ABA38" s="637"/>
      <c r="ABB38" s="637"/>
      <c r="ABC38" s="637"/>
      <c r="ABD38" s="637"/>
      <c r="ABE38" s="637"/>
      <c r="ABF38" s="637"/>
      <c r="ABG38" s="637"/>
      <c r="ABH38" s="637"/>
      <c r="ABI38" s="637"/>
      <c r="ABJ38" s="637"/>
      <c r="ABK38" s="637"/>
      <c r="ABL38" s="637"/>
      <c r="ABM38" s="637"/>
      <c r="ABN38" s="637"/>
      <c r="ABO38" s="637"/>
      <c r="ABP38" s="637"/>
      <c r="ABQ38" s="637"/>
      <c r="ABR38" s="637"/>
      <c r="ABS38" s="637"/>
      <c r="ABT38" s="637"/>
      <c r="ABU38" s="637"/>
      <c r="ABV38" s="637"/>
      <c r="ABW38" s="637"/>
      <c r="ABX38" s="637"/>
      <c r="ABY38" s="637"/>
      <c r="ABZ38" s="637"/>
      <c r="ACA38" s="637"/>
      <c r="ACB38" s="637"/>
      <c r="ACC38" s="637"/>
      <c r="ACD38" s="637"/>
      <c r="ACE38" s="637"/>
      <c r="ACF38" s="637"/>
      <c r="ACG38" s="637"/>
      <c r="ACH38" s="637"/>
      <c r="ACI38" s="637"/>
      <c r="ACJ38" s="637"/>
      <c r="ACK38" s="637"/>
      <c r="ACL38" s="637"/>
      <c r="ACM38" s="637"/>
      <c r="ACN38" s="637"/>
      <c r="ACO38" s="637"/>
      <c r="ACP38" s="637"/>
      <c r="ACQ38" s="637"/>
      <c r="ACR38" s="637"/>
      <c r="ACS38" s="637"/>
      <c r="ACT38" s="637"/>
      <c r="ACU38" s="637"/>
      <c r="ACV38" s="637"/>
      <c r="ACW38" s="637"/>
      <c r="ACX38" s="637"/>
      <c r="ACY38" s="637"/>
      <c r="ACZ38" s="637"/>
      <c r="ADA38" s="637"/>
      <c r="ADB38" s="637"/>
      <c r="ADC38" s="637"/>
      <c r="ADD38" s="637"/>
      <c r="ADE38" s="637"/>
      <c r="ADF38" s="637"/>
      <c r="ADG38" s="637"/>
      <c r="ADH38" s="637"/>
      <c r="ADI38" s="637"/>
      <c r="ADJ38" s="637"/>
      <c r="ADK38" s="637"/>
      <c r="ADL38" s="637"/>
      <c r="ADM38" s="637"/>
      <c r="ADN38" s="637"/>
      <c r="ADO38" s="637"/>
      <c r="ADP38" s="637"/>
      <c r="ADQ38" s="637"/>
      <c r="ADR38" s="637"/>
      <c r="ADS38" s="637"/>
      <c r="ADT38" s="637"/>
      <c r="ADU38" s="637"/>
      <c r="ADV38" s="637"/>
      <c r="ADW38" s="637"/>
      <c r="ADX38" s="637"/>
      <c r="ADY38" s="637"/>
      <c r="ADZ38" s="637"/>
      <c r="AEA38" s="637"/>
      <c r="AEB38" s="637"/>
      <c r="AEC38" s="637"/>
      <c r="AED38" s="637"/>
      <c r="AEE38" s="637"/>
      <c r="AEF38" s="637"/>
      <c r="AEG38" s="637"/>
      <c r="AEH38" s="637"/>
      <c r="AEI38" s="637"/>
      <c r="AEJ38" s="637"/>
      <c r="AEK38" s="637"/>
      <c r="AEL38" s="637"/>
      <c r="AEM38" s="637"/>
      <c r="AEN38" s="637"/>
      <c r="AEO38" s="637"/>
      <c r="AEP38" s="637"/>
      <c r="AEQ38" s="637"/>
      <c r="AER38" s="637"/>
      <c r="AES38" s="637"/>
      <c r="AET38" s="637"/>
      <c r="AEU38" s="637"/>
      <c r="AEV38" s="637"/>
      <c r="AEW38" s="637"/>
      <c r="AEX38" s="637"/>
      <c r="AEY38" s="637"/>
      <c r="AEZ38" s="637"/>
      <c r="AFA38" s="637"/>
      <c r="AFB38" s="637"/>
      <c r="AFC38" s="637"/>
      <c r="AFD38" s="637"/>
      <c r="AFE38" s="637"/>
      <c r="AFF38" s="637"/>
      <c r="AFG38" s="637"/>
      <c r="AFH38" s="637"/>
      <c r="AFI38" s="637"/>
      <c r="AFJ38" s="637"/>
      <c r="AFK38" s="637"/>
      <c r="AFL38" s="637"/>
      <c r="AFM38" s="637"/>
      <c r="AFN38" s="637"/>
      <c r="AFO38" s="637"/>
      <c r="AFP38" s="637"/>
      <c r="AFQ38" s="637"/>
      <c r="AFR38" s="637"/>
      <c r="AFS38" s="637"/>
      <c r="AFT38" s="637"/>
      <c r="AFU38" s="637"/>
      <c r="AFV38" s="637"/>
      <c r="AFW38" s="637"/>
      <c r="AFX38" s="637"/>
      <c r="AFY38" s="637"/>
      <c r="AFZ38" s="637"/>
      <c r="AGA38" s="637"/>
      <c r="AGB38" s="637"/>
      <c r="AGC38" s="637"/>
      <c r="AGD38" s="637"/>
      <c r="AGE38" s="637"/>
      <c r="AGF38" s="637"/>
      <c r="AGG38" s="637"/>
      <c r="AGH38" s="637"/>
      <c r="AGI38" s="637"/>
      <c r="AGJ38" s="637"/>
      <c r="AGK38" s="637"/>
      <c r="AGL38" s="637"/>
      <c r="AGM38" s="637"/>
      <c r="AGN38" s="637"/>
      <c r="AGO38" s="637"/>
      <c r="AGP38" s="637"/>
      <c r="AGQ38" s="637"/>
      <c r="AGR38" s="637"/>
      <c r="AGS38" s="637"/>
      <c r="AGT38" s="637"/>
      <c r="AGU38" s="637"/>
      <c r="AGV38" s="637"/>
      <c r="AGW38" s="637"/>
      <c r="AGX38" s="637"/>
      <c r="AGY38" s="637"/>
      <c r="AGZ38" s="637"/>
      <c r="AHA38" s="637"/>
      <c r="AHB38" s="637"/>
      <c r="AHC38" s="637"/>
      <c r="AHD38" s="637"/>
      <c r="AHE38" s="637"/>
      <c r="AHF38" s="637"/>
      <c r="AHG38" s="637"/>
      <c r="AHH38" s="637"/>
      <c r="AHI38" s="637"/>
      <c r="AHJ38" s="637"/>
      <c r="AHK38" s="637"/>
      <c r="AHL38" s="637"/>
      <c r="AHM38" s="637"/>
      <c r="AHN38" s="637"/>
      <c r="AHO38" s="637"/>
      <c r="AHP38" s="637"/>
      <c r="AHQ38" s="637"/>
      <c r="AHR38" s="637"/>
      <c r="AHS38" s="637"/>
      <c r="AHT38" s="637"/>
      <c r="AHU38" s="637"/>
      <c r="AHV38" s="637"/>
      <c r="AHW38" s="637"/>
      <c r="AHX38" s="637"/>
      <c r="AHY38" s="637"/>
      <c r="AHZ38" s="637"/>
      <c r="AIA38" s="637"/>
      <c r="AIB38" s="637"/>
      <c r="AIC38" s="637"/>
      <c r="AID38" s="637"/>
      <c r="AIE38" s="637"/>
      <c r="AIF38" s="637"/>
      <c r="AIG38" s="637"/>
      <c r="AIH38" s="637"/>
      <c r="AII38" s="637"/>
      <c r="AIJ38" s="637"/>
      <c r="AIK38" s="637"/>
      <c r="AIL38" s="637"/>
      <c r="AIM38" s="637"/>
      <c r="AIN38" s="637"/>
      <c r="AIO38" s="637"/>
      <c r="AIP38" s="637"/>
      <c r="AIQ38" s="637"/>
      <c r="AIR38" s="637"/>
      <c r="AIS38" s="637"/>
      <c r="AIT38" s="637"/>
      <c r="AIU38" s="637"/>
      <c r="AIV38" s="637"/>
      <c r="AIW38" s="637"/>
      <c r="AIX38" s="637"/>
      <c r="AIY38" s="637"/>
      <c r="AIZ38" s="637"/>
      <c r="AJA38" s="637"/>
      <c r="AJB38" s="637"/>
      <c r="AJC38" s="637"/>
      <c r="AJD38" s="637"/>
      <c r="AJE38" s="637"/>
      <c r="AJF38" s="637"/>
      <c r="AJG38" s="637"/>
      <c r="AJH38" s="637"/>
      <c r="AJI38" s="637"/>
      <c r="AJJ38" s="637"/>
      <c r="AJK38" s="637"/>
      <c r="AJL38" s="637"/>
      <c r="AJM38" s="637"/>
      <c r="AJN38" s="637"/>
      <c r="AJO38" s="637"/>
      <c r="AJP38" s="637"/>
      <c r="AJQ38" s="637"/>
      <c r="AJR38" s="637"/>
      <c r="AJS38" s="637"/>
      <c r="AJT38" s="637"/>
      <c r="AJU38" s="637"/>
      <c r="AJV38" s="637"/>
      <c r="AJW38" s="637"/>
      <c r="AJX38" s="637"/>
      <c r="AJY38" s="637"/>
      <c r="AJZ38" s="637"/>
      <c r="AKA38" s="637"/>
      <c r="AKB38" s="637"/>
      <c r="AKC38" s="637"/>
      <c r="AKD38" s="637"/>
      <c r="AKE38" s="637"/>
      <c r="AKF38" s="637"/>
      <c r="AKG38" s="637"/>
      <c r="AKH38" s="637"/>
      <c r="AKI38" s="637"/>
      <c r="AKJ38" s="637"/>
      <c r="AKK38" s="637"/>
      <c r="AKL38" s="637"/>
      <c r="AKM38" s="637"/>
      <c r="AKN38" s="637"/>
      <c r="AKO38" s="637"/>
      <c r="AKP38" s="637"/>
      <c r="AKQ38" s="637"/>
      <c r="AKR38" s="637"/>
      <c r="AKS38" s="637"/>
      <c r="AKT38" s="637"/>
      <c r="AKU38" s="637"/>
      <c r="AKV38" s="637"/>
      <c r="AKW38" s="637"/>
      <c r="AKX38" s="637"/>
      <c r="AKY38" s="637"/>
      <c r="AKZ38" s="637"/>
      <c r="ALA38" s="637"/>
      <c r="ALB38" s="637"/>
      <c r="ALC38" s="637"/>
      <c r="ALD38" s="637"/>
      <c r="ALE38" s="637"/>
      <c r="ALF38" s="637"/>
      <c r="ALG38" s="637"/>
      <c r="ALH38" s="637"/>
      <c r="ALI38" s="637"/>
      <c r="ALJ38" s="637"/>
      <c r="ALK38" s="637"/>
      <c r="ALL38" s="637"/>
      <c r="ALM38" s="637"/>
      <c r="ALN38" s="637"/>
      <c r="ALO38" s="637"/>
      <c r="ALP38" s="637"/>
      <c r="ALQ38" s="637"/>
      <c r="ALR38" s="637"/>
      <c r="ALS38" s="637"/>
      <c r="ALT38" s="637"/>
      <c r="ALU38" s="637"/>
      <c r="ALV38" s="637"/>
      <c r="ALW38" s="637"/>
      <c r="ALX38" s="637"/>
      <c r="ALY38" s="637"/>
      <c r="ALZ38" s="637"/>
      <c r="AMA38" s="637"/>
      <c r="AMB38" s="637"/>
      <c r="AMC38" s="637"/>
      <c r="AMD38" s="637"/>
      <c r="AME38" s="637"/>
      <c r="AMF38" s="637"/>
      <c r="AMG38" s="637"/>
      <c r="AMH38" s="637"/>
      <c r="AMI38" s="637"/>
      <c r="AMJ38" s="637"/>
    </row>
    <row r="39" spans="1:1024" s="638" customFormat="1" ht="12.75" hidden="1">
      <c r="A39" s="984"/>
      <c r="B39" s="985"/>
      <c r="C39" s="986"/>
      <c r="D39" s="988"/>
      <c r="E39" s="989">
        <v>712</v>
      </c>
      <c r="F39" s="989">
        <v>0</v>
      </c>
      <c r="G39" s="993"/>
      <c r="H39" s="993"/>
      <c r="I39" s="993"/>
      <c r="J39" s="993"/>
      <c r="K39" s="993"/>
      <c r="L39" s="993"/>
      <c r="M39" s="993"/>
      <c r="N39" s="993"/>
      <c r="O39" s="993">
        <v>0</v>
      </c>
      <c r="P39" s="993"/>
      <c r="Q39" s="993"/>
      <c r="R39" s="991"/>
      <c r="S39" s="637"/>
      <c r="T39" s="637"/>
      <c r="U39" s="637"/>
      <c r="V39" s="637"/>
      <c r="W39" s="637"/>
      <c r="X39" s="637"/>
      <c r="Y39" s="637"/>
      <c r="Z39" s="637"/>
      <c r="AA39" s="637"/>
      <c r="AB39" s="637"/>
      <c r="AC39" s="637"/>
      <c r="AD39" s="637"/>
      <c r="AE39" s="637"/>
      <c r="AF39" s="637"/>
      <c r="AG39" s="637"/>
      <c r="AH39" s="637"/>
      <c r="AI39" s="637"/>
      <c r="AJ39" s="637"/>
      <c r="AK39" s="637"/>
      <c r="AL39" s="637"/>
      <c r="AM39" s="637"/>
      <c r="AN39" s="637"/>
      <c r="AO39" s="637"/>
      <c r="AP39" s="637"/>
      <c r="AQ39" s="637"/>
      <c r="AR39" s="637"/>
      <c r="AS39" s="637"/>
      <c r="AT39" s="637"/>
      <c r="AU39" s="637"/>
      <c r="AV39" s="637"/>
      <c r="AW39" s="637"/>
      <c r="AX39" s="637"/>
      <c r="AY39" s="637"/>
      <c r="AZ39" s="637"/>
      <c r="BA39" s="637"/>
      <c r="BB39" s="637"/>
      <c r="BC39" s="637"/>
      <c r="BD39" s="637"/>
      <c r="BE39" s="637"/>
      <c r="BF39" s="637"/>
      <c r="BG39" s="637"/>
      <c r="BH39" s="637"/>
      <c r="BI39" s="637"/>
      <c r="BJ39" s="637"/>
      <c r="BK39" s="637"/>
      <c r="BL39" s="637"/>
      <c r="BM39" s="637"/>
      <c r="BN39" s="637"/>
      <c r="BO39" s="637"/>
      <c r="BP39" s="637"/>
      <c r="BQ39" s="637"/>
      <c r="BR39" s="637"/>
      <c r="BS39" s="637"/>
      <c r="BT39" s="637"/>
      <c r="BU39" s="637"/>
      <c r="BV39" s="637"/>
      <c r="BW39" s="637"/>
      <c r="BX39" s="637"/>
      <c r="BY39" s="637"/>
      <c r="BZ39" s="637"/>
      <c r="CA39" s="637"/>
      <c r="CB39" s="637"/>
      <c r="CC39" s="637"/>
      <c r="CD39" s="637"/>
      <c r="CE39" s="637"/>
      <c r="CF39" s="637"/>
      <c r="CG39" s="637"/>
      <c r="CH39" s="637"/>
      <c r="CI39" s="637"/>
      <c r="CJ39" s="637"/>
      <c r="CK39" s="637"/>
      <c r="CL39" s="637"/>
      <c r="CM39" s="637"/>
      <c r="CN39" s="637"/>
      <c r="CO39" s="637"/>
      <c r="CP39" s="637"/>
      <c r="CQ39" s="637"/>
      <c r="CR39" s="637"/>
      <c r="CS39" s="637"/>
      <c r="CT39" s="637"/>
      <c r="CU39" s="637"/>
      <c r="CV39" s="637"/>
      <c r="CW39" s="637"/>
      <c r="CX39" s="637"/>
      <c r="CY39" s="637"/>
      <c r="CZ39" s="637"/>
      <c r="DA39" s="637"/>
      <c r="DB39" s="637"/>
      <c r="DC39" s="637"/>
      <c r="DD39" s="637"/>
      <c r="DE39" s="637"/>
      <c r="DF39" s="637"/>
      <c r="DG39" s="637"/>
      <c r="DH39" s="637"/>
      <c r="DI39" s="637"/>
      <c r="DJ39" s="637"/>
      <c r="DK39" s="637"/>
      <c r="DL39" s="637"/>
      <c r="DM39" s="637"/>
      <c r="DN39" s="637"/>
      <c r="DO39" s="637"/>
      <c r="DP39" s="637"/>
      <c r="DQ39" s="637"/>
      <c r="DR39" s="637"/>
      <c r="DS39" s="637"/>
      <c r="DT39" s="637"/>
      <c r="DU39" s="637"/>
      <c r="DV39" s="637"/>
      <c r="DW39" s="637"/>
      <c r="DX39" s="637"/>
      <c r="DY39" s="637"/>
      <c r="DZ39" s="637"/>
      <c r="EA39" s="637"/>
      <c r="EB39" s="637"/>
      <c r="EC39" s="637"/>
      <c r="ED39" s="637"/>
      <c r="EE39" s="637"/>
      <c r="EF39" s="637"/>
      <c r="EG39" s="637"/>
      <c r="EH39" s="637"/>
      <c r="EI39" s="637"/>
      <c r="EJ39" s="637"/>
      <c r="EK39" s="637"/>
      <c r="EL39" s="637"/>
      <c r="EM39" s="637"/>
      <c r="EN39" s="637"/>
      <c r="EO39" s="637"/>
      <c r="EP39" s="637"/>
      <c r="EQ39" s="637"/>
      <c r="ER39" s="637"/>
      <c r="ES39" s="637"/>
      <c r="ET39" s="637"/>
      <c r="EU39" s="637"/>
      <c r="EV39" s="637"/>
      <c r="EW39" s="637"/>
      <c r="EX39" s="637"/>
      <c r="EY39" s="637"/>
      <c r="EZ39" s="637"/>
      <c r="FA39" s="637"/>
      <c r="FB39" s="637"/>
      <c r="FC39" s="637"/>
      <c r="FD39" s="637"/>
      <c r="FE39" s="637"/>
      <c r="FF39" s="637"/>
      <c r="FG39" s="637"/>
      <c r="FH39" s="637"/>
      <c r="FI39" s="637"/>
      <c r="FJ39" s="637"/>
      <c r="FK39" s="637"/>
      <c r="FL39" s="637"/>
      <c r="FM39" s="637"/>
      <c r="FN39" s="637"/>
      <c r="FO39" s="637"/>
      <c r="FP39" s="637"/>
      <c r="FQ39" s="637"/>
      <c r="FR39" s="637"/>
      <c r="FS39" s="637"/>
      <c r="FT39" s="637"/>
      <c r="FU39" s="637"/>
      <c r="FV39" s="637"/>
      <c r="FW39" s="637"/>
      <c r="FX39" s="637"/>
      <c r="FY39" s="637"/>
      <c r="FZ39" s="637"/>
      <c r="GA39" s="637"/>
      <c r="GB39" s="637"/>
      <c r="GC39" s="637"/>
      <c r="GD39" s="637"/>
      <c r="GE39" s="637"/>
      <c r="GF39" s="637"/>
      <c r="GG39" s="637"/>
      <c r="GH39" s="637"/>
      <c r="GI39" s="637"/>
      <c r="GJ39" s="637"/>
      <c r="GK39" s="637"/>
      <c r="GL39" s="637"/>
      <c r="GM39" s="637"/>
      <c r="GN39" s="637"/>
      <c r="GO39" s="637"/>
      <c r="GP39" s="637"/>
      <c r="GQ39" s="637"/>
      <c r="GR39" s="637"/>
      <c r="GS39" s="637"/>
      <c r="GT39" s="637"/>
      <c r="GU39" s="637"/>
      <c r="GV39" s="637"/>
      <c r="GW39" s="637"/>
      <c r="GX39" s="637"/>
      <c r="GY39" s="637"/>
      <c r="GZ39" s="637"/>
      <c r="HA39" s="637"/>
      <c r="HB39" s="637"/>
      <c r="HC39" s="637"/>
      <c r="HD39" s="637"/>
      <c r="HE39" s="637"/>
      <c r="HF39" s="637"/>
      <c r="HG39" s="637"/>
      <c r="HH39" s="637"/>
      <c r="HI39" s="637"/>
      <c r="HJ39" s="637"/>
      <c r="HK39" s="637"/>
      <c r="HL39" s="637"/>
      <c r="HM39" s="637"/>
      <c r="HN39" s="637"/>
      <c r="HO39" s="637"/>
      <c r="HP39" s="637"/>
      <c r="HQ39" s="637"/>
      <c r="HR39" s="637"/>
      <c r="HS39" s="637"/>
      <c r="HT39" s="637"/>
      <c r="HU39" s="637"/>
      <c r="HV39" s="637"/>
      <c r="HW39" s="637"/>
      <c r="HX39" s="637"/>
      <c r="HY39" s="637"/>
      <c r="HZ39" s="637"/>
      <c r="IA39" s="637"/>
      <c r="IB39" s="637"/>
      <c r="IC39" s="637"/>
      <c r="ID39" s="637"/>
      <c r="IE39" s="637"/>
      <c r="IF39" s="637"/>
      <c r="IG39" s="637"/>
      <c r="IH39" s="637"/>
      <c r="II39" s="637"/>
      <c r="IJ39" s="637"/>
      <c r="IK39" s="637"/>
      <c r="IL39" s="637"/>
      <c r="IM39" s="637"/>
      <c r="IN39" s="637"/>
      <c r="IO39" s="637"/>
      <c r="IP39" s="637"/>
      <c r="IQ39" s="637"/>
      <c r="IR39" s="637"/>
      <c r="IS39" s="637"/>
      <c r="IT39" s="637"/>
      <c r="IU39" s="637"/>
      <c r="IV39" s="637"/>
      <c r="IW39" s="637"/>
      <c r="IX39" s="637"/>
      <c r="IY39" s="637"/>
      <c r="IZ39" s="637"/>
      <c r="JA39" s="637"/>
      <c r="JB39" s="637"/>
      <c r="JC39" s="637"/>
      <c r="JD39" s="637"/>
      <c r="JE39" s="637"/>
      <c r="JF39" s="637"/>
      <c r="JG39" s="637"/>
      <c r="JH39" s="637"/>
      <c r="JI39" s="637"/>
      <c r="JJ39" s="637"/>
      <c r="JK39" s="637"/>
      <c r="JL39" s="637"/>
      <c r="JM39" s="637"/>
      <c r="JN39" s="637"/>
      <c r="JO39" s="637"/>
      <c r="JP39" s="637"/>
      <c r="JQ39" s="637"/>
      <c r="JR39" s="637"/>
      <c r="JS39" s="637"/>
      <c r="JT39" s="637"/>
      <c r="JU39" s="637"/>
      <c r="JV39" s="637"/>
      <c r="JW39" s="637"/>
      <c r="JX39" s="637"/>
      <c r="JY39" s="637"/>
      <c r="JZ39" s="637"/>
      <c r="KA39" s="637"/>
      <c r="KB39" s="637"/>
      <c r="KC39" s="637"/>
      <c r="KD39" s="637"/>
      <c r="KE39" s="637"/>
      <c r="KF39" s="637"/>
      <c r="KG39" s="637"/>
      <c r="KH39" s="637"/>
      <c r="KI39" s="637"/>
      <c r="KJ39" s="637"/>
      <c r="KK39" s="637"/>
      <c r="KL39" s="637"/>
      <c r="KM39" s="637"/>
      <c r="KN39" s="637"/>
      <c r="KO39" s="637"/>
      <c r="KP39" s="637"/>
      <c r="KQ39" s="637"/>
      <c r="KR39" s="637"/>
      <c r="KS39" s="637"/>
      <c r="KT39" s="637"/>
      <c r="KU39" s="637"/>
      <c r="KV39" s="637"/>
      <c r="KW39" s="637"/>
      <c r="KX39" s="637"/>
      <c r="KY39" s="637"/>
      <c r="KZ39" s="637"/>
      <c r="LA39" s="637"/>
      <c r="LB39" s="637"/>
      <c r="LC39" s="637"/>
      <c r="LD39" s="637"/>
      <c r="LE39" s="637"/>
      <c r="LF39" s="637"/>
      <c r="LG39" s="637"/>
      <c r="LH39" s="637"/>
      <c r="LI39" s="637"/>
      <c r="LJ39" s="637"/>
      <c r="LK39" s="637"/>
      <c r="LL39" s="637"/>
      <c r="LM39" s="637"/>
      <c r="LN39" s="637"/>
      <c r="LO39" s="637"/>
      <c r="LP39" s="637"/>
      <c r="LQ39" s="637"/>
      <c r="LR39" s="637"/>
      <c r="LS39" s="637"/>
      <c r="LT39" s="637"/>
      <c r="LU39" s="637"/>
      <c r="LV39" s="637"/>
      <c r="LW39" s="637"/>
      <c r="LX39" s="637"/>
      <c r="LY39" s="637"/>
      <c r="LZ39" s="637"/>
      <c r="MA39" s="637"/>
      <c r="MB39" s="637"/>
      <c r="MC39" s="637"/>
      <c r="MD39" s="637"/>
      <c r="ME39" s="637"/>
      <c r="MF39" s="637"/>
      <c r="MG39" s="637"/>
      <c r="MH39" s="637"/>
      <c r="MI39" s="637"/>
      <c r="MJ39" s="637"/>
      <c r="MK39" s="637"/>
      <c r="ML39" s="637"/>
      <c r="MM39" s="637"/>
      <c r="MN39" s="637"/>
      <c r="MO39" s="637"/>
      <c r="MP39" s="637"/>
      <c r="MQ39" s="637"/>
      <c r="MR39" s="637"/>
      <c r="MS39" s="637"/>
      <c r="MT39" s="637"/>
      <c r="MU39" s="637"/>
      <c r="MV39" s="637"/>
      <c r="MW39" s="637"/>
      <c r="MX39" s="637"/>
      <c r="MY39" s="637"/>
      <c r="MZ39" s="637"/>
      <c r="NA39" s="637"/>
      <c r="NB39" s="637"/>
      <c r="NC39" s="637"/>
      <c r="ND39" s="637"/>
      <c r="NE39" s="637"/>
      <c r="NF39" s="637"/>
      <c r="NG39" s="637"/>
      <c r="NH39" s="637"/>
      <c r="NI39" s="637"/>
      <c r="NJ39" s="637"/>
      <c r="NK39" s="637"/>
      <c r="NL39" s="637"/>
      <c r="NM39" s="637"/>
      <c r="NN39" s="637"/>
      <c r="NO39" s="637"/>
      <c r="NP39" s="637"/>
      <c r="NQ39" s="637"/>
      <c r="NR39" s="637"/>
      <c r="NS39" s="637"/>
      <c r="NT39" s="637"/>
      <c r="NU39" s="637"/>
      <c r="NV39" s="637"/>
      <c r="NW39" s="637"/>
      <c r="NX39" s="637"/>
      <c r="NY39" s="637"/>
      <c r="NZ39" s="637"/>
      <c r="OA39" s="637"/>
      <c r="OB39" s="637"/>
      <c r="OC39" s="637"/>
      <c r="OD39" s="637"/>
      <c r="OE39" s="637"/>
      <c r="OF39" s="637"/>
      <c r="OG39" s="637"/>
      <c r="OH39" s="637"/>
      <c r="OI39" s="637"/>
      <c r="OJ39" s="637"/>
      <c r="OK39" s="637"/>
      <c r="OL39" s="637"/>
      <c r="OM39" s="637"/>
      <c r="ON39" s="637"/>
      <c r="OO39" s="637"/>
      <c r="OP39" s="637"/>
      <c r="OQ39" s="637"/>
      <c r="OR39" s="637"/>
      <c r="OS39" s="637"/>
      <c r="OT39" s="637"/>
      <c r="OU39" s="637"/>
      <c r="OV39" s="637"/>
      <c r="OW39" s="637"/>
      <c r="OX39" s="637"/>
      <c r="OY39" s="637"/>
      <c r="OZ39" s="637"/>
      <c r="PA39" s="637"/>
      <c r="PB39" s="637"/>
      <c r="PC39" s="637"/>
      <c r="PD39" s="637"/>
      <c r="PE39" s="637"/>
      <c r="PF39" s="637"/>
      <c r="PG39" s="637"/>
      <c r="PH39" s="637"/>
      <c r="PI39" s="637"/>
      <c r="PJ39" s="637"/>
      <c r="PK39" s="637"/>
      <c r="PL39" s="637"/>
      <c r="PM39" s="637"/>
      <c r="PN39" s="637"/>
      <c r="PO39" s="637"/>
      <c r="PP39" s="637"/>
      <c r="PQ39" s="637"/>
      <c r="PR39" s="637"/>
      <c r="PS39" s="637"/>
      <c r="PT39" s="637"/>
      <c r="PU39" s="637"/>
      <c r="PV39" s="637"/>
      <c r="PW39" s="637"/>
      <c r="PX39" s="637"/>
      <c r="PY39" s="637"/>
      <c r="PZ39" s="637"/>
      <c r="QA39" s="637"/>
      <c r="QB39" s="637"/>
      <c r="QC39" s="637"/>
      <c r="QD39" s="637"/>
      <c r="QE39" s="637"/>
      <c r="QF39" s="637"/>
      <c r="QG39" s="637"/>
      <c r="QH39" s="637"/>
      <c r="QI39" s="637"/>
      <c r="QJ39" s="637"/>
      <c r="QK39" s="637"/>
      <c r="QL39" s="637"/>
      <c r="QM39" s="637"/>
      <c r="QN39" s="637"/>
      <c r="QO39" s="637"/>
      <c r="QP39" s="637"/>
      <c r="QQ39" s="637"/>
      <c r="QR39" s="637"/>
      <c r="QS39" s="637"/>
      <c r="QT39" s="637"/>
      <c r="QU39" s="637"/>
      <c r="QV39" s="637"/>
      <c r="QW39" s="637"/>
      <c r="QX39" s="637"/>
      <c r="QY39" s="637"/>
      <c r="QZ39" s="637"/>
      <c r="RA39" s="637"/>
      <c r="RB39" s="637"/>
      <c r="RC39" s="637"/>
      <c r="RD39" s="637"/>
      <c r="RE39" s="637"/>
      <c r="RF39" s="637"/>
      <c r="RG39" s="637"/>
      <c r="RH39" s="637"/>
      <c r="RI39" s="637"/>
      <c r="RJ39" s="637"/>
      <c r="RK39" s="637"/>
      <c r="RL39" s="637"/>
      <c r="RM39" s="637"/>
      <c r="RN39" s="637"/>
      <c r="RO39" s="637"/>
      <c r="RP39" s="637"/>
      <c r="RQ39" s="637"/>
      <c r="RR39" s="637"/>
      <c r="RS39" s="637"/>
      <c r="RT39" s="637"/>
      <c r="RU39" s="637"/>
      <c r="RV39" s="637"/>
      <c r="RW39" s="637"/>
      <c r="RX39" s="637"/>
      <c r="RY39" s="637"/>
      <c r="RZ39" s="637"/>
      <c r="SA39" s="637"/>
      <c r="SB39" s="637"/>
      <c r="SC39" s="637"/>
      <c r="SD39" s="637"/>
      <c r="SE39" s="637"/>
      <c r="SF39" s="637"/>
      <c r="SG39" s="637"/>
      <c r="SH39" s="637"/>
      <c r="SI39" s="637"/>
      <c r="SJ39" s="637"/>
      <c r="SK39" s="637"/>
      <c r="SL39" s="637"/>
      <c r="SM39" s="637"/>
      <c r="SN39" s="637"/>
      <c r="SO39" s="637"/>
      <c r="SP39" s="637"/>
      <c r="SQ39" s="637"/>
      <c r="SR39" s="637"/>
      <c r="SS39" s="637"/>
      <c r="ST39" s="637"/>
      <c r="SU39" s="637"/>
      <c r="SV39" s="637"/>
      <c r="SW39" s="637"/>
      <c r="SX39" s="637"/>
      <c r="SY39" s="637"/>
      <c r="SZ39" s="637"/>
      <c r="TA39" s="637"/>
      <c r="TB39" s="637"/>
      <c r="TC39" s="637"/>
      <c r="TD39" s="637"/>
      <c r="TE39" s="637"/>
      <c r="TF39" s="637"/>
      <c r="TG39" s="637"/>
      <c r="TH39" s="637"/>
      <c r="TI39" s="637"/>
      <c r="TJ39" s="637"/>
      <c r="TK39" s="637"/>
      <c r="TL39" s="637"/>
      <c r="TM39" s="637"/>
      <c r="TN39" s="637"/>
      <c r="TO39" s="637"/>
      <c r="TP39" s="637"/>
      <c r="TQ39" s="637"/>
      <c r="TR39" s="637"/>
      <c r="TS39" s="637"/>
      <c r="TT39" s="637"/>
      <c r="TU39" s="637"/>
      <c r="TV39" s="637"/>
      <c r="TW39" s="637"/>
      <c r="TX39" s="637"/>
      <c r="TY39" s="637"/>
      <c r="TZ39" s="637"/>
      <c r="UA39" s="637"/>
      <c r="UB39" s="637"/>
      <c r="UC39" s="637"/>
      <c r="UD39" s="637"/>
      <c r="UE39" s="637"/>
      <c r="UF39" s="637"/>
      <c r="UG39" s="637"/>
      <c r="UH39" s="637"/>
      <c r="UI39" s="637"/>
      <c r="UJ39" s="637"/>
      <c r="UK39" s="637"/>
      <c r="UL39" s="637"/>
      <c r="UM39" s="637"/>
      <c r="UN39" s="637"/>
      <c r="UO39" s="637"/>
      <c r="UP39" s="637"/>
      <c r="UQ39" s="637"/>
      <c r="UR39" s="637"/>
      <c r="US39" s="637"/>
      <c r="UT39" s="637"/>
      <c r="UU39" s="637"/>
      <c r="UV39" s="637"/>
      <c r="UW39" s="637"/>
      <c r="UX39" s="637"/>
      <c r="UY39" s="637"/>
      <c r="UZ39" s="637"/>
      <c r="VA39" s="637"/>
      <c r="VB39" s="637"/>
      <c r="VC39" s="637"/>
      <c r="VD39" s="637"/>
      <c r="VE39" s="637"/>
      <c r="VF39" s="637"/>
      <c r="VG39" s="637"/>
      <c r="VH39" s="637"/>
      <c r="VI39" s="637"/>
      <c r="VJ39" s="637"/>
      <c r="VK39" s="637"/>
      <c r="VL39" s="637"/>
      <c r="VM39" s="637"/>
      <c r="VN39" s="637"/>
      <c r="VO39" s="637"/>
      <c r="VP39" s="637"/>
      <c r="VQ39" s="637"/>
      <c r="VR39" s="637"/>
      <c r="VS39" s="637"/>
      <c r="VT39" s="637"/>
      <c r="VU39" s="637"/>
      <c r="VV39" s="637"/>
      <c r="VW39" s="637"/>
      <c r="VX39" s="637"/>
      <c r="VY39" s="637"/>
      <c r="VZ39" s="637"/>
      <c r="WA39" s="637"/>
      <c r="WB39" s="637"/>
      <c r="WC39" s="637"/>
      <c r="WD39" s="637"/>
      <c r="WE39" s="637"/>
      <c r="WF39" s="637"/>
      <c r="WG39" s="637"/>
      <c r="WH39" s="637"/>
      <c r="WI39" s="637"/>
      <c r="WJ39" s="637"/>
      <c r="WK39" s="637"/>
      <c r="WL39" s="637"/>
      <c r="WM39" s="637"/>
      <c r="WN39" s="637"/>
      <c r="WO39" s="637"/>
      <c r="WP39" s="637"/>
      <c r="WQ39" s="637"/>
      <c r="WR39" s="637"/>
      <c r="WS39" s="637"/>
      <c r="WT39" s="637"/>
      <c r="WU39" s="637"/>
      <c r="WV39" s="637"/>
      <c r="WW39" s="637"/>
      <c r="WX39" s="637"/>
      <c r="WY39" s="637"/>
      <c r="WZ39" s="637"/>
      <c r="XA39" s="637"/>
      <c r="XB39" s="637"/>
      <c r="XC39" s="637"/>
      <c r="XD39" s="637"/>
      <c r="XE39" s="637"/>
      <c r="XF39" s="637"/>
      <c r="XG39" s="637"/>
      <c r="XH39" s="637"/>
      <c r="XI39" s="637"/>
      <c r="XJ39" s="637"/>
      <c r="XK39" s="637"/>
      <c r="XL39" s="637"/>
      <c r="XM39" s="637"/>
      <c r="XN39" s="637"/>
      <c r="XO39" s="637"/>
      <c r="XP39" s="637"/>
      <c r="XQ39" s="637"/>
      <c r="XR39" s="637"/>
      <c r="XS39" s="637"/>
      <c r="XT39" s="637"/>
      <c r="XU39" s="637"/>
      <c r="XV39" s="637"/>
      <c r="XW39" s="637"/>
      <c r="XX39" s="637"/>
      <c r="XY39" s="637"/>
      <c r="XZ39" s="637"/>
      <c r="YA39" s="637"/>
      <c r="YB39" s="637"/>
      <c r="YC39" s="637"/>
      <c r="YD39" s="637"/>
      <c r="YE39" s="637"/>
      <c r="YF39" s="637"/>
      <c r="YG39" s="637"/>
      <c r="YH39" s="637"/>
      <c r="YI39" s="637"/>
      <c r="YJ39" s="637"/>
      <c r="YK39" s="637"/>
      <c r="YL39" s="637"/>
      <c r="YM39" s="637"/>
      <c r="YN39" s="637"/>
      <c r="YO39" s="637"/>
      <c r="YP39" s="637"/>
      <c r="YQ39" s="637"/>
      <c r="YR39" s="637"/>
      <c r="YS39" s="637"/>
      <c r="YT39" s="637"/>
      <c r="YU39" s="637"/>
      <c r="YV39" s="637"/>
      <c r="YW39" s="637"/>
      <c r="YX39" s="637"/>
      <c r="YY39" s="637"/>
      <c r="YZ39" s="637"/>
      <c r="ZA39" s="637"/>
      <c r="ZB39" s="637"/>
      <c r="ZC39" s="637"/>
      <c r="ZD39" s="637"/>
      <c r="ZE39" s="637"/>
      <c r="ZF39" s="637"/>
      <c r="ZG39" s="637"/>
      <c r="ZH39" s="637"/>
      <c r="ZI39" s="637"/>
      <c r="ZJ39" s="637"/>
      <c r="ZK39" s="637"/>
      <c r="ZL39" s="637"/>
      <c r="ZM39" s="637"/>
      <c r="ZN39" s="637"/>
      <c r="ZO39" s="637"/>
      <c r="ZP39" s="637"/>
      <c r="ZQ39" s="637"/>
      <c r="ZR39" s="637"/>
      <c r="ZS39" s="637"/>
      <c r="ZT39" s="637"/>
      <c r="ZU39" s="637"/>
      <c r="ZV39" s="637"/>
      <c r="ZW39" s="637"/>
      <c r="ZX39" s="637"/>
      <c r="ZY39" s="637"/>
      <c r="ZZ39" s="637"/>
      <c r="AAA39" s="637"/>
      <c r="AAB39" s="637"/>
      <c r="AAC39" s="637"/>
      <c r="AAD39" s="637"/>
      <c r="AAE39" s="637"/>
      <c r="AAF39" s="637"/>
      <c r="AAG39" s="637"/>
      <c r="AAH39" s="637"/>
      <c r="AAI39" s="637"/>
      <c r="AAJ39" s="637"/>
      <c r="AAK39" s="637"/>
      <c r="AAL39" s="637"/>
      <c r="AAM39" s="637"/>
      <c r="AAN39" s="637"/>
      <c r="AAO39" s="637"/>
      <c r="AAP39" s="637"/>
      <c r="AAQ39" s="637"/>
      <c r="AAR39" s="637"/>
      <c r="AAS39" s="637"/>
      <c r="AAT39" s="637"/>
      <c r="AAU39" s="637"/>
      <c r="AAV39" s="637"/>
      <c r="AAW39" s="637"/>
      <c r="AAX39" s="637"/>
      <c r="AAY39" s="637"/>
      <c r="AAZ39" s="637"/>
      <c r="ABA39" s="637"/>
      <c r="ABB39" s="637"/>
      <c r="ABC39" s="637"/>
      <c r="ABD39" s="637"/>
      <c r="ABE39" s="637"/>
      <c r="ABF39" s="637"/>
      <c r="ABG39" s="637"/>
      <c r="ABH39" s="637"/>
      <c r="ABI39" s="637"/>
      <c r="ABJ39" s="637"/>
      <c r="ABK39" s="637"/>
      <c r="ABL39" s="637"/>
      <c r="ABM39" s="637"/>
      <c r="ABN39" s="637"/>
      <c r="ABO39" s="637"/>
      <c r="ABP39" s="637"/>
      <c r="ABQ39" s="637"/>
      <c r="ABR39" s="637"/>
      <c r="ABS39" s="637"/>
      <c r="ABT39" s="637"/>
      <c r="ABU39" s="637"/>
      <c r="ABV39" s="637"/>
      <c r="ABW39" s="637"/>
      <c r="ABX39" s="637"/>
      <c r="ABY39" s="637"/>
      <c r="ABZ39" s="637"/>
      <c r="ACA39" s="637"/>
      <c r="ACB39" s="637"/>
      <c r="ACC39" s="637"/>
      <c r="ACD39" s="637"/>
      <c r="ACE39" s="637"/>
      <c r="ACF39" s="637"/>
      <c r="ACG39" s="637"/>
      <c r="ACH39" s="637"/>
      <c r="ACI39" s="637"/>
      <c r="ACJ39" s="637"/>
      <c r="ACK39" s="637"/>
      <c r="ACL39" s="637"/>
      <c r="ACM39" s="637"/>
      <c r="ACN39" s="637"/>
      <c r="ACO39" s="637"/>
      <c r="ACP39" s="637"/>
      <c r="ACQ39" s="637"/>
      <c r="ACR39" s="637"/>
      <c r="ACS39" s="637"/>
      <c r="ACT39" s="637"/>
      <c r="ACU39" s="637"/>
      <c r="ACV39" s="637"/>
      <c r="ACW39" s="637"/>
      <c r="ACX39" s="637"/>
      <c r="ACY39" s="637"/>
      <c r="ACZ39" s="637"/>
      <c r="ADA39" s="637"/>
      <c r="ADB39" s="637"/>
      <c r="ADC39" s="637"/>
      <c r="ADD39" s="637"/>
      <c r="ADE39" s="637"/>
      <c r="ADF39" s="637"/>
      <c r="ADG39" s="637"/>
      <c r="ADH39" s="637"/>
      <c r="ADI39" s="637"/>
      <c r="ADJ39" s="637"/>
      <c r="ADK39" s="637"/>
      <c r="ADL39" s="637"/>
      <c r="ADM39" s="637"/>
      <c r="ADN39" s="637"/>
      <c r="ADO39" s="637"/>
      <c r="ADP39" s="637"/>
      <c r="ADQ39" s="637"/>
      <c r="ADR39" s="637"/>
      <c r="ADS39" s="637"/>
      <c r="ADT39" s="637"/>
      <c r="ADU39" s="637"/>
      <c r="ADV39" s="637"/>
      <c r="ADW39" s="637"/>
      <c r="ADX39" s="637"/>
      <c r="ADY39" s="637"/>
      <c r="ADZ39" s="637"/>
      <c r="AEA39" s="637"/>
      <c r="AEB39" s="637"/>
      <c r="AEC39" s="637"/>
      <c r="AED39" s="637"/>
      <c r="AEE39" s="637"/>
      <c r="AEF39" s="637"/>
      <c r="AEG39" s="637"/>
      <c r="AEH39" s="637"/>
      <c r="AEI39" s="637"/>
      <c r="AEJ39" s="637"/>
      <c r="AEK39" s="637"/>
      <c r="AEL39" s="637"/>
      <c r="AEM39" s="637"/>
      <c r="AEN39" s="637"/>
      <c r="AEO39" s="637"/>
      <c r="AEP39" s="637"/>
      <c r="AEQ39" s="637"/>
      <c r="AER39" s="637"/>
      <c r="AES39" s="637"/>
      <c r="AET39" s="637"/>
      <c r="AEU39" s="637"/>
      <c r="AEV39" s="637"/>
      <c r="AEW39" s="637"/>
      <c r="AEX39" s="637"/>
      <c r="AEY39" s="637"/>
      <c r="AEZ39" s="637"/>
      <c r="AFA39" s="637"/>
      <c r="AFB39" s="637"/>
      <c r="AFC39" s="637"/>
      <c r="AFD39" s="637"/>
      <c r="AFE39" s="637"/>
      <c r="AFF39" s="637"/>
      <c r="AFG39" s="637"/>
      <c r="AFH39" s="637"/>
      <c r="AFI39" s="637"/>
      <c r="AFJ39" s="637"/>
      <c r="AFK39" s="637"/>
      <c r="AFL39" s="637"/>
      <c r="AFM39" s="637"/>
      <c r="AFN39" s="637"/>
      <c r="AFO39" s="637"/>
      <c r="AFP39" s="637"/>
      <c r="AFQ39" s="637"/>
      <c r="AFR39" s="637"/>
      <c r="AFS39" s="637"/>
      <c r="AFT39" s="637"/>
      <c r="AFU39" s="637"/>
      <c r="AFV39" s="637"/>
      <c r="AFW39" s="637"/>
      <c r="AFX39" s="637"/>
      <c r="AFY39" s="637"/>
      <c r="AFZ39" s="637"/>
      <c r="AGA39" s="637"/>
      <c r="AGB39" s="637"/>
      <c r="AGC39" s="637"/>
      <c r="AGD39" s="637"/>
      <c r="AGE39" s="637"/>
      <c r="AGF39" s="637"/>
      <c r="AGG39" s="637"/>
      <c r="AGH39" s="637"/>
      <c r="AGI39" s="637"/>
      <c r="AGJ39" s="637"/>
      <c r="AGK39" s="637"/>
      <c r="AGL39" s="637"/>
      <c r="AGM39" s="637"/>
      <c r="AGN39" s="637"/>
      <c r="AGO39" s="637"/>
      <c r="AGP39" s="637"/>
      <c r="AGQ39" s="637"/>
      <c r="AGR39" s="637"/>
      <c r="AGS39" s="637"/>
      <c r="AGT39" s="637"/>
      <c r="AGU39" s="637"/>
      <c r="AGV39" s="637"/>
      <c r="AGW39" s="637"/>
      <c r="AGX39" s="637"/>
      <c r="AGY39" s="637"/>
      <c r="AGZ39" s="637"/>
      <c r="AHA39" s="637"/>
      <c r="AHB39" s="637"/>
      <c r="AHC39" s="637"/>
      <c r="AHD39" s="637"/>
      <c r="AHE39" s="637"/>
      <c r="AHF39" s="637"/>
      <c r="AHG39" s="637"/>
      <c r="AHH39" s="637"/>
      <c r="AHI39" s="637"/>
      <c r="AHJ39" s="637"/>
      <c r="AHK39" s="637"/>
      <c r="AHL39" s="637"/>
      <c r="AHM39" s="637"/>
      <c r="AHN39" s="637"/>
      <c r="AHO39" s="637"/>
      <c r="AHP39" s="637"/>
      <c r="AHQ39" s="637"/>
      <c r="AHR39" s="637"/>
      <c r="AHS39" s="637"/>
      <c r="AHT39" s="637"/>
      <c r="AHU39" s="637"/>
      <c r="AHV39" s="637"/>
      <c r="AHW39" s="637"/>
      <c r="AHX39" s="637"/>
      <c r="AHY39" s="637"/>
      <c r="AHZ39" s="637"/>
      <c r="AIA39" s="637"/>
      <c r="AIB39" s="637"/>
      <c r="AIC39" s="637"/>
      <c r="AID39" s="637"/>
      <c r="AIE39" s="637"/>
      <c r="AIF39" s="637"/>
      <c r="AIG39" s="637"/>
      <c r="AIH39" s="637"/>
      <c r="AII39" s="637"/>
      <c r="AIJ39" s="637"/>
      <c r="AIK39" s="637"/>
      <c r="AIL39" s="637"/>
      <c r="AIM39" s="637"/>
      <c r="AIN39" s="637"/>
      <c r="AIO39" s="637"/>
      <c r="AIP39" s="637"/>
      <c r="AIQ39" s="637"/>
      <c r="AIR39" s="637"/>
      <c r="AIS39" s="637"/>
      <c r="AIT39" s="637"/>
      <c r="AIU39" s="637"/>
      <c r="AIV39" s="637"/>
      <c r="AIW39" s="637"/>
      <c r="AIX39" s="637"/>
      <c r="AIY39" s="637"/>
      <c r="AIZ39" s="637"/>
      <c r="AJA39" s="637"/>
      <c r="AJB39" s="637"/>
      <c r="AJC39" s="637"/>
      <c r="AJD39" s="637"/>
      <c r="AJE39" s="637"/>
      <c r="AJF39" s="637"/>
      <c r="AJG39" s="637"/>
      <c r="AJH39" s="637"/>
      <c r="AJI39" s="637"/>
      <c r="AJJ39" s="637"/>
      <c r="AJK39" s="637"/>
      <c r="AJL39" s="637"/>
      <c r="AJM39" s="637"/>
      <c r="AJN39" s="637"/>
      <c r="AJO39" s="637"/>
      <c r="AJP39" s="637"/>
      <c r="AJQ39" s="637"/>
      <c r="AJR39" s="637"/>
      <c r="AJS39" s="637"/>
      <c r="AJT39" s="637"/>
      <c r="AJU39" s="637"/>
      <c r="AJV39" s="637"/>
      <c r="AJW39" s="637"/>
      <c r="AJX39" s="637"/>
      <c r="AJY39" s="637"/>
      <c r="AJZ39" s="637"/>
      <c r="AKA39" s="637"/>
      <c r="AKB39" s="637"/>
      <c r="AKC39" s="637"/>
      <c r="AKD39" s="637"/>
      <c r="AKE39" s="637"/>
      <c r="AKF39" s="637"/>
      <c r="AKG39" s="637"/>
      <c r="AKH39" s="637"/>
      <c r="AKI39" s="637"/>
      <c r="AKJ39" s="637"/>
      <c r="AKK39" s="637"/>
      <c r="AKL39" s="637"/>
      <c r="AKM39" s="637"/>
      <c r="AKN39" s="637"/>
      <c r="AKO39" s="637"/>
      <c r="AKP39" s="637"/>
      <c r="AKQ39" s="637"/>
      <c r="AKR39" s="637"/>
      <c r="AKS39" s="637"/>
      <c r="AKT39" s="637"/>
      <c r="AKU39" s="637"/>
      <c r="AKV39" s="637"/>
      <c r="AKW39" s="637"/>
      <c r="AKX39" s="637"/>
      <c r="AKY39" s="637"/>
      <c r="AKZ39" s="637"/>
      <c r="ALA39" s="637"/>
      <c r="ALB39" s="637"/>
      <c r="ALC39" s="637"/>
      <c r="ALD39" s="637"/>
      <c r="ALE39" s="637"/>
      <c r="ALF39" s="637"/>
      <c r="ALG39" s="637"/>
      <c r="ALH39" s="637"/>
      <c r="ALI39" s="637"/>
      <c r="ALJ39" s="637"/>
      <c r="ALK39" s="637"/>
      <c r="ALL39" s="637"/>
      <c r="ALM39" s="637"/>
      <c r="ALN39" s="637"/>
      <c r="ALO39" s="637"/>
      <c r="ALP39" s="637"/>
      <c r="ALQ39" s="637"/>
      <c r="ALR39" s="637"/>
      <c r="ALS39" s="637"/>
      <c r="ALT39" s="637"/>
      <c r="ALU39" s="637"/>
      <c r="ALV39" s="637"/>
      <c r="ALW39" s="637"/>
      <c r="ALX39" s="637"/>
      <c r="ALY39" s="637"/>
      <c r="ALZ39" s="637"/>
      <c r="AMA39" s="637"/>
      <c r="AMB39" s="637"/>
      <c r="AMC39" s="637"/>
      <c r="AMD39" s="637"/>
      <c r="AME39" s="637"/>
      <c r="AMF39" s="637"/>
      <c r="AMG39" s="637"/>
      <c r="AMH39" s="637"/>
      <c r="AMI39" s="637"/>
      <c r="AMJ39" s="637"/>
    </row>
    <row r="40" spans="1:1024" s="638" customFormat="1" ht="12.75">
      <c r="A40" s="984" t="s">
        <v>120</v>
      </c>
      <c r="B40" s="985" t="s">
        <v>143</v>
      </c>
      <c r="C40" s="986" t="s">
        <v>144</v>
      </c>
      <c r="D40" s="981" t="s">
        <v>4</v>
      </c>
      <c r="E40" s="982"/>
      <c r="F40" s="982">
        <f aca="true" t="shared" si="2" ref="F40:F44">SUM(G40:R40)</f>
        <v>66893</v>
      </c>
      <c r="G40" s="983">
        <v>51582</v>
      </c>
      <c r="H40" s="983">
        <v>15311</v>
      </c>
      <c r="I40" s="983"/>
      <c r="J40" s="983"/>
      <c r="K40" s="983"/>
      <c r="L40" s="983"/>
      <c r="M40" s="983"/>
      <c r="N40" s="983"/>
      <c r="O40" s="983"/>
      <c r="P40" s="983"/>
      <c r="Q40" s="983"/>
      <c r="R40" s="984"/>
      <c r="S40" s="637"/>
      <c r="T40" s="637"/>
      <c r="U40" s="637"/>
      <c r="V40" s="637"/>
      <c r="W40" s="637"/>
      <c r="X40" s="637"/>
      <c r="Y40" s="637"/>
      <c r="Z40" s="637"/>
      <c r="AA40" s="637"/>
      <c r="AB40" s="637"/>
      <c r="AC40" s="637"/>
      <c r="AD40" s="637"/>
      <c r="AE40" s="637"/>
      <c r="AF40" s="637"/>
      <c r="AG40" s="637"/>
      <c r="AH40" s="637"/>
      <c r="AI40" s="637"/>
      <c r="AJ40" s="637"/>
      <c r="AK40" s="637"/>
      <c r="AL40" s="637"/>
      <c r="AM40" s="637"/>
      <c r="AN40" s="637"/>
      <c r="AO40" s="637"/>
      <c r="AP40" s="637"/>
      <c r="AQ40" s="637"/>
      <c r="AR40" s="637"/>
      <c r="AS40" s="637"/>
      <c r="AT40" s="637"/>
      <c r="AU40" s="637"/>
      <c r="AV40" s="637"/>
      <c r="AW40" s="637"/>
      <c r="AX40" s="637"/>
      <c r="AY40" s="637"/>
      <c r="AZ40" s="637"/>
      <c r="BA40" s="637"/>
      <c r="BB40" s="637"/>
      <c r="BC40" s="637"/>
      <c r="BD40" s="637"/>
      <c r="BE40" s="637"/>
      <c r="BF40" s="637"/>
      <c r="BG40" s="637"/>
      <c r="BH40" s="637"/>
      <c r="BI40" s="637"/>
      <c r="BJ40" s="637"/>
      <c r="BK40" s="637"/>
      <c r="BL40" s="637"/>
      <c r="BM40" s="637"/>
      <c r="BN40" s="637"/>
      <c r="BO40" s="637"/>
      <c r="BP40" s="637"/>
      <c r="BQ40" s="637"/>
      <c r="BR40" s="637"/>
      <c r="BS40" s="637"/>
      <c r="BT40" s="637"/>
      <c r="BU40" s="637"/>
      <c r="BV40" s="637"/>
      <c r="BW40" s="637"/>
      <c r="BX40" s="637"/>
      <c r="BY40" s="637"/>
      <c r="BZ40" s="637"/>
      <c r="CA40" s="637"/>
      <c r="CB40" s="637"/>
      <c r="CC40" s="637"/>
      <c r="CD40" s="637"/>
      <c r="CE40" s="637"/>
      <c r="CF40" s="637"/>
      <c r="CG40" s="637"/>
      <c r="CH40" s="637"/>
      <c r="CI40" s="637"/>
      <c r="CJ40" s="637"/>
      <c r="CK40" s="637"/>
      <c r="CL40" s="637"/>
      <c r="CM40" s="637"/>
      <c r="CN40" s="637"/>
      <c r="CO40" s="637"/>
      <c r="CP40" s="637"/>
      <c r="CQ40" s="637"/>
      <c r="CR40" s="637"/>
      <c r="CS40" s="637"/>
      <c r="CT40" s="637"/>
      <c r="CU40" s="637"/>
      <c r="CV40" s="637"/>
      <c r="CW40" s="637"/>
      <c r="CX40" s="637"/>
      <c r="CY40" s="637"/>
      <c r="CZ40" s="637"/>
      <c r="DA40" s="637"/>
      <c r="DB40" s="637"/>
      <c r="DC40" s="637"/>
      <c r="DD40" s="637"/>
      <c r="DE40" s="637"/>
      <c r="DF40" s="637"/>
      <c r="DG40" s="637"/>
      <c r="DH40" s="637"/>
      <c r="DI40" s="637"/>
      <c r="DJ40" s="637"/>
      <c r="DK40" s="637"/>
      <c r="DL40" s="637"/>
      <c r="DM40" s="637"/>
      <c r="DN40" s="637"/>
      <c r="DO40" s="637"/>
      <c r="DP40" s="637"/>
      <c r="DQ40" s="637"/>
      <c r="DR40" s="637"/>
      <c r="DS40" s="637"/>
      <c r="DT40" s="637"/>
      <c r="DU40" s="637"/>
      <c r="DV40" s="637"/>
      <c r="DW40" s="637"/>
      <c r="DX40" s="637"/>
      <c r="DY40" s="637"/>
      <c r="DZ40" s="637"/>
      <c r="EA40" s="637"/>
      <c r="EB40" s="637"/>
      <c r="EC40" s="637"/>
      <c r="ED40" s="637"/>
      <c r="EE40" s="637"/>
      <c r="EF40" s="637"/>
      <c r="EG40" s="637"/>
      <c r="EH40" s="637"/>
      <c r="EI40" s="637"/>
      <c r="EJ40" s="637"/>
      <c r="EK40" s="637"/>
      <c r="EL40" s="637"/>
      <c r="EM40" s="637"/>
      <c r="EN40" s="637"/>
      <c r="EO40" s="637"/>
      <c r="EP40" s="637"/>
      <c r="EQ40" s="637"/>
      <c r="ER40" s="637"/>
      <c r="ES40" s="637"/>
      <c r="ET40" s="637"/>
      <c r="EU40" s="637"/>
      <c r="EV40" s="637"/>
      <c r="EW40" s="637"/>
      <c r="EX40" s="637"/>
      <c r="EY40" s="637"/>
      <c r="EZ40" s="637"/>
      <c r="FA40" s="637"/>
      <c r="FB40" s="637"/>
      <c r="FC40" s="637"/>
      <c r="FD40" s="637"/>
      <c r="FE40" s="637"/>
      <c r="FF40" s="637"/>
      <c r="FG40" s="637"/>
      <c r="FH40" s="637"/>
      <c r="FI40" s="637"/>
      <c r="FJ40" s="637"/>
      <c r="FK40" s="637"/>
      <c r="FL40" s="637"/>
      <c r="FM40" s="637"/>
      <c r="FN40" s="637"/>
      <c r="FO40" s="637"/>
      <c r="FP40" s="637"/>
      <c r="FQ40" s="637"/>
      <c r="FR40" s="637"/>
      <c r="FS40" s="637"/>
      <c r="FT40" s="637"/>
      <c r="FU40" s="637"/>
      <c r="FV40" s="637"/>
      <c r="FW40" s="637"/>
      <c r="FX40" s="637"/>
      <c r="FY40" s="637"/>
      <c r="FZ40" s="637"/>
      <c r="GA40" s="637"/>
      <c r="GB40" s="637"/>
      <c r="GC40" s="637"/>
      <c r="GD40" s="637"/>
      <c r="GE40" s="637"/>
      <c r="GF40" s="637"/>
      <c r="GG40" s="637"/>
      <c r="GH40" s="637"/>
      <c r="GI40" s="637"/>
      <c r="GJ40" s="637"/>
      <c r="GK40" s="637"/>
      <c r="GL40" s="637"/>
      <c r="GM40" s="637"/>
      <c r="GN40" s="637"/>
      <c r="GO40" s="637"/>
      <c r="GP40" s="637"/>
      <c r="GQ40" s="637"/>
      <c r="GR40" s="637"/>
      <c r="GS40" s="637"/>
      <c r="GT40" s="637"/>
      <c r="GU40" s="637"/>
      <c r="GV40" s="637"/>
      <c r="GW40" s="637"/>
      <c r="GX40" s="637"/>
      <c r="GY40" s="637"/>
      <c r="GZ40" s="637"/>
      <c r="HA40" s="637"/>
      <c r="HB40" s="637"/>
      <c r="HC40" s="637"/>
      <c r="HD40" s="637"/>
      <c r="HE40" s="637"/>
      <c r="HF40" s="637"/>
      <c r="HG40" s="637"/>
      <c r="HH40" s="637"/>
      <c r="HI40" s="637"/>
      <c r="HJ40" s="637"/>
      <c r="HK40" s="637"/>
      <c r="HL40" s="637"/>
      <c r="HM40" s="637"/>
      <c r="HN40" s="637"/>
      <c r="HO40" s="637"/>
      <c r="HP40" s="637"/>
      <c r="HQ40" s="637"/>
      <c r="HR40" s="637"/>
      <c r="HS40" s="637"/>
      <c r="HT40" s="637"/>
      <c r="HU40" s="637"/>
      <c r="HV40" s="637"/>
      <c r="HW40" s="637"/>
      <c r="HX40" s="637"/>
      <c r="HY40" s="637"/>
      <c r="HZ40" s="637"/>
      <c r="IA40" s="637"/>
      <c r="IB40" s="637"/>
      <c r="IC40" s="637"/>
      <c r="ID40" s="637"/>
      <c r="IE40" s="637"/>
      <c r="IF40" s="637"/>
      <c r="IG40" s="637"/>
      <c r="IH40" s="637"/>
      <c r="II40" s="637"/>
      <c r="IJ40" s="637"/>
      <c r="IK40" s="637"/>
      <c r="IL40" s="637"/>
      <c r="IM40" s="637"/>
      <c r="IN40" s="637"/>
      <c r="IO40" s="637"/>
      <c r="IP40" s="637"/>
      <c r="IQ40" s="637"/>
      <c r="IR40" s="637"/>
      <c r="IS40" s="637"/>
      <c r="IT40" s="637"/>
      <c r="IU40" s="637"/>
      <c r="IV40" s="637"/>
      <c r="IW40" s="637"/>
      <c r="IX40" s="637"/>
      <c r="IY40" s="637"/>
      <c r="IZ40" s="637"/>
      <c r="JA40" s="637"/>
      <c r="JB40" s="637"/>
      <c r="JC40" s="637"/>
      <c r="JD40" s="637"/>
      <c r="JE40" s="637"/>
      <c r="JF40" s="637"/>
      <c r="JG40" s="637"/>
      <c r="JH40" s="637"/>
      <c r="JI40" s="637"/>
      <c r="JJ40" s="637"/>
      <c r="JK40" s="637"/>
      <c r="JL40" s="637"/>
      <c r="JM40" s="637"/>
      <c r="JN40" s="637"/>
      <c r="JO40" s="637"/>
      <c r="JP40" s="637"/>
      <c r="JQ40" s="637"/>
      <c r="JR40" s="637"/>
      <c r="JS40" s="637"/>
      <c r="JT40" s="637"/>
      <c r="JU40" s="637"/>
      <c r="JV40" s="637"/>
      <c r="JW40" s="637"/>
      <c r="JX40" s="637"/>
      <c r="JY40" s="637"/>
      <c r="JZ40" s="637"/>
      <c r="KA40" s="637"/>
      <c r="KB40" s="637"/>
      <c r="KC40" s="637"/>
      <c r="KD40" s="637"/>
      <c r="KE40" s="637"/>
      <c r="KF40" s="637"/>
      <c r="KG40" s="637"/>
      <c r="KH40" s="637"/>
      <c r="KI40" s="637"/>
      <c r="KJ40" s="637"/>
      <c r="KK40" s="637"/>
      <c r="KL40" s="637"/>
      <c r="KM40" s="637"/>
      <c r="KN40" s="637"/>
      <c r="KO40" s="637"/>
      <c r="KP40" s="637"/>
      <c r="KQ40" s="637"/>
      <c r="KR40" s="637"/>
      <c r="KS40" s="637"/>
      <c r="KT40" s="637"/>
      <c r="KU40" s="637"/>
      <c r="KV40" s="637"/>
      <c r="KW40" s="637"/>
      <c r="KX40" s="637"/>
      <c r="KY40" s="637"/>
      <c r="KZ40" s="637"/>
      <c r="LA40" s="637"/>
      <c r="LB40" s="637"/>
      <c r="LC40" s="637"/>
      <c r="LD40" s="637"/>
      <c r="LE40" s="637"/>
      <c r="LF40" s="637"/>
      <c r="LG40" s="637"/>
      <c r="LH40" s="637"/>
      <c r="LI40" s="637"/>
      <c r="LJ40" s="637"/>
      <c r="LK40" s="637"/>
      <c r="LL40" s="637"/>
      <c r="LM40" s="637"/>
      <c r="LN40" s="637"/>
      <c r="LO40" s="637"/>
      <c r="LP40" s="637"/>
      <c r="LQ40" s="637"/>
      <c r="LR40" s="637"/>
      <c r="LS40" s="637"/>
      <c r="LT40" s="637"/>
      <c r="LU40" s="637"/>
      <c r="LV40" s="637"/>
      <c r="LW40" s="637"/>
      <c r="LX40" s="637"/>
      <c r="LY40" s="637"/>
      <c r="LZ40" s="637"/>
      <c r="MA40" s="637"/>
      <c r="MB40" s="637"/>
      <c r="MC40" s="637"/>
      <c r="MD40" s="637"/>
      <c r="ME40" s="637"/>
      <c r="MF40" s="637"/>
      <c r="MG40" s="637"/>
      <c r="MH40" s="637"/>
      <c r="MI40" s="637"/>
      <c r="MJ40" s="637"/>
      <c r="MK40" s="637"/>
      <c r="ML40" s="637"/>
      <c r="MM40" s="637"/>
      <c r="MN40" s="637"/>
      <c r="MO40" s="637"/>
      <c r="MP40" s="637"/>
      <c r="MQ40" s="637"/>
      <c r="MR40" s="637"/>
      <c r="MS40" s="637"/>
      <c r="MT40" s="637"/>
      <c r="MU40" s="637"/>
      <c r="MV40" s="637"/>
      <c r="MW40" s="637"/>
      <c r="MX40" s="637"/>
      <c r="MY40" s="637"/>
      <c r="MZ40" s="637"/>
      <c r="NA40" s="637"/>
      <c r="NB40" s="637"/>
      <c r="NC40" s="637"/>
      <c r="ND40" s="637"/>
      <c r="NE40" s="637"/>
      <c r="NF40" s="637"/>
      <c r="NG40" s="637"/>
      <c r="NH40" s="637"/>
      <c r="NI40" s="637"/>
      <c r="NJ40" s="637"/>
      <c r="NK40" s="637"/>
      <c r="NL40" s="637"/>
      <c r="NM40" s="637"/>
      <c r="NN40" s="637"/>
      <c r="NO40" s="637"/>
      <c r="NP40" s="637"/>
      <c r="NQ40" s="637"/>
      <c r="NR40" s="637"/>
      <c r="NS40" s="637"/>
      <c r="NT40" s="637"/>
      <c r="NU40" s="637"/>
      <c r="NV40" s="637"/>
      <c r="NW40" s="637"/>
      <c r="NX40" s="637"/>
      <c r="NY40" s="637"/>
      <c r="NZ40" s="637"/>
      <c r="OA40" s="637"/>
      <c r="OB40" s="637"/>
      <c r="OC40" s="637"/>
      <c r="OD40" s="637"/>
      <c r="OE40" s="637"/>
      <c r="OF40" s="637"/>
      <c r="OG40" s="637"/>
      <c r="OH40" s="637"/>
      <c r="OI40" s="637"/>
      <c r="OJ40" s="637"/>
      <c r="OK40" s="637"/>
      <c r="OL40" s="637"/>
      <c r="OM40" s="637"/>
      <c r="ON40" s="637"/>
      <c r="OO40" s="637"/>
      <c r="OP40" s="637"/>
      <c r="OQ40" s="637"/>
      <c r="OR40" s="637"/>
      <c r="OS40" s="637"/>
      <c r="OT40" s="637"/>
      <c r="OU40" s="637"/>
      <c r="OV40" s="637"/>
      <c r="OW40" s="637"/>
      <c r="OX40" s="637"/>
      <c r="OY40" s="637"/>
      <c r="OZ40" s="637"/>
      <c r="PA40" s="637"/>
      <c r="PB40" s="637"/>
      <c r="PC40" s="637"/>
      <c r="PD40" s="637"/>
      <c r="PE40" s="637"/>
      <c r="PF40" s="637"/>
      <c r="PG40" s="637"/>
      <c r="PH40" s="637"/>
      <c r="PI40" s="637"/>
      <c r="PJ40" s="637"/>
      <c r="PK40" s="637"/>
      <c r="PL40" s="637"/>
      <c r="PM40" s="637"/>
      <c r="PN40" s="637"/>
      <c r="PO40" s="637"/>
      <c r="PP40" s="637"/>
      <c r="PQ40" s="637"/>
      <c r="PR40" s="637"/>
      <c r="PS40" s="637"/>
      <c r="PT40" s="637"/>
      <c r="PU40" s="637"/>
      <c r="PV40" s="637"/>
      <c r="PW40" s="637"/>
      <c r="PX40" s="637"/>
      <c r="PY40" s="637"/>
      <c r="PZ40" s="637"/>
      <c r="QA40" s="637"/>
      <c r="QB40" s="637"/>
      <c r="QC40" s="637"/>
      <c r="QD40" s="637"/>
      <c r="QE40" s="637"/>
      <c r="QF40" s="637"/>
      <c r="QG40" s="637"/>
      <c r="QH40" s="637"/>
      <c r="QI40" s="637"/>
      <c r="QJ40" s="637"/>
      <c r="QK40" s="637"/>
      <c r="QL40" s="637"/>
      <c r="QM40" s="637"/>
      <c r="QN40" s="637"/>
      <c r="QO40" s="637"/>
      <c r="QP40" s="637"/>
      <c r="QQ40" s="637"/>
      <c r="QR40" s="637"/>
      <c r="QS40" s="637"/>
      <c r="QT40" s="637"/>
      <c r="QU40" s="637"/>
      <c r="QV40" s="637"/>
      <c r="QW40" s="637"/>
      <c r="QX40" s="637"/>
      <c r="QY40" s="637"/>
      <c r="QZ40" s="637"/>
      <c r="RA40" s="637"/>
      <c r="RB40" s="637"/>
      <c r="RC40" s="637"/>
      <c r="RD40" s="637"/>
      <c r="RE40" s="637"/>
      <c r="RF40" s="637"/>
      <c r="RG40" s="637"/>
      <c r="RH40" s="637"/>
      <c r="RI40" s="637"/>
      <c r="RJ40" s="637"/>
      <c r="RK40" s="637"/>
      <c r="RL40" s="637"/>
      <c r="RM40" s="637"/>
      <c r="RN40" s="637"/>
      <c r="RO40" s="637"/>
      <c r="RP40" s="637"/>
      <c r="RQ40" s="637"/>
      <c r="RR40" s="637"/>
      <c r="RS40" s="637"/>
      <c r="RT40" s="637"/>
      <c r="RU40" s="637"/>
      <c r="RV40" s="637"/>
      <c r="RW40" s="637"/>
      <c r="RX40" s="637"/>
      <c r="RY40" s="637"/>
      <c r="RZ40" s="637"/>
      <c r="SA40" s="637"/>
      <c r="SB40" s="637"/>
      <c r="SC40" s="637"/>
      <c r="SD40" s="637"/>
      <c r="SE40" s="637"/>
      <c r="SF40" s="637"/>
      <c r="SG40" s="637"/>
      <c r="SH40" s="637"/>
      <c r="SI40" s="637"/>
      <c r="SJ40" s="637"/>
      <c r="SK40" s="637"/>
      <c r="SL40" s="637"/>
      <c r="SM40" s="637"/>
      <c r="SN40" s="637"/>
      <c r="SO40" s="637"/>
      <c r="SP40" s="637"/>
      <c r="SQ40" s="637"/>
      <c r="SR40" s="637"/>
      <c r="SS40" s="637"/>
      <c r="ST40" s="637"/>
      <c r="SU40" s="637"/>
      <c r="SV40" s="637"/>
      <c r="SW40" s="637"/>
      <c r="SX40" s="637"/>
      <c r="SY40" s="637"/>
      <c r="SZ40" s="637"/>
      <c r="TA40" s="637"/>
      <c r="TB40" s="637"/>
      <c r="TC40" s="637"/>
      <c r="TD40" s="637"/>
      <c r="TE40" s="637"/>
      <c r="TF40" s="637"/>
      <c r="TG40" s="637"/>
      <c r="TH40" s="637"/>
      <c r="TI40" s="637"/>
      <c r="TJ40" s="637"/>
      <c r="TK40" s="637"/>
      <c r="TL40" s="637"/>
      <c r="TM40" s="637"/>
      <c r="TN40" s="637"/>
      <c r="TO40" s="637"/>
      <c r="TP40" s="637"/>
      <c r="TQ40" s="637"/>
      <c r="TR40" s="637"/>
      <c r="TS40" s="637"/>
      <c r="TT40" s="637"/>
      <c r="TU40" s="637"/>
      <c r="TV40" s="637"/>
      <c r="TW40" s="637"/>
      <c r="TX40" s="637"/>
      <c r="TY40" s="637"/>
      <c r="TZ40" s="637"/>
      <c r="UA40" s="637"/>
      <c r="UB40" s="637"/>
      <c r="UC40" s="637"/>
      <c r="UD40" s="637"/>
      <c r="UE40" s="637"/>
      <c r="UF40" s="637"/>
      <c r="UG40" s="637"/>
      <c r="UH40" s="637"/>
      <c r="UI40" s="637"/>
      <c r="UJ40" s="637"/>
      <c r="UK40" s="637"/>
      <c r="UL40" s="637"/>
      <c r="UM40" s="637"/>
      <c r="UN40" s="637"/>
      <c r="UO40" s="637"/>
      <c r="UP40" s="637"/>
      <c r="UQ40" s="637"/>
      <c r="UR40" s="637"/>
      <c r="US40" s="637"/>
      <c r="UT40" s="637"/>
      <c r="UU40" s="637"/>
      <c r="UV40" s="637"/>
      <c r="UW40" s="637"/>
      <c r="UX40" s="637"/>
      <c r="UY40" s="637"/>
      <c r="UZ40" s="637"/>
      <c r="VA40" s="637"/>
      <c r="VB40" s="637"/>
      <c r="VC40" s="637"/>
      <c r="VD40" s="637"/>
      <c r="VE40" s="637"/>
      <c r="VF40" s="637"/>
      <c r="VG40" s="637"/>
      <c r="VH40" s="637"/>
      <c r="VI40" s="637"/>
      <c r="VJ40" s="637"/>
      <c r="VK40" s="637"/>
      <c r="VL40" s="637"/>
      <c r="VM40" s="637"/>
      <c r="VN40" s="637"/>
      <c r="VO40" s="637"/>
      <c r="VP40" s="637"/>
      <c r="VQ40" s="637"/>
      <c r="VR40" s="637"/>
      <c r="VS40" s="637"/>
      <c r="VT40" s="637"/>
      <c r="VU40" s="637"/>
      <c r="VV40" s="637"/>
      <c r="VW40" s="637"/>
      <c r="VX40" s="637"/>
      <c r="VY40" s="637"/>
      <c r="VZ40" s="637"/>
      <c r="WA40" s="637"/>
      <c r="WB40" s="637"/>
      <c r="WC40" s="637"/>
      <c r="WD40" s="637"/>
      <c r="WE40" s="637"/>
      <c r="WF40" s="637"/>
      <c r="WG40" s="637"/>
      <c r="WH40" s="637"/>
      <c r="WI40" s="637"/>
      <c r="WJ40" s="637"/>
      <c r="WK40" s="637"/>
      <c r="WL40" s="637"/>
      <c r="WM40" s="637"/>
      <c r="WN40" s="637"/>
      <c r="WO40" s="637"/>
      <c r="WP40" s="637"/>
      <c r="WQ40" s="637"/>
      <c r="WR40" s="637"/>
      <c r="WS40" s="637"/>
      <c r="WT40" s="637"/>
      <c r="WU40" s="637"/>
      <c r="WV40" s="637"/>
      <c r="WW40" s="637"/>
      <c r="WX40" s="637"/>
      <c r="WY40" s="637"/>
      <c r="WZ40" s="637"/>
      <c r="XA40" s="637"/>
      <c r="XB40" s="637"/>
      <c r="XC40" s="637"/>
      <c r="XD40" s="637"/>
      <c r="XE40" s="637"/>
      <c r="XF40" s="637"/>
      <c r="XG40" s="637"/>
      <c r="XH40" s="637"/>
      <c r="XI40" s="637"/>
      <c r="XJ40" s="637"/>
      <c r="XK40" s="637"/>
      <c r="XL40" s="637"/>
      <c r="XM40" s="637"/>
      <c r="XN40" s="637"/>
      <c r="XO40" s="637"/>
      <c r="XP40" s="637"/>
      <c r="XQ40" s="637"/>
      <c r="XR40" s="637"/>
      <c r="XS40" s="637"/>
      <c r="XT40" s="637"/>
      <c r="XU40" s="637"/>
      <c r="XV40" s="637"/>
      <c r="XW40" s="637"/>
      <c r="XX40" s="637"/>
      <c r="XY40" s="637"/>
      <c r="XZ40" s="637"/>
      <c r="YA40" s="637"/>
      <c r="YB40" s="637"/>
      <c r="YC40" s="637"/>
      <c r="YD40" s="637"/>
      <c r="YE40" s="637"/>
      <c r="YF40" s="637"/>
      <c r="YG40" s="637"/>
      <c r="YH40" s="637"/>
      <c r="YI40" s="637"/>
      <c r="YJ40" s="637"/>
      <c r="YK40" s="637"/>
      <c r="YL40" s="637"/>
      <c r="YM40" s="637"/>
      <c r="YN40" s="637"/>
      <c r="YO40" s="637"/>
      <c r="YP40" s="637"/>
      <c r="YQ40" s="637"/>
      <c r="YR40" s="637"/>
      <c r="YS40" s="637"/>
      <c r="YT40" s="637"/>
      <c r="YU40" s="637"/>
      <c r="YV40" s="637"/>
      <c r="YW40" s="637"/>
      <c r="YX40" s="637"/>
      <c r="YY40" s="637"/>
      <c r="YZ40" s="637"/>
      <c r="ZA40" s="637"/>
      <c r="ZB40" s="637"/>
      <c r="ZC40" s="637"/>
      <c r="ZD40" s="637"/>
      <c r="ZE40" s="637"/>
      <c r="ZF40" s="637"/>
      <c r="ZG40" s="637"/>
      <c r="ZH40" s="637"/>
      <c r="ZI40" s="637"/>
      <c r="ZJ40" s="637"/>
      <c r="ZK40" s="637"/>
      <c r="ZL40" s="637"/>
      <c r="ZM40" s="637"/>
      <c r="ZN40" s="637"/>
      <c r="ZO40" s="637"/>
      <c r="ZP40" s="637"/>
      <c r="ZQ40" s="637"/>
      <c r="ZR40" s="637"/>
      <c r="ZS40" s="637"/>
      <c r="ZT40" s="637"/>
      <c r="ZU40" s="637"/>
      <c r="ZV40" s="637"/>
      <c r="ZW40" s="637"/>
      <c r="ZX40" s="637"/>
      <c r="ZY40" s="637"/>
      <c r="ZZ40" s="637"/>
      <c r="AAA40" s="637"/>
      <c r="AAB40" s="637"/>
      <c r="AAC40" s="637"/>
      <c r="AAD40" s="637"/>
      <c r="AAE40" s="637"/>
      <c r="AAF40" s="637"/>
      <c r="AAG40" s="637"/>
      <c r="AAH40" s="637"/>
      <c r="AAI40" s="637"/>
      <c r="AAJ40" s="637"/>
      <c r="AAK40" s="637"/>
      <c r="AAL40" s="637"/>
      <c r="AAM40" s="637"/>
      <c r="AAN40" s="637"/>
      <c r="AAO40" s="637"/>
      <c r="AAP40" s="637"/>
      <c r="AAQ40" s="637"/>
      <c r="AAR40" s="637"/>
      <c r="AAS40" s="637"/>
      <c r="AAT40" s="637"/>
      <c r="AAU40" s="637"/>
      <c r="AAV40" s="637"/>
      <c r="AAW40" s="637"/>
      <c r="AAX40" s="637"/>
      <c r="AAY40" s="637"/>
      <c r="AAZ40" s="637"/>
      <c r="ABA40" s="637"/>
      <c r="ABB40" s="637"/>
      <c r="ABC40" s="637"/>
      <c r="ABD40" s="637"/>
      <c r="ABE40" s="637"/>
      <c r="ABF40" s="637"/>
      <c r="ABG40" s="637"/>
      <c r="ABH40" s="637"/>
      <c r="ABI40" s="637"/>
      <c r="ABJ40" s="637"/>
      <c r="ABK40" s="637"/>
      <c r="ABL40" s="637"/>
      <c r="ABM40" s="637"/>
      <c r="ABN40" s="637"/>
      <c r="ABO40" s="637"/>
      <c r="ABP40" s="637"/>
      <c r="ABQ40" s="637"/>
      <c r="ABR40" s="637"/>
      <c r="ABS40" s="637"/>
      <c r="ABT40" s="637"/>
      <c r="ABU40" s="637"/>
      <c r="ABV40" s="637"/>
      <c r="ABW40" s="637"/>
      <c r="ABX40" s="637"/>
      <c r="ABY40" s="637"/>
      <c r="ABZ40" s="637"/>
      <c r="ACA40" s="637"/>
      <c r="ACB40" s="637"/>
      <c r="ACC40" s="637"/>
      <c r="ACD40" s="637"/>
      <c r="ACE40" s="637"/>
      <c r="ACF40" s="637"/>
      <c r="ACG40" s="637"/>
      <c r="ACH40" s="637"/>
      <c r="ACI40" s="637"/>
      <c r="ACJ40" s="637"/>
      <c r="ACK40" s="637"/>
      <c r="ACL40" s="637"/>
      <c r="ACM40" s="637"/>
      <c r="ACN40" s="637"/>
      <c r="ACO40" s="637"/>
      <c r="ACP40" s="637"/>
      <c r="ACQ40" s="637"/>
      <c r="ACR40" s="637"/>
      <c r="ACS40" s="637"/>
      <c r="ACT40" s="637"/>
      <c r="ACU40" s="637"/>
      <c r="ACV40" s="637"/>
      <c r="ACW40" s="637"/>
      <c r="ACX40" s="637"/>
      <c r="ACY40" s="637"/>
      <c r="ACZ40" s="637"/>
      <c r="ADA40" s="637"/>
      <c r="ADB40" s="637"/>
      <c r="ADC40" s="637"/>
      <c r="ADD40" s="637"/>
      <c r="ADE40" s="637"/>
      <c r="ADF40" s="637"/>
      <c r="ADG40" s="637"/>
      <c r="ADH40" s="637"/>
      <c r="ADI40" s="637"/>
      <c r="ADJ40" s="637"/>
      <c r="ADK40" s="637"/>
      <c r="ADL40" s="637"/>
      <c r="ADM40" s="637"/>
      <c r="ADN40" s="637"/>
      <c r="ADO40" s="637"/>
      <c r="ADP40" s="637"/>
      <c r="ADQ40" s="637"/>
      <c r="ADR40" s="637"/>
      <c r="ADS40" s="637"/>
      <c r="ADT40" s="637"/>
      <c r="ADU40" s="637"/>
      <c r="ADV40" s="637"/>
      <c r="ADW40" s="637"/>
      <c r="ADX40" s="637"/>
      <c r="ADY40" s="637"/>
      <c r="ADZ40" s="637"/>
      <c r="AEA40" s="637"/>
      <c r="AEB40" s="637"/>
      <c r="AEC40" s="637"/>
      <c r="AED40" s="637"/>
      <c r="AEE40" s="637"/>
      <c r="AEF40" s="637"/>
      <c r="AEG40" s="637"/>
      <c r="AEH40" s="637"/>
      <c r="AEI40" s="637"/>
      <c r="AEJ40" s="637"/>
      <c r="AEK40" s="637"/>
      <c r="AEL40" s="637"/>
      <c r="AEM40" s="637"/>
      <c r="AEN40" s="637"/>
      <c r="AEO40" s="637"/>
      <c r="AEP40" s="637"/>
      <c r="AEQ40" s="637"/>
      <c r="AER40" s="637"/>
      <c r="AES40" s="637"/>
      <c r="AET40" s="637"/>
      <c r="AEU40" s="637"/>
      <c r="AEV40" s="637"/>
      <c r="AEW40" s="637"/>
      <c r="AEX40" s="637"/>
      <c r="AEY40" s="637"/>
      <c r="AEZ40" s="637"/>
      <c r="AFA40" s="637"/>
      <c r="AFB40" s="637"/>
      <c r="AFC40" s="637"/>
      <c r="AFD40" s="637"/>
      <c r="AFE40" s="637"/>
      <c r="AFF40" s="637"/>
      <c r="AFG40" s="637"/>
      <c r="AFH40" s="637"/>
      <c r="AFI40" s="637"/>
      <c r="AFJ40" s="637"/>
      <c r="AFK40" s="637"/>
      <c r="AFL40" s="637"/>
      <c r="AFM40" s="637"/>
      <c r="AFN40" s="637"/>
      <c r="AFO40" s="637"/>
      <c r="AFP40" s="637"/>
      <c r="AFQ40" s="637"/>
      <c r="AFR40" s="637"/>
      <c r="AFS40" s="637"/>
      <c r="AFT40" s="637"/>
      <c r="AFU40" s="637"/>
      <c r="AFV40" s="637"/>
      <c r="AFW40" s="637"/>
      <c r="AFX40" s="637"/>
      <c r="AFY40" s="637"/>
      <c r="AFZ40" s="637"/>
      <c r="AGA40" s="637"/>
      <c r="AGB40" s="637"/>
      <c r="AGC40" s="637"/>
      <c r="AGD40" s="637"/>
      <c r="AGE40" s="637"/>
      <c r="AGF40" s="637"/>
      <c r="AGG40" s="637"/>
      <c r="AGH40" s="637"/>
      <c r="AGI40" s="637"/>
      <c r="AGJ40" s="637"/>
      <c r="AGK40" s="637"/>
      <c r="AGL40" s="637"/>
      <c r="AGM40" s="637"/>
      <c r="AGN40" s="637"/>
      <c r="AGO40" s="637"/>
      <c r="AGP40" s="637"/>
      <c r="AGQ40" s="637"/>
      <c r="AGR40" s="637"/>
      <c r="AGS40" s="637"/>
      <c r="AGT40" s="637"/>
      <c r="AGU40" s="637"/>
      <c r="AGV40" s="637"/>
      <c r="AGW40" s="637"/>
      <c r="AGX40" s="637"/>
      <c r="AGY40" s="637"/>
      <c r="AGZ40" s="637"/>
      <c r="AHA40" s="637"/>
      <c r="AHB40" s="637"/>
      <c r="AHC40" s="637"/>
      <c r="AHD40" s="637"/>
      <c r="AHE40" s="637"/>
      <c r="AHF40" s="637"/>
      <c r="AHG40" s="637"/>
      <c r="AHH40" s="637"/>
      <c r="AHI40" s="637"/>
      <c r="AHJ40" s="637"/>
      <c r="AHK40" s="637"/>
      <c r="AHL40" s="637"/>
      <c r="AHM40" s="637"/>
      <c r="AHN40" s="637"/>
      <c r="AHO40" s="637"/>
      <c r="AHP40" s="637"/>
      <c r="AHQ40" s="637"/>
      <c r="AHR40" s="637"/>
      <c r="AHS40" s="637"/>
      <c r="AHT40" s="637"/>
      <c r="AHU40" s="637"/>
      <c r="AHV40" s="637"/>
      <c r="AHW40" s="637"/>
      <c r="AHX40" s="637"/>
      <c r="AHY40" s="637"/>
      <c r="AHZ40" s="637"/>
      <c r="AIA40" s="637"/>
      <c r="AIB40" s="637"/>
      <c r="AIC40" s="637"/>
      <c r="AID40" s="637"/>
      <c r="AIE40" s="637"/>
      <c r="AIF40" s="637"/>
      <c r="AIG40" s="637"/>
      <c r="AIH40" s="637"/>
      <c r="AII40" s="637"/>
      <c r="AIJ40" s="637"/>
      <c r="AIK40" s="637"/>
      <c r="AIL40" s="637"/>
      <c r="AIM40" s="637"/>
      <c r="AIN40" s="637"/>
      <c r="AIO40" s="637"/>
      <c r="AIP40" s="637"/>
      <c r="AIQ40" s="637"/>
      <c r="AIR40" s="637"/>
      <c r="AIS40" s="637"/>
      <c r="AIT40" s="637"/>
      <c r="AIU40" s="637"/>
      <c r="AIV40" s="637"/>
      <c r="AIW40" s="637"/>
      <c r="AIX40" s="637"/>
      <c r="AIY40" s="637"/>
      <c r="AIZ40" s="637"/>
      <c r="AJA40" s="637"/>
      <c r="AJB40" s="637"/>
      <c r="AJC40" s="637"/>
      <c r="AJD40" s="637"/>
      <c r="AJE40" s="637"/>
      <c r="AJF40" s="637"/>
      <c r="AJG40" s="637"/>
      <c r="AJH40" s="637"/>
      <c r="AJI40" s="637"/>
      <c r="AJJ40" s="637"/>
      <c r="AJK40" s="637"/>
      <c r="AJL40" s="637"/>
      <c r="AJM40" s="637"/>
      <c r="AJN40" s="637"/>
      <c r="AJO40" s="637"/>
      <c r="AJP40" s="637"/>
      <c r="AJQ40" s="637"/>
      <c r="AJR40" s="637"/>
      <c r="AJS40" s="637"/>
      <c r="AJT40" s="637"/>
      <c r="AJU40" s="637"/>
      <c r="AJV40" s="637"/>
      <c r="AJW40" s="637"/>
      <c r="AJX40" s="637"/>
      <c r="AJY40" s="637"/>
      <c r="AJZ40" s="637"/>
      <c r="AKA40" s="637"/>
      <c r="AKB40" s="637"/>
      <c r="AKC40" s="637"/>
      <c r="AKD40" s="637"/>
      <c r="AKE40" s="637"/>
      <c r="AKF40" s="637"/>
      <c r="AKG40" s="637"/>
      <c r="AKH40" s="637"/>
      <c r="AKI40" s="637"/>
      <c r="AKJ40" s="637"/>
      <c r="AKK40" s="637"/>
      <c r="AKL40" s="637"/>
      <c r="AKM40" s="637"/>
      <c r="AKN40" s="637"/>
      <c r="AKO40" s="637"/>
      <c r="AKP40" s="637"/>
      <c r="AKQ40" s="637"/>
      <c r="AKR40" s="637"/>
      <c r="AKS40" s="637"/>
      <c r="AKT40" s="637"/>
      <c r="AKU40" s="637"/>
      <c r="AKV40" s="637"/>
      <c r="AKW40" s="637"/>
      <c r="AKX40" s="637"/>
      <c r="AKY40" s="637"/>
      <c r="AKZ40" s="637"/>
      <c r="ALA40" s="637"/>
      <c r="ALB40" s="637"/>
      <c r="ALC40" s="637"/>
      <c r="ALD40" s="637"/>
      <c r="ALE40" s="637"/>
      <c r="ALF40" s="637"/>
      <c r="ALG40" s="637"/>
      <c r="ALH40" s="637"/>
      <c r="ALI40" s="637"/>
      <c r="ALJ40" s="637"/>
      <c r="ALK40" s="637"/>
      <c r="ALL40" s="637"/>
      <c r="ALM40" s="637"/>
      <c r="ALN40" s="637"/>
      <c r="ALO40" s="637"/>
      <c r="ALP40" s="637"/>
      <c r="ALQ40" s="637"/>
      <c r="ALR40" s="637"/>
      <c r="ALS40" s="637"/>
      <c r="ALT40" s="637"/>
      <c r="ALU40" s="637"/>
      <c r="ALV40" s="637"/>
      <c r="ALW40" s="637"/>
      <c r="ALX40" s="637"/>
      <c r="ALY40" s="637"/>
      <c r="ALZ40" s="637"/>
      <c r="AMA40" s="637"/>
      <c r="AMB40" s="637"/>
      <c r="AMC40" s="637"/>
      <c r="AMD40" s="637"/>
      <c r="AME40" s="637"/>
      <c r="AMF40" s="637"/>
      <c r="AMG40" s="637"/>
      <c r="AMH40" s="637"/>
      <c r="AMI40" s="637"/>
      <c r="AMJ40" s="637"/>
    </row>
    <row r="41" spans="1:1024" s="638" customFormat="1" ht="12.75">
      <c r="A41" s="984"/>
      <c r="B41" s="985"/>
      <c r="C41" s="986"/>
      <c r="D41" s="981" t="s">
        <v>861</v>
      </c>
      <c r="E41" s="982"/>
      <c r="F41" s="982">
        <f t="shared" si="2"/>
        <v>73985</v>
      </c>
      <c r="G41" s="983">
        <f>57139-311</f>
        <v>56828</v>
      </c>
      <c r="H41" s="983">
        <f>16811+7</f>
        <v>16818</v>
      </c>
      <c r="I41" s="983">
        <v>339</v>
      </c>
      <c r="J41" s="983"/>
      <c r="K41" s="983"/>
      <c r="L41" s="983"/>
      <c r="M41" s="983"/>
      <c r="N41" s="983"/>
      <c r="O41" s="983"/>
      <c r="P41" s="983"/>
      <c r="Q41" s="983"/>
      <c r="R41" s="984"/>
      <c r="S41" s="637"/>
      <c r="T41" s="637"/>
      <c r="U41" s="637"/>
      <c r="V41" s="637"/>
      <c r="W41" s="637"/>
      <c r="X41" s="637"/>
      <c r="Y41" s="637"/>
      <c r="Z41" s="637"/>
      <c r="AA41" s="637"/>
      <c r="AB41" s="637"/>
      <c r="AC41" s="637"/>
      <c r="AD41" s="637"/>
      <c r="AE41" s="637"/>
      <c r="AF41" s="637"/>
      <c r="AG41" s="637"/>
      <c r="AH41" s="637"/>
      <c r="AI41" s="637"/>
      <c r="AJ41" s="637"/>
      <c r="AK41" s="637"/>
      <c r="AL41" s="637"/>
      <c r="AM41" s="637"/>
      <c r="AN41" s="637"/>
      <c r="AO41" s="637"/>
      <c r="AP41" s="637"/>
      <c r="AQ41" s="637"/>
      <c r="AR41" s="637"/>
      <c r="AS41" s="637"/>
      <c r="AT41" s="637"/>
      <c r="AU41" s="637"/>
      <c r="AV41" s="637"/>
      <c r="AW41" s="637"/>
      <c r="AX41" s="637"/>
      <c r="AY41" s="637"/>
      <c r="AZ41" s="637"/>
      <c r="BA41" s="637"/>
      <c r="BB41" s="637"/>
      <c r="BC41" s="637"/>
      <c r="BD41" s="637"/>
      <c r="BE41" s="637"/>
      <c r="BF41" s="637"/>
      <c r="BG41" s="637"/>
      <c r="BH41" s="637"/>
      <c r="BI41" s="637"/>
      <c r="BJ41" s="637"/>
      <c r="BK41" s="637"/>
      <c r="BL41" s="637"/>
      <c r="BM41" s="637"/>
      <c r="BN41" s="637"/>
      <c r="BO41" s="637"/>
      <c r="BP41" s="637"/>
      <c r="BQ41" s="637"/>
      <c r="BR41" s="637"/>
      <c r="BS41" s="637"/>
      <c r="BT41" s="637"/>
      <c r="BU41" s="637"/>
      <c r="BV41" s="637"/>
      <c r="BW41" s="637"/>
      <c r="BX41" s="637"/>
      <c r="BY41" s="637"/>
      <c r="BZ41" s="637"/>
      <c r="CA41" s="637"/>
      <c r="CB41" s="637"/>
      <c r="CC41" s="637"/>
      <c r="CD41" s="637"/>
      <c r="CE41" s="637"/>
      <c r="CF41" s="637"/>
      <c r="CG41" s="637"/>
      <c r="CH41" s="637"/>
      <c r="CI41" s="637"/>
      <c r="CJ41" s="637"/>
      <c r="CK41" s="637"/>
      <c r="CL41" s="637"/>
      <c r="CM41" s="637"/>
      <c r="CN41" s="637"/>
      <c r="CO41" s="637"/>
      <c r="CP41" s="637"/>
      <c r="CQ41" s="637"/>
      <c r="CR41" s="637"/>
      <c r="CS41" s="637"/>
      <c r="CT41" s="637"/>
      <c r="CU41" s="637"/>
      <c r="CV41" s="637"/>
      <c r="CW41" s="637"/>
      <c r="CX41" s="637"/>
      <c r="CY41" s="637"/>
      <c r="CZ41" s="637"/>
      <c r="DA41" s="637"/>
      <c r="DB41" s="637"/>
      <c r="DC41" s="637"/>
      <c r="DD41" s="637"/>
      <c r="DE41" s="637"/>
      <c r="DF41" s="637"/>
      <c r="DG41" s="637"/>
      <c r="DH41" s="637"/>
      <c r="DI41" s="637"/>
      <c r="DJ41" s="637"/>
      <c r="DK41" s="637"/>
      <c r="DL41" s="637"/>
      <c r="DM41" s="637"/>
      <c r="DN41" s="637"/>
      <c r="DO41" s="637"/>
      <c r="DP41" s="637"/>
      <c r="DQ41" s="637"/>
      <c r="DR41" s="637"/>
      <c r="DS41" s="637"/>
      <c r="DT41" s="637"/>
      <c r="DU41" s="637"/>
      <c r="DV41" s="637"/>
      <c r="DW41" s="637"/>
      <c r="DX41" s="637"/>
      <c r="DY41" s="637"/>
      <c r="DZ41" s="637"/>
      <c r="EA41" s="637"/>
      <c r="EB41" s="637"/>
      <c r="EC41" s="637"/>
      <c r="ED41" s="637"/>
      <c r="EE41" s="637"/>
      <c r="EF41" s="637"/>
      <c r="EG41" s="637"/>
      <c r="EH41" s="637"/>
      <c r="EI41" s="637"/>
      <c r="EJ41" s="637"/>
      <c r="EK41" s="637"/>
      <c r="EL41" s="637"/>
      <c r="EM41" s="637"/>
      <c r="EN41" s="637"/>
      <c r="EO41" s="637"/>
      <c r="EP41" s="637"/>
      <c r="EQ41" s="637"/>
      <c r="ER41" s="637"/>
      <c r="ES41" s="637"/>
      <c r="ET41" s="637"/>
      <c r="EU41" s="637"/>
      <c r="EV41" s="637"/>
      <c r="EW41" s="637"/>
      <c r="EX41" s="637"/>
      <c r="EY41" s="637"/>
      <c r="EZ41" s="637"/>
      <c r="FA41" s="637"/>
      <c r="FB41" s="637"/>
      <c r="FC41" s="637"/>
      <c r="FD41" s="637"/>
      <c r="FE41" s="637"/>
      <c r="FF41" s="637"/>
      <c r="FG41" s="637"/>
      <c r="FH41" s="637"/>
      <c r="FI41" s="637"/>
      <c r="FJ41" s="637"/>
      <c r="FK41" s="637"/>
      <c r="FL41" s="637"/>
      <c r="FM41" s="637"/>
      <c r="FN41" s="637"/>
      <c r="FO41" s="637"/>
      <c r="FP41" s="637"/>
      <c r="FQ41" s="637"/>
      <c r="FR41" s="637"/>
      <c r="FS41" s="637"/>
      <c r="FT41" s="637"/>
      <c r="FU41" s="637"/>
      <c r="FV41" s="637"/>
      <c r="FW41" s="637"/>
      <c r="FX41" s="637"/>
      <c r="FY41" s="637"/>
      <c r="FZ41" s="637"/>
      <c r="GA41" s="637"/>
      <c r="GB41" s="637"/>
      <c r="GC41" s="637"/>
      <c r="GD41" s="637"/>
      <c r="GE41" s="637"/>
      <c r="GF41" s="637"/>
      <c r="GG41" s="637"/>
      <c r="GH41" s="637"/>
      <c r="GI41" s="637"/>
      <c r="GJ41" s="637"/>
      <c r="GK41" s="637"/>
      <c r="GL41" s="637"/>
      <c r="GM41" s="637"/>
      <c r="GN41" s="637"/>
      <c r="GO41" s="637"/>
      <c r="GP41" s="637"/>
      <c r="GQ41" s="637"/>
      <c r="GR41" s="637"/>
      <c r="GS41" s="637"/>
      <c r="GT41" s="637"/>
      <c r="GU41" s="637"/>
      <c r="GV41" s="637"/>
      <c r="GW41" s="637"/>
      <c r="GX41" s="637"/>
      <c r="GY41" s="637"/>
      <c r="GZ41" s="637"/>
      <c r="HA41" s="637"/>
      <c r="HB41" s="637"/>
      <c r="HC41" s="637"/>
      <c r="HD41" s="637"/>
      <c r="HE41" s="637"/>
      <c r="HF41" s="637"/>
      <c r="HG41" s="637"/>
      <c r="HH41" s="637"/>
      <c r="HI41" s="637"/>
      <c r="HJ41" s="637"/>
      <c r="HK41" s="637"/>
      <c r="HL41" s="637"/>
      <c r="HM41" s="637"/>
      <c r="HN41" s="637"/>
      <c r="HO41" s="637"/>
      <c r="HP41" s="637"/>
      <c r="HQ41" s="637"/>
      <c r="HR41" s="637"/>
      <c r="HS41" s="637"/>
      <c r="HT41" s="637"/>
      <c r="HU41" s="637"/>
      <c r="HV41" s="637"/>
      <c r="HW41" s="637"/>
      <c r="HX41" s="637"/>
      <c r="HY41" s="637"/>
      <c r="HZ41" s="637"/>
      <c r="IA41" s="637"/>
      <c r="IB41" s="637"/>
      <c r="IC41" s="637"/>
      <c r="ID41" s="637"/>
      <c r="IE41" s="637"/>
      <c r="IF41" s="637"/>
      <c r="IG41" s="637"/>
      <c r="IH41" s="637"/>
      <c r="II41" s="637"/>
      <c r="IJ41" s="637"/>
      <c r="IK41" s="637"/>
      <c r="IL41" s="637"/>
      <c r="IM41" s="637"/>
      <c r="IN41" s="637"/>
      <c r="IO41" s="637"/>
      <c r="IP41" s="637"/>
      <c r="IQ41" s="637"/>
      <c r="IR41" s="637"/>
      <c r="IS41" s="637"/>
      <c r="IT41" s="637"/>
      <c r="IU41" s="637"/>
      <c r="IV41" s="637"/>
      <c r="IW41" s="637"/>
      <c r="IX41" s="637"/>
      <c r="IY41" s="637"/>
      <c r="IZ41" s="637"/>
      <c r="JA41" s="637"/>
      <c r="JB41" s="637"/>
      <c r="JC41" s="637"/>
      <c r="JD41" s="637"/>
      <c r="JE41" s="637"/>
      <c r="JF41" s="637"/>
      <c r="JG41" s="637"/>
      <c r="JH41" s="637"/>
      <c r="JI41" s="637"/>
      <c r="JJ41" s="637"/>
      <c r="JK41" s="637"/>
      <c r="JL41" s="637"/>
      <c r="JM41" s="637"/>
      <c r="JN41" s="637"/>
      <c r="JO41" s="637"/>
      <c r="JP41" s="637"/>
      <c r="JQ41" s="637"/>
      <c r="JR41" s="637"/>
      <c r="JS41" s="637"/>
      <c r="JT41" s="637"/>
      <c r="JU41" s="637"/>
      <c r="JV41" s="637"/>
      <c r="JW41" s="637"/>
      <c r="JX41" s="637"/>
      <c r="JY41" s="637"/>
      <c r="JZ41" s="637"/>
      <c r="KA41" s="637"/>
      <c r="KB41" s="637"/>
      <c r="KC41" s="637"/>
      <c r="KD41" s="637"/>
      <c r="KE41" s="637"/>
      <c r="KF41" s="637"/>
      <c r="KG41" s="637"/>
      <c r="KH41" s="637"/>
      <c r="KI41" s="637"/>
      <c r="KJ41" s="637"/>
      <c r="KK41" s="637"/>
      <c r="KL41" s="637"/>
      <c r="KM41" s="637"/>
      <c r="KN41" s="637"/>
      <c r="KO41" s="637"/>
      <c r="KP41" s="637"/>
      <c r="KQ41" s="637"/>
      <c r="KR41" s="637"/>
      <c r="KS41" s="637"/>
      <c r="KT41" s="637"/>
      <c r="KU41" s="637"/>
      <c r="KV41" s="637"/>
      <c r="KW41" s="637"/>
      <c r="KX41" s="637"/>
      <c r="KY41" s="637"/>
      <c r="KZ41" s="637"/>
      <c r="LA41" s="637"/>
      <c r="LB41" s="637"/>
      <c r="LC41" s="637"/>
      <c r="LD41" s="637"/>
      <c r="LE41" s="637"/>
      <c r="LF41" s="637"/>
      <c r="LG41" s="637"/>
      <c r="LH41" s="637"/>
      <c r="LI41" s="637"/>
      <c r="LJ41" s="637"/>
      <c r="LK41" s="637"/>
      <c r="LL41" s="637"/>
      <c r="LM41" s="637"/>
      <c r="LN41" s="637"/>
      <c r="LO41" s="637"/>
      <c r="LP41" s="637"/>
      <c r="LQ41" s="637"/>
      <c r="LR41" s="637"/>
      <c r="LS41" s="637"/>
      <c r="LT41" s="637"/>
      <c r="LU41" s="637"/>
      <c r="LV41" s="637"/>
      <c r="LW41" s="637"/>
      <c r="LX41" s="637"/>
      <c r="LY41" s="637"/>
      <c r="LZ41" s="637"/>
      <c r="MA41" s="637"/>
      <c r="MB41" s="637"/>
      <c r="MC41" s="637"/>
      <c r="MD41" s="637"/>
      <c r="ME41" s="637"/>
      <c r="MF41" s="637"/>
      <c r="MG41" s="637"/>
      <c r="MH41" s="637"/>
      <c r="MI41" s="637"/>
      <c r="MJ41" s="637"/>
      <c r="MK41" s="637"/>
      <c r="ML41" s="637"/>
      <c r="MM41" s="637"/>
      <c r="MN41" s="637"/>
      <c r="MO41" s="637"/>
      <c r="MP41" s="637"/>
      <c r="MQ41" s="637"/>
      <c r="MR41" s="637"/>
      <c r="MS41" s="637"/>
      <c r="MT41" s="637"/>
      <c r="MU41" s="637"/>
      <c r="MV41" s="637"/>
      <c r="MW41" s="637"/>
      <c r="MX41" s="637"/>
      <c r="MY41" s="637"/>
      <c r="MZ41" s="637"/>
      <c r="NA41" s="637"/>
      <c r="NB41" s="637"/>
      <c r="NC41" s="637"/>
      <c r="ND41" s="637"/>
      <c r="NE41" s="637"/>
      <c r="NF41" s="637"/>
      <c r="NG41" s="637"/>
      <c r="NH41" s="637"/>
      <c r="NI41" s="637"/>
      <c r="NJ41" s="637"/>
      <c r="NK41" s="637"/>
      <c r="NL41" s="637"/>
      <c r="NM41" s="637"/>
      <c r="NN41" s="637"/>
      <c r="NO41" s="637"/>
      <c r="NP41" s="637"/>
      <c r="NQ41" s="637"/>
      <c r="NR41" s="637"/>
      <c r="NS41" s="637"/>
      <c r="NT41" s="637"/>
      <c r="NU41" s="637"/>
      <c r="NV41" s="637"/>
      <c r="NW41" s="637"/>
      <c r="NX41" s="637"/>
      <c r="NY41" s="637"/>
      <c r="NZ41" s="637"/>
      <c r="OA41" s="637"/>
      <c r="OB41" s="637"/>
      <c r="OC41" s="637"/>
      <c r="OD41" s="637"/>
      <c r="OE41" s="637"/>
      <c r="OF41" s="637"/>
      <c r="OG41" s="637"/>
      <c r="OH41" s="637"/>
      <c r="OI41" s="637"/>
      <c r="OJ41" s="637"/>
      <c r="OK41" s="637"/>
      <c r="OL41" s="637"/>
      <c r="OM41" s="637"/>
      <c r="ON41" s="637"/>
      <c r="OO41" s="637"/>
      <c r="OP41" s="637"/>
      <c r="OQ41" s="637"/>
      <c r="OR41" s="637"/>
      <c r="OS41" s="637"/>
      <c r="OT41" s="637"/>
      <c r="OU41" s="637"/>
      <c r="OV41" s="637"/>
      <c r="OW41" s="637"/>
      <c r="OX41" s="637"/>
      <c r="OY41" s="637"/>
      <c r="OZ41" s="637"/>
      <c r="PA41" s="637"/>
      <c r="PB41" s="637"/>
      <c r="PC41" s="637"/>
      <c r="PD41" s="637"/>
      <c r="PE41" s="637"/>
      <c r="PF41" s="637"/>
      <c r="PG41" s="637"/>
      <c r="PH41" s="637"/>
      <c r="PI41" s="637"/>
      <c r="PJ41" s="637"/>
      <c r="PK41" s="637"/>
      <c r="PL41" s="637"/>
      <c r="PM41" s="637"/>
      <c r="PN41" s="637"/>
      <c r="PO41" s="637"/>
      <c r="PP41" s="637"/>
      <c r="PQ41" s="637"/>
      <c r="PR41" s="637"/>
      <c r="PS41" s="637"/>
      <c r="PT41" s="637"/>
      <c r="PU41" s="637"/>
      <c r="PV41" s="637"/>
      <c r="PW41" s="637"/>
      <c r="PX41" s="637"/>
      <c r="PY41" s="637"/>
      <c r="PZ41" s="637"/>
      <c r="QA41" s="637"/>
      <c r="QB41" s="637"/>
      <c r="QC41" s="637"/>
      <c r="QD41" s="637"/>
      <c r="QE41" s="637"/>
      <c r="QF41" s="637"/>
      <c r="QG41" s="637"/>
      <c r="QH41" s="637"/>
      <c r="QI41" s="637"/>
      <c r="QJ41" s="637"/>
      <c r="QK41" s="637"/>
      <c r="QL41" s="637"/>
      <c r="QM41" s="637"/>
      <c r="QN41" s="637"/>
      <c r="QO41" s="637"/>
      <c r="QP41" s="637"/>
      <c r="QQ41" s="637"/>
      <c r="QR41" s="637"/>
      <c r="QS41" s="637"/>
      <c r="QT41" s="637"/>
      <c r="QU41" s="637"/>
      <c r="QV41" s="637"/>
      <c r="QW41" s="637"/>
      <c r="QX41" s="637"/>
      <c r="QY41" s="637"/>
      <c r="QZ41" s="637"/>
      <c r="RA41" s="637"/>
      <c r="RB41" s="637"/>
      <c r="RC41" s="637"/>
      <c r="RD41" s="637"/>
      <c r="RE41" s="637"/>
      <c r="RF41" s="637"/>
      <c r="RG41" s="637"/>
      <c r="RH41" s="637"/>
      <c r="RI41" s="637"/>
      <c r="RJ41" s="637"/>
      <c r="RK41" s="637"/>
      <c r="RL41" s="637"/>
      <c r="RM41" s="637"/>
      <c r="RN41" s="637"/>
      <c r="RO41" s="637"/>
      <c r="RP41" s="637"/>
      <c r="RQ41" s="637"/>
      <c r="RR41" s="637"/>
      <c r="RS41" s="637"/>
      <c r="RT41" s="637"/>
      <c r="RU41" s="637"/>
      <c r="RV41" s="637"/>
      <c r="RW41" s="637"/>
      <c r="RX41" s="637"/>
      <c r="RY41" s="637"/>
      <c r="RZ41" s="637"/>
      <c r="SA41" s="637"/>
      <c r="SB41" s="637"/>
      <c r="SC41" s="637"/>
      <c r="SD41" s="637"/>
      <c r="SE41" s="637"/>
      <c r="SF41" s="637"/>
      <c r="SG41" s="637"/>
      <c r="SH41" s="637"/>
      <c r="SI41" s="637"/>
      <c r="SJ41" s="637"/>
      <c r="SK41" s="637"/>
      <c r="SL41" s="637"/>
      <c r="SM41" s="637"/>
      <c r="SN41" s="637"/>
      <c r="SO41" s="637"/>
      <c r="SP41" s="637"/>
      <c r="SQ41" s="637"/>
      <c r="SR41" s="637"/>
      <c r="SS41" s="637"/>
      <c r="ST41" s="637"/>
      <c r="SU41" s="637"/>
      <c r="SV41" s="637"/>
      <c r="SW41" s="637"/>
      <c r="SX41" s="637"/>
      <c r="SY41" s="637"/>
      <c r="SZ41" s="637"/>
      <c r="TA41" s="637"/>
      <c r="TB41" s="637"/>
      <c r="TC41" s="637"/>
      <c r="TD41" s="637"/>
      <c r="TE41" s="637"/>
      <c r="TF41" s="637"/>
      <c r="TG41" s="637"/>
      <c r="TH41" s="637"/>
      <c r="TI41" s="637"/>
      <c r="TJ41" s="637"/>
      <c r="TK41" s="637"/>
      <c r="TL41" s="637"/>
      <c r="TM41" s="637"/>
      <c r="TN41" s="637"/>
      <c r="TO41" s="637"/>
      <c r="TP41" s="637"/>
      <c r="TQ41" s="637"/>
      <c r="TR41" s="637"/>
      <c r="TS41" s="637"/>
      <c r="TT41" s="637"/>
      <c r="TU41" s="637"/>
      <c r="TV41" s="637"/>
      <c r="TW41" s="637"/>
      <c r="TX41" s="637"/>
      <c r="TY41" s="637"/>
      <c r="TZ41" s="637"/>
      <c r="UA41" s="637"/>
      <c r="UB41" s="637"/>
      <c r="UC41" s="637"/>
      <c r="UD41" s="637"/>
      <c r="UE41" s="637"/>
      <c r="UF41" s="637"/>
      <c r="UG41" s="637"/>
      <c r="UH41" s="637"/>
      <c r="UI41" s="637"/>
      <c r="UJ41" s="637"/>
      <c r="UK41" s="637"/>
      <c r="UL41" s="637"/>
      <c r="UM41" s="637"/>
      <c r="UN41" s="637"/>
      <c r="UO41" s="637"/>
      <c r="UP41" s="637"/>
      <c r="UQ41" s="637"/>
      <c r="UR41" s="637"/>
      <c r="US41" s="637"/>
      <c r="UT41" s="637"/>
      <c r="UU41" s="637"/>
      <c r="UV41" s="637"/>
      <c r="UW41" s="637"/>
      <c r="UX41" s="637"/>
      <c r="UY41" s="637"/>
      <c r="UZ41" s="637"/>
      <c r="VA41" s="637"/>
      <c r="VB41" s="637"/>
      <c r="VC41" s="637"/>
      <c r="VD41" s="637"/>
      <c r="VE41" s="637"/>
      <c r="VF41" s="637"/>
      <c r="VG41" s="637"/>
      <c r="VH41" s="637"/>
      <c r="VI41" s="637"/>
      <c r="VJ41" s="637"/>
      <c r="VK41" s="637"/>
      <c r="VL41" s="637"/>
      <c r="VM41" s="637"/>
      <c r="VN41" s="637"/>
      <c r="VO41" s="637"/>
      <c r="VP41" s="637"/>
      <c r="VQ41" s="637"/>
      <c r="VR41" s="637"/>
      <c r="VS41" s="637"/>
      <c r="VT41" s="637"/>
      <c r="VU41" s="637"/>
      <c r="VV41" s="637"/>
      <c r="VW41" s="637"/>
      <c r="VX41" s="637"/>
      <c r="VY41" s="637"/>
      <c r="VZ41" s="637"/>
      <c r="WA41" s="637"/>
      <c r="WB41" s="637"/>
      <c r="WC41" s="637"/>
      <c r="WD41" s="637"/>
      <c r="WE41" s="637"/>
      <c r="WF41" s="637"/>
      <c r="WG41" s="637"/>
      <c r="WH41" s="637"/>
      <c r="WI41" s="637"/>
      <c r="WJ41" s="637"/>
      <c r="WK41" s="637"/>
      <c r="WL41" s="637"/>
      <c r="WM41" s="637"/>
      <c r="WN41" s="637"/>
      <c r="WO41" s="637"/>
      <c r="WP41" s="637"/>
      <c r="WQ41" s="637"/>
      <c r="WR41" s="637"/>
      <c r="WS41" s="637"/>
      <c r="WT41" s="637"/>
      <c r="WU41" s="637"/>
      <c r="WV41" s="637"/>
      <c r="WW41" s="637"/>
      <c r="WX41" s="637"/>
      <c r="WY41" s="637"/>
      <c r="WZ41" s="637"/>
      <c r="XA41" s="637"/>
      <c r="XB41" s="637"/>
      <c r="XC41" s="637"/>
      <c r="XD41" s="637"/>
      <c r="XE41" s="637"/>
      <c r="XF41" s="637"/>
      <c r="XG41" s="637"/>
      <c r="XH41" s="637"/>
      <c r="XI41" s="637"/>
      <c r="XJ41" s="637"/>
      <c r="XK41" s="637"/>
      <c r="XL41" s="637"/>
      <c r="XM41" s="637"/>
      <c r="XN41" s="637"/>
      <c r="XO41" s="637"/>
      <c r="XP41" s="637"/>
      <c r="XQ41" s="637"/>
      <c r="XR41" s="637"/>
      <c r="XS41" s="637"/>
      <c r="XT41" s="637"/>
      <c r="XU41" s="637"/>
      <c r="XV41" s="637"/>
      <c r="XW41" s="637"/>
      <c r="XX41" s="637"/>
      <c r="XY41" s="637"/>
      <c r="XZ41" s="637"/>
      <c r="YA41" s="637"/>
      <c r="YB41" s="637"/>
      <c r="YC41" s="637"/>
      <c r="YD41" s="637"/>
      <c r="YE41" s="637"/>
      <c r="YF41" s="637"/>
      <c r="YG41" s="637"/>
      <c r="YH41" s="637"/>
      <c r="YI41" s="637"/>
      <c r="YJ41" s="637"/>
      <c r="YK41" s="637"/>
      <c r="YL41" s="637"/>
      <c r="YM41" s="637"/>
      <c r="YN41" s="637"/>
      <c r="YO41" s="637"/>
      <c r="YP41" s="637"/>
      <c r="YQ41" s="637"/>
      <c r="YR41" s="637"/>
      <c r="YS41" s="637"/>
      <c r="YT41" s="637"/>
      <c r="YU41" s="637"/>
      <c r="YV41" s="637"/>
      <c r="YW41" s="637"/>
      <c r="YX41" s="637"/>
      <c r="YY41" s="637"/>
      <c r="YZ41" s="637"/>
      <c r="ZA41" s="637"/>
      <c r="ZB41" s="637"/>
      <c r="ZC41" s="637"/>
      <c r="ZD41" s="637"/>
      <c r="ZE41" s="637"/>
      <c r="ZF41" s="637"/>
      <c r="ZG41" s="637"/>
      <c r="ZH41" s="637"/>
      <c r="ZI41" s="637"/>
      <c r="ZJ41" s="637"/>
      <c r="ZK41" s="637"/>
      <c r="ZL41" s="637"/>
      <c r="ZM41" s="637"/>
      <c r="ZN41" s="637"/>
      <c r="ZO41" s="637"/>
      <c r="ZP41" s="637"/>
      <c r="ZQ41" s="637"/>
      <c r="ZR41" s="637"/>
      <c r="ZS41" s="637"/>
      <c r="ZT41" s="637"/>
      <c r="ZU41" s="637"/>
      <c r="ZV41" s="637"/>
      <c r="ZW41" s="637"/>
      <c r="ZX41" s="637"/>
      <c r="ZY41" s="637"/>
      <c r="ZZ41" s="637"/>
      <c r="AAA41" s="637"/>
      <c r="AAB41" s="637"/>
      <c r="AAC41" s="637"/>
      <c r="AAD41" s="637"/>
      <c r="AAE41" s="637"/>
      <c r="AAF41" s="637"/>
      <c r="AAG41" s="637"/>
      <c r="AAH41" s="637"/>
      <c r="AAI41" s="637"/>
      <c r="AAJ41" s="637"/>
      <c r="AAK41" s="637"/>
      <c r="AAL41" s="637"/>
      <c r="AAM41" s="637"/>
      <c r="AAN41" s="637"/>
      <c r="AAO41" s="637"/>
      <c r="AAP41" s="637"/>
      <c r="AAQ41" s="637"/>
      <c r="AAR41" s="637"/>
      <c r="AAS41" s="637"/>
      <c r="AAT41" s="637"/>
      <c r="AAU41" s="637"/>
      <c r="AAV41" s="637"/>
      <c r="AAW41" s="637"/>
      <c r="AAX41" s="637"/>
      <c r="AAY41" s="637"/>
      <c r="AAZ41" s="637"/>
      <c r="ABA41" s="637"/>
      <c r="ABB41" s="637"/>
      <c r="ABC41" s="637"/>
      <c r="ABD41" s="637"/>
      <c r="ABE41" s="637"/>
      <c r="ABF41" s="637"/>
      <c r="ABG41" s="637"/>
      <c r="ABH41" s="637"/>
      <c r="ABI41" s="637"/>
      <c r="ABJ41" s="637"/>
      <c r="ABK41" s="637"/>
      <c r="ABL41" s="637"/>
      <c r="ABM41" s="637"/>
      <c r="ABN41" s="637"/>
      <c r="ABO41" s="637"/>
      <c r="ABP41" s="637"/>
      <c r="ABQ41" s="637"/>
      <c r="ABR41" s="637"/>
      <c r="ABS41" s="637"/>
      <c r="ABT41" s="637"/>
      <c r="ABU41" s="637"/>
      <c r="ABV41" s="637"/>
      <c r="ABW41" s="637"/>
      <c r="ABX41" s="637"/>
      <c r="ABY41" s="637"/>
      <c r="ABZ41" s="637"/>
      <c r="ACA41" s="637"/>
      <c r="ACB41" s="637"/>
      <c r="ACC41" s="637"/>
      <c r="ACD41" s="637"/>
      <c r="ACE41" s="637"/>
      <c r="ACF41" s="637"/>
      <c r="ACG41" s="637"/>
      <c r="ACH41" s="637"/>
      <c r="ACI41" s="637"/>
      <c r="ACJ41" s="637"/>
      <c r="ACK41" s="637"/>
      <c r="ACL41" s="637"/>
      <c r="ACM41" s="637"/>
      <c r="ACN41" s="637"/>
      <c r="ACO41" s="637"/>
      <c r="ACP41" s="637"/>
      <c r="ACQ41" s="637"/>
      <c r="ACR41" s="637"/>
      <c r="ACS41" s="637"/>
      <c r="ACT41" s="637"/>
      <c r="ACU41" s="637"/>
      <c r="ACV41" s="637"/>
      <c r="ACW41" s="637"/>
      <c r="ACX41" s="637"/>
      <c r="ACY41" s="637"/>
      <c r="ACZ41" s="637"/>
      <c r="ADA41" s="637"/>
      <c r="ADB41" s="637"/>
      <c r="ADC41" s="637"/>
      <c r="ADD41" s="637"/>
      <c r="ADE41" s="637"/>
      <c r="ADF41" s="637"/>
      <c r="ADG41" s="637"/>
      <c r="ADH41" s="637"/>
      <c r="ADI41" s="637"/>
      <c r="ADJ41" s="637"/>
      <c r="ADK41" s="637"/>
      <c r="ADL41" s="637"/>
      <c r="ADM41" s="637"/>
      <c r="ADN41" s="637"/>
      <c r="ADO41" s="637"/>
      <c r="ADP41" s="637"/>
      <c r="ADQ41" s="637"/>
      <c r="ADR41" s="637"/>
      <c r="ADS41" s="637"/>
      <c r="ADT41" s="637"/>
      <c r="ADU41" s="637"/>
      <c r="ADV41" s="637"/>
      <c r="ADW41" s="637"/>
      <c r="ADX41" s="637"/>
      <c r="ADY41" s="637"/>
      <c r="ADZ41" s="637"/>
      <c r="AEA41" s="637"/>
      <c r="AEB41" s="637"/>
      <c r="AEC41" s="637"/>
      <c r="AED41" s="637"/>
      <c r="AEE41" s="637"/>
      <c r="AEF41" s="637"/>
      <c r="AEG41" s="637"/>
      <c r="AEH41" s="637"/>
      <c r="AEI41" s="637"/>
      <c r="AEJ41" s="637"/>
      <c r="AEK41" s="637"/>
      <c r="AEL41" s="637"/>
      <c r="AEM41" s="637"/>
      <c r="AEN41" s="637"/>
      <c r="AEO41" s="637"/>
      <c r="AEP41" s="637"/>
      <c r="AEQ41" s="637"/>
      <c r="AER41" s="637"/>
      <c r="AES41" s="637"/>
      <c r="AET41" s="637"/>
      <c r="AEU41" s="637"/>
      <c r="AEV41" s="637"/>
      <c r="AEW41" s="637"/>
      <c r="AEX41" s="637"/>
      <c r="AEY41" s="637"/>
      <c r="AEZ41" s="637"/>
      <c r="AFA41" s="637"/>
      <c r="AFB41" s="637"/>
      <c r="AFC41" s="637"/>
      <c r="AFD41" s="637"/>
      <c r="AFE41" s="637"/>
      <c r="AFF41" s="637"/>
      <c r="AFG41" s="637"/>
      <c r="AFH41" s="637"/>
      <c r="AFI41" s="637"/>
      <c r="AFJ41" s="637"/>
      <c r="AFK41" s="637"/>
      <c r="AFL41" s="637"/>
      <c r="AFM41" s="637"/>
      <c r="AFN41" s="637"/>
      <c r="AFO41" s="637"/>
      <c r="AFP41" s="637"/>
      <c r="AFQ41" s="637"/>
      <c r="AFR41" s="637"/>
      <c r="AFS41" s="637"/>
      <c r="AFT41" s="637"/>
      <c r="AFU41" s="637"/>
      <c r="AFV41" s="637"/>
      <c r="AFW41" s="637"/>
      <c r="AFX41" s="637"/>
      <c r="AFY41" s="637"/>
      <c r="AFZ41" s="637"/>
      <c r="AGA41" s="637"/>
      <c r="AGB41" s="637"/>
      <c r="AGC41" s="637"/>
      <c r="AGD41" s="637"/>
      <c r="AGE41" s="637"/>
      <c r="AGF41" s="637"/>
      <c r="AGG41" s="637"/>
      <c r="AGH41" s="637"/>
      <c r="AGI41" s="637"/>
      <c r="AGJ41" s="637"/>
      <c r="AGK41" s="637"/>
      <c r="AGL41" s="637"/>
      <c r="AGM41" s="637"/>
      <c r="AGN41" s="637"/>
      <c r="AGO41" s="637"/>
      <c r="AGP41" s="637"/>
      <c r="AGQ41" s="637"/>
      <c r="AGR41" s="637"/>
      <c r="AGS41" s="637"/>
      <c r="AGT41" s="637"/>
      <c r="AGU41" s="637"/>
      <c r="AGV41" s="637"/>
      <c r="AGW41" s="637"/>
      <c r="AGX41" s="637"/>
      <c r="AGY41" s="637"/>
      <c r="AGZ41" s="637"/>
      <c r="AHA41" s="637"/>
      <c r="AHB41" s="637"/>
      <c r="AHC41" s="637"/>
      <c r="AHD41" s="637"/>
      <c r="AHE41" s="637"/>
      <c r="AHF41" s="637"/>
      <c r="AHG41" s="637"/>
      <c r="AHH41" s="637"/>
      <c r="AHI41" s="637"/>
      <c r="AHJ41" s="637"/>
      <c r="AHK41" s="637"/>
      <c r="AHL41" s="637"/>
      <c r="AHM41" s="637"/>
      <c r="AHN41" s="637"/>
      <c r="AHO41" s="637"/>
      <c r="AHP41" s="637"/>
      <c r="AHQ41" s="637"/>
      <c r="AHR41" s="637"/>
      <c r="AHS41" s="637"/>
      <c r="AHT41" s="637"/>
      <c r="AHU41" s="637"/>
      <c r="AHV41" s="637"/>
      <c r="AHW41" s="637"/>
      <c r="AHX41" s="637"/>
      <c r="AHY41" s="637"/>
      <c r="AHZ41" s="637"/>
      <c r="AIA41" s="637"/>
      <c r="AIB41" s="637"/>
      <c r="AIC41" s="637"/>
      <c r="AID41" s="637"/>
      <c r="AIE41" s="637"/>
      <c r="AIF41" s="637"/>
      <c r="AIG41" s="637"/>
      <c r="AIH41" s="637"/>
      <c r="AII41" s="637"/>
      <c r="AIJ41" s="637"/>
      <c r="AIK41" s="637"/>
      <c r="AIL41" s="637"/>
      <c r="AIM41" s="637"/>
      <c r="AIN41" s="637"/>
      <c r="AIO41" s="637"/>
      <c r="AIP41" s="637"/>
      <c r="AIQ41" s="637"/>
      <c r="AIR41" s="637"/>
      <c r="AIS41" s="637"/>
      <c r="AIT41" s="637"/>
      <c r="AIU41" s="637"/>
      <c r="AIV41" s="637"/>
      <c r="AIW41" s="637"/>
      <c r="AIX41" s="637"/>
      <c r="AIY41" s="637"/>
      <c r="AIZ41" s="637"/>
      <c r="AJA41" s="637"/>
      <c r="AJB41" s="637"/>
      <c r="AJC41" s="637"/>
      <c r="AJD41" s="637"/>
      <c r="AJE41" s="637"/>
      <c r="AJF41" s="637"/>
      <c r="AJG41" s="637"/>
      <c r="AJH41" s="637"/>
      <c r="AJI41" s="637"/>
      <c r="AJJ41" s="637"/>
      <c r="AJK41" s="637"/>
      <c r="AJL41" s="637"/>
      <c r="AJM41" s="637"/>
      <c r="AJN41" s="637"/>
      <c r="AJO41" s="637"/>
      <c r="AJP41" s="637"/>
      <c r="AJQ41" s="637"/>
      <c r="AJR41" s="637"/>
      <c r="AJS41" s="637"/>
      <c r="AJT41" s="637"/>
      <c r="AJU41" s="637"/>
      <c r="AJV41" s="637"/>
      <c r="AJW41" s="637"/>
      <c r="AJX41" s="637"/>
      <c r="AJY41" s="637"/>
      <c r="AJZ41" s="637"/>
      <c r="AKA41" s="637"/>
      <c r="AKB41" s="637"/>
      <c r="AKC41" s="637"/>
      <c r="AKD41" s="637"/>
      <c r="AKE41" s="637"/>
      <c r="AKF41" s="637"/>
      <c r="AKG41" s="637"/>
      <c r="AKH41" s="637"/>
      <c r="AKI41" s="637"/>
      <c r="AKJ41" s="637"/>
      <c r="AKK41" s="637"/>
      <c r="AKL41" s="637"/>
      <c r="AKM41" s="637"/>
      <c r="AKN41" s="637"/>
      <c r="AKO41" s="637"/>
      <c r="AKP41" s="637"/>
      <c r="AKQ41" s="637"/>
      <c r="AKR41" s="637"/>
      <c r="AKS41" s="637"/>
      <c r="AKT41" s="637"/>
      <c r="AKU41" s="637"/>
      <c r="AKV41" s="637"/>
      <c r="AKW41" s="637"/>
      <c r="AKX41" s="637"/>
      <c r="AKY41" s="637"/>
      <c r="AKZ41" s="637"/>
      <c r="ALA41" s="637"/>
      <c r="ALB41" s="637"/>
      <c r="ALC41" s="637"/>
      <c r="ALD41" s="637"/>
      <c r="ALE41" s="637"/>
      <c r="ALF41" s="637"/>
      <c r="ALG41" s="637"/>
      <c r="ALH41" s="637"/>
      <c r="ALI41" s="637"/>
      <c r="ALJ41" s="637"/>
      <c r="ALK41" s="637"/>
      <c r="ALL41" s="637"/>
      <c r="ALM41" s="637"/>
      <c r="ALN41" s="637"/>
      <c r="ALO41" s="637"/>
      <c r="ALP41" s="637"/>
      <c r="ALQ41" s="637"/>
      <c r="ALR41" s="637"/>
      <c r="ALS41" s="637"/>
      <c r="ALT41" s="637"/>
      <c r="ALU41" s="637"/>
      <c r="ALV41" s="637"/>
      <c r="ALW41" s="637"/>
      <c r="ALX41" s="637"/>
      <c r="ALY41" s="637"/>
      <c r="ALZ41" s="637"/>
      <c r="AMA41" s="637"/>
      <c r="AMB41" s="637"/>
      <c r="AMC41" s="637"/>
      <c r="AMD41" s="637"/>
      <c r="AME41" s="637"/>
      <c r="AMF41" s="637"/>
      <c r="AMG41" s="637"/>
      <c r="AMH41" s="637"/>
      <c r="AMI41" s="637"/>
      <c r="AMJ41" s="637"/>
    </row>
    <row r="42" spans="1:1024" s="638" customFormat="1" ht="12.75">
      <c r="A42" s="984"/>
      <c r="B42" s="985"/>
      <c r="C42" s="986"/>
      <c r="D42" s="981" t="s">
        <v>1041</v>
      </c>
      <c r="E42" s="982"/>
      <c r="F42" s="982">
        <f>SUM(G42:R42)</f>
        <v>60711</v>
      </c>
      <c r="G42" s="983">
        <f>57139-311+26-10000-7</f>
        <v>46847</v>
      </c>
      <c r="H42" s="983">
        <f>16811+7+7-3000</f>
        <v>13825</v>
      </c>
      <c r="I42" s="983">
        <f>339-300</f>
        <v>39</v>
      </c>
      <c r="J42" s="983"/>
      <c r="K42" s="983"/>
      <c r="L42" s="983"/>
      <c r="M42" s="983"/>
      <c r="N42" s="983"/>
      <c r="O42" s="983"/>
      <c r="P42" s="983"/>
      <c r="Q42" s="983"/>
      <c r="R42" s="984"/>
      <c r="S42" s="637"/>
      <c r="T42" s="637"/>
      <c r="U42" s="637"/>
      <c r="V42" s="637"/>
      <c r="W42" s="637"/>
      <c r="X42" s="637"/>
      <c r="Y42" s="637"/>
      <c r="Z42" s="637"/>
      <c r="AA42" s="637"/>
      <c r="AB42" s="637"/>
      <c r="AC42" s="637"/>
      <c r="AD42" s="637"/>
      <c r="AE42" s="637"/>
      <c r="AF42" s="637"/>
      <c r="AG42" s="637"/>
      <c r="AH42" s="637"/>
      <c r="AI42" s="637"/>
      <c r="AJ42" s="637"/>
      <c r="AK42" s="637"/>
      <c r="AL42" s="637"/>
      <c r="AM42" s="637"/>
      <c r="AN42" s="637"/>
      <c r="AO42" s="637"/>
      <c r="AP42" s="637"/>
      <c r="AQ42" s="637"/>
      <c r="AR42" s="637"/>
      <c r="AS42" s="637"/>
      <c r="AT42" s="637"/>
      <c r="AU42" s="637"/>
      <c r="AV42" s="637"/>
      <c r="AW42" s="637"/>
      <c r="AX42" s="637"/>
      <c r="AY42" s="637"/>
      <c r="AZ42" s="637"/>
      <c r="BA42" s="637"/>
      <c r="BB42" s="637"/>
      <c r="BC42" s="637"/>
      <c r="BD42" s="637"/>
      <c r="BE42" s="637"/>
      <c r="BF42" s="637"/>
      <c r="BG42" s="637"/>
      <c r="BH42" s="637"/>
      <c r="BI42" s="637"/>
      <c r="BJ42" s="637"/>
      <c r="BK42" s="637"/>
      <c r="BL42" s="637"/>
      <c r="BM42" s="637"/>
      <c r="BN42" s="637"/>
      <c r="BO42" s="637"/>
      <c r="BP42" s="637"/>
      <c r="BQ42" s="637"/>
      <c r="BR42" s="637"/>
      <c r="BS42" s="637"/>
      <c r="BT42" s="637"/>
      <c r="BU42" s="637"/>
      <c r="BV42" s="637"/>
      <c r="BW42" s="637"/>
      <c r="BX42" s="637"/>
      <c r="BY42" s="637"/>
      <c r="BZ42" s="637"/>
      <c r="CA42" s="637"/>
      <c r="CB42" s="637"/>
      <c r="CC42" s="637"/>
      <c r="CD42" s="637"/>
      <c r="CE42" s="637"/>
      <c r="CF42" s="637"/>
      <c r="CG42" s="637"/>
      <c r="CH42" s="637"/>
      <c r="CI42" s="637"/>
      <c r="CJ42" s="637"/>
      <c r="CK42" s="637"/>
      <c r="CL42" s="637"/>
      <c r="CM42" s="637"/>
      <c r="CN42" s="637"/>
      <c r="CO42" s="637"/>
      <c r="CP42" s="637"/>
      <c r="CQ42" s="637"/>
      <c r="CR42" s="637"/>
      <c r="CS42" s="637"/>
      <c r="CT42" s="637"/>
      <c r="CU42" s="637"/>
      <c r="CV42" s="637"/>
      <c r="CW42" s="637"/>
      <c r="CX42" s="637"/>
      <c r="CY42" s="637"/>
      <c r="CZ42" s="637"/>
      <c r="DA42" s="637"/>
      <c r="DB42" s="637"/>
      <c r="DC42" s="637"/>
      <c r="DD42" s="637"/>
      <c r="DE42" s="637"/>
      <c r="DF42" s="637"/>
      <c r="DG42" s="637"/>
      <c r="DH42" s="637"/>
      <c r="DI42" s="637"/>
      <c r="DJ42" s="637"/>
      <c r="DK42" s="637"/>
      <c r="DL42" s="637"/>
      <c r="DM42" s="637"/>
      <c r="DN42" s="637"/>
      <c r="DO42" s="637"/>
      <c r="DP42" s="637"/>
      <c r="DQ42" s="637"/>
      <c r="DR42" s="637"/>
      <c r="DS42" s="637"/>
      <c r="DT42" s="637"/>
      <c r="DU42" s="637"/>
      <c r="DV42" s="637"/>
      <c r="DW42" s="637"/>
      <c r="DX42" s="637"/>
      <c r="DY42" s="637"/>
      <c r="DZ42" s="637"/>
      <c r="EA42" s="637"/>
      <c r="EB42" s="637"/>
      <c r="EC42" s="637"/>
      <c r="ED42" s="637"/>
      <c r="EE42" s="637"/>
      <c r="EF42" s="637"/>
      <c r="EG42" s="637"/>
      <c r="EH42" s="637"/>
      <c r="EI42" s="637"/>
      <c r="EJ42" s="637"/>
      <c r="EK42" s="637"/>
      <c r="EL42" s="637"/>
      <c r="EM42" s="637"/>
      <c r="EN42" s="637"/>
      <c r="EO42" s="637"/>
      <c r="EP42" s="637"/>
      <c r="EQ42" s="637"/>
      <c r="ER42" s="637"/>
      <c r="ES42" s="637"/>
      <c r="ET42" s="637"/>
      <c r="EU42" s="637"/>
      <c r="EV42" s="637"/>
      <c r="EW42" s="637"/>
      <c r="EX42" s="637"/>
      <c r="EY42" s="637"/>
      <c r="EZ42" s="637"/>
      <c r="FA42" s="637"/>
      <c r="FB42" s="637"/>
      <c r="FC42" s="637"/>
      <c r="FD42" s="637"/>
      <c r="FE42" s="637"/>
      <c r="FF42" s="637"/>
      <c r="FG42" s="637"/>
      <c r="FH42" s="637"/>
      <c r="FI42" s="637"/>
      <c r="FJ42" s="637"/>
      <c r="FK42" s="637"/>
      <c r="FL42" s="637"/>
      <c r="FM42" s="637"/>
      <c r="FN42" s="637"/>
      <c r="FO42" s="637"/>
      <c r="FP42" s="637"/>
      <c r="FQ42" s="637"/>
      <c r="FR42" s="637"/>
      <c r="FS42" s="637"/>
      <c r="FT42" s="637"/>
      <c r="FU42" s="637"/>
      <c r="FV42" s="637"/>
      <c r="FW42" s="637"/>
      <c r="FX42" s="637"/>
      <c r="FY42" s="637"/>
      <c r="FZ42" s="637"/>
      <c r="GA42" s="637"/>
      <c r="GB42" s="637"/>
      <c r="GC42" s="637"/>
      <c r="GD42" s="637"/>
      <c r="GE42" s="637"/>
      <c r="GF42" s="637"/>
      <c r="GG42" s="637"/>
      <c r="GH42" s="637"/>
      <c r="GI42" s="637"/>
      <c r="GJ42" s="637"/>
      <c r="GK42" s="637"/>
      <c r="GL42" s="637"/>
      <c r="GM42" s="637"/>
      <c r="GN42" s="637"/>
      <c r="GO42" s="637"/>
      <c r="GP42" s="637"/>
      <c r="GQ42" s="637"/>
      <c r="GR42" s="637"/>
      <c r="GS42" s="637"/>
      <c r="GT42" s="637"/>
      <c r="GU42" s="637"/>
      <c r="GV42" s="637"/>
      <c r="GW42" s="637"/>
      <c r="GX42" s="637"/>
      <c r="GY42" s="637"/>
      <c r="GZ42" s="637"/>
      <c r="HA42" s="637"/>
      <c r="HB42" s="637"/>
      <c r="HC42" s="637"/>
      <c r="HD42" s="637"/>
      <c r="HE42" s="637"/>
      <c r="HF42" s="637"/>
      <c r="HG42" s="637"/>
      <c r="HH42" s="637"/>
      <c r="HI42" s="637"/>
      <c r="HJ42" s="637"/>
      <c r="HK42" s="637"/>
      <c r="HL42" s="637"/>
      <c r="HM42" s="637"/>
      <c r="HN42" s="637"/>
      <c r="HO42" s="637"/>
      <c r="HP42" s="637"/>
      <c r="HQ42" s="637"/>
      <c r="HR42" s="637"/>
      <c r="HS42" s="637"/>
      <c r="HT42" s="637"/>
      <c r="HU42" s="637"/>
      <c r="HV42" s="637"/>
      <c r="HW42" s="637"/>
      <c r="HX42" s="637"/>
      <c r="HY42" s="637"/>
      <c r="HZ42" s="637"/>
      <c r="IA42" s="637"/>
      <c r="IB42" s="637"/>
      <c r="IC42" s="637"/>
      <c r="ID42" s="637"/>
      <c r="IE42" s="637"/>
      <c r="IF42" s="637"/>
      <c r="IG42" s="637"/>
      <c r="IH42" s="637"/>
      <c r="II42" s="637"/>
      <c r="IJ42" s="637"/>
      <c r="IK42" s="637"/>
      <c r="IL42" s="637"/>
      <c r="IM42" s="637"/>
      <c r="IN42" s="637"/>
      <c r="IO42" s="637"/>
      <c r="IP42" s="637"/>
      <c r="IQ42" s="637"/>
      <c r="IR42" s="637"/>
      <c r="IS42" s="637"/>
      <c r="IT42" s="637"/>
      <c r="IU42" s="637"/>
      <c r="IV42" s="637"/>
      <c r="IW42" s="637"/>
      <c r="IX42" s="637"/>
      <c r="IY42" s="637"/>
      <c r="IZ42" s="637"/>
      <c r="JA42" s="637"/>
      <c r="JB42" s="637"/>
      <c r="JC42" s="637"/>
      <c r="JD42" s="637"/>
      <c r="JE42" s="637"/>
      <c r="JF42" s="637"/>
      <c r="JG42" s="637"/>
      <c r="JH42" s="637"/>
      <c r="JI42" s="637"/>
      <c r="JJ42" s="637"/>
      <c r="JK42" s="637"/>
      <c r="JL42" s="637"/>
      <c r="JM42" s="637"/>
      <c r="JN42" s="637"/>
      <c r="JO42" s="637"/>
      <c r="JP42" s="637"/>
      <c r="JQ42" s="637"/>
      <c r="JR42" s="637"/>
      <c r="JS42" s="637"/>
      <c r="JT42" s="637"/>
      <c r="JU42" s="637"/>
      <c r="JV42" s="637"/>
      <c r="JW42" s="637"/>
      <c r="JX42" s="637"/>
      <c r="JY42" s="637"/>
      <c r="JZ42" s="637"/>
      <c r="KA42" s="637"/>
      <c r="KB42" s="637"/>
      <c r="KC42" s="637"/>
      <c r="KD42" s="637"/>
      <c r="KE42" s="637"/>
      <c r="KF42" s="637"/>
      <c r="KG42" s="637"/>
      <c r="KH42" s="637"/>
      <c r="KI42" s="637"/>
      <c r="KJ42" s="637"/>
      <c r="KK42" s="637"/>
      <c r="KL42" s="637"/>
      <c r="KM42" s="637"/>
      <c r="KN42" s="637"/>
      <c r="KO42" s="637"/>
      <c r="KP42" s="637"/>
      <c r="KQ42" s="637"/>
      <c r="KR42" s="637"/>
      <c r="KS42" s="637"/>
      <c r="KT42" s="637"/>
      <c r="KU42" s="637"/>
      <c r="KV42" s="637"/>
      <c r="KW42" s="637"/>
      <c r="KX42" s="637"/>
      <c r="KY42" s="637"/>
      <c r="KZ42" s="637"/>
      <c r="LA42" s="637"/>
      <c r="LB42" s="637"/>
      <c r="LC42" s="637"/>
      <c r="LD42" s="637"/>
      <c r="LE42" s="637"/>
      <c r="LF42" s="637"/>
      <c r="LG42" s="637"/>
      <c r="LH42" s="637"/>
      <c r="LI42" s="637"/>
      <c r="LJ42" s="637"/>
      <c r="LK42" s="637"/>
      <c r="LL42" s="637"/>
      <c r="LM42" s="637"/>
      <c r="LN42" s="637"/>
      <c r="LO42" s="637"/>
      <c r="LP42" s="637"/>
      <c r="LQ42" s="637"/>
      <c r="LR42" s="637"/>
      <c r="LS42" s="637"/>
      <c r="LT42" s="637"/>
      <c r="LU42" s="637"/>
      <c r="LV42" s="637"/>
      <c r="LW42" s="637"/>
      <c r="LX42" s="637"/>
      <c r="LY42" s="637"/>
      <c r="LZ42" s="637"/>
      <c r="MA42" s="637"/>
      <c r="MB42" s="637"/>
      <c r="MC42" s="637"/>
      <c r="MD42" s="637"/>
      <c r="ME42" s="637"/>
      <c r="MF42" s="637"/>
      <c r="MG42" s="637"/>
      <c r="MH42" s="637"/>
      <c r="MI42" s="637"/>
      <c r="MJ42" s="637"/>
      <c r="MK42" s="637"/>
      <c r="ML42" s="637"/>
      <c r="MM42" s="637"/>
      <c r="MN42" s="637"/>
      <c r="MO42" s="637"/>
      <c r="MP42" s="637"/>
      <c r="MQ42" s="637"/>
      <c r="MR42" s="637"/>
      <c r="MS42" s="637"/>
      <c r="MT42" s="637"/>
      <c r="MU42" s="637"/>
      <c r="MV42" s="637"/>
      <c r="MW42" s="637"/>
      <c r="MX42" s="637"/>
      <c r="MY42" s="637"/>
      <c r="MZ42" s="637"/>
      <c r="NA42" s="637"/>
      <c r="NB42" s="637"/>
      <c r="NC42" s="637"/>
      <c r="ND42" s="637"/>
      <c r="NE42" s="637"/>
      <c r="NF42" s="637"/>
      <c r="NG42" s="637"/>
      <c r="NH42" s="637"/>
      <c r="NI42" s="637"/>
      <c r="NJ42" s="637"/>
      <c r="NK42" s="637"/>
      <c r="NL42" s="637"/>
      <c r="NM42" s="637"/>
      <c r="NN42" s="637"/>
      <c r="NO42" s="637"/>
      <c r="NP42" s="637"/>
      <c r="NQ42" s="637"/>
      <c r="NR42" s="637"/>
      <c r="NS42" s="637"/>
      <c r="NT42" s="637"/>
      <c r="NU42" s="637"/>
      <c r="NV42" s="637"/>
      <c r="NW42" s="637"/>
      <c r="NX42" s="637"/>
      <c r="NY42" s="637"/>
      <c r="NZ42" s="637"/>
      <c r="OA42" s="637"/>
      <c r="OB42" s="637"/>
      <c r="OC42" s="637"/>
      <c r="OD42" s="637"/>
      <c r="OE42" s="637"/>
      <c r="OF42" s="637"/>
      <c r="OG42" s="637"/>
      <c r="OH42" s="637"/>
      <c r="OI42" s="637"/>
      <c r="OJ42" s="637"/>
      <c r="OK42" s="637"/>
      <c r="OL42" s="637"/>
      <c r="OM42" s="637"/>
      <c r="ON42" s="637"/>
      <c r="OO42" s="637"/>
      <c r="OP42" s="637"/>
      <c r="OQ42" s="637"/>
      <c r="OR42" s="637"/>
      <c r="OS42" s="637"/>
      <c r="OT42" s="637"/>
      <c r="OU42" s="637"/>
      <c r="OV42" s="637"/>
      <c r="OW42" s="637"/>
      <c r="OX42" s="637"/>
      <c r="OY42" s="637"/>
      <c r="OZ42" s="637"/>
      <c r="PA42" s="637"/>
      <c r="PB42" s="637"/>
      <c r="PC42" s="637"/>
      <c r="PD42" s="637"/>
      <c r="PE42" s="637"/>
      <c r="PF42" s="637"/>
      <c r="PG42" s="637"/>
      <c r="PH42" s="637"/>
      <c r="PI42" s="637"/>
      <c r="PJ42" s="637"/>
      <c r="PK42" s="637"/>
      <c r="PL42" s="637"/>
      <c r="PM42" s="637"/>
      <c r="PN42" s="637"/>
      <c r="PO42" s="637"/>
      <c r="PP42" s="637"/>
      <c r="PQ42" s="637"/>
      <c r="PR42" s="637"/>
      <c r="PS42" s="637"/>
      <c r="PT42" s="637"/>
      <c r="PU42" s="637"/>
      <c r="PV42" s="637"/>
      <c r="PW42" s="637"/>
      <c r="PX42" s="637"/>
      <c r="PY42" s="637"/>
      <c r="PZ42" s="637"/>
      <c r="QA42" s="637"/>
      <c r="QB42" s="637"/>
      <c r="QC42" s="637"/>
      <c r="QD42" s="637"/>
      <c r="QE42" s="637"/>
      <c r="QF42" s="637"/>
      <c r="QG42" s="637"/>
      <c r="QH42" s="637"/>
      <c r="QI42" s="637"/>
      <c r="QJ42" s="637"/>
      <c r="QK42" s="637"/>
      <c r="QL42" s="637"/>
      <c r="QM42" s="637"/>
      <c r="QN42" s="637"/>
      <c r="QO42" s="637"/>
      <c r="QP42" s="637"/>
      <c r="QQ42" s="637"/>
      <c r="QR42" s="637"/>
      <c r="QS42" s="637"/>
      <c r="QT42" s="637"/>
      <c r="QU42" s="637"/>
      <c r="QV42" s="637"/>
      <c r="QW42" s="637"/>
      <c r="QX42" s="637"/>
      <c r="QY42" s="637"/>
      <c r="QZ42" s="637"/>
      <c r="RA42" s="637"/>
      <c r="RB42" s="637"/>
      <c r="RC42" s="637"/>
      <c r="RD42" s="637"/>
      <c r="RE42" s="637"/>
      <c r="RF42" s="637"/>
      <c r="RG42" s="637"/>
      <c r="RH42" s="637"/>
      <c r="RI42" s="637"/>
      <c r="RJ42" s="637"/>
      <c r="RK42" s="637"/>
      <c r="RL42" s="637"/>
      <c r="RM42" s="637"/>
      <c r="RN42" s="637"/>
      <c r="RO42" s="637"/>
      <c r="RP42" s="637"/>
      <c r="RQ42" s="637"/>
      <c r="RR42" s="637"/>
      <c r="RS42" s="637"/>
      <c r="RT42" s="637"/>
      <c r="RU42" s="637"/>
      <c r="RV42" s="637"/>
      <c r="RW42" s="637"/>
      <c r="RX42" s="637"/>
      <c r="RY42" s="637"/>
      <c r="RZ42" s="637"/>
      <c r="SA42" s="637"/>
      <c r="SB42" s="637"/>
      <c r="SC42" s="637"/>
      <c r="SD42" s="637"/>
      <c r="SE42" s="637"/>
      <c r="SF42" s="637"/>
      <c r="SG42" s="637"/>
      <c r="SH42" s="637"/>
      <c r="SI42" s="637"/>
      <c r="SJ42" s="637"/>
      <c r="SK42" s="637"/>
      <c r="SL42" s="637"/>
      <c r="SM42" s="637"/>
      <c r="SN42" s="637"/>
      <c r="SO42" s="637"/>
      <c r="SP42" s="637"/>
      <c r="SQ42" s="637"/>
      <c r="SR42" s="637"/>
      <c r="SS42" s="637"/>
      <c r="ST42" s="637"/>
      <c r="SU42" s="637"/>
      <c r="SV42" s="637"/>
      <c r="SW42" s="637"/>
      <c r="SX42" s="637"/>
      <c r="SY42" s="637"/>
      <c r="SZ42" s="637"/>
      <c r="TA42" s="637"/>
      <c r="TB42" s="637"/>
      <c r="TC42" s="637"/>
      <c r="TD42" s="637"/>
      <c r="TE42" s="637"/>
      <c r="TF42" s="637"/>
      <c r="TG42" s="637"/>
      <c r="TH42" s="637"/>
      <c r="TI42" s="637"/>
      <c r="TJ42" s="637"/>
      <c r="TK42" s="637"/>
      <c r="TL42" s="637"/>
      <c r="TM42" s="637"/>
      <c r="TN42" s="637"/>
      <c r="TO42" s="637"/>
      <c r="TP42" s="637"/>
      <c r="TQ42" s="637"/>
      <c r="TR42" s="637"/>
      <c r="TS42" s="637"/>
      <c r="TT42" s="637"/>
      <c r="TU42" s="637"/>
      <c r="TV42" s="637"/>
      <c r="TW42" s="637"/>
      <c r="TX42" s="637"/>
      <c r="TY42" s="637"/>
      <c r="TZ42" s="637"/>
      <c r="UA42" s="637"/>
      <c r="UB42" s="637"/>
      <c r="UC42" s="637"/>
      <c r="UD42" s="637"/>
      <c r="UE42" s="637"/>
      <c r="UF42" s="637"/>
      <c r="UG42" s="637"/>
      <c r="UH42" s="637"/>
      <c r="UI42" s="637"/>
      <c r="UJ42" s="637"/>
      <c r="UK42" s="637"/>
      <c r="UL42" s="637"/>
      <c r="UM42" s="637"/>
      <c r="UN42" s="637"/>
      <c r="UO42" s="637"/>
      <c r="UP42" s="637"/>
      <c r="UQ42" s="637"/>
      <c r="UR42" s="637"/>
      <c r="US42" s="637"/>
      <c r="UT42" s="637"/>
      <c r="UU42" s="637"/>
      <c r="UV42" s="637"/>
      <c r="UW42" s="637"/>
      <c r="UX42" s="637"/>
      <c r="UY42" s="637"/>
      <c r="UZ42" s="637"/>
      <c r="VA42" s="637"/>
      <c r="VB42" s="637"/>
      <c r="VC42" s="637"/>
      <c r="VD42" s="637"/>
      <c r="VE42" s="637"/>
      <c r="VF42" s="637"/>
      <c r="VG42" s="637"/>
      <c r="VH42" s="637"/>
      <c r="VI42" s="637"/>
      <c r="VJ42" s="637"/>
      <c r="VK42" s="637"/>
      <c r="VL42" s="637"/>
      <c r="VM42" s="637"/>
      <c r="VN42" s="637"/>
      <c r="VO42" s="637"/>
      <c r="VP42" s="637"/>
      <c r="VQ42" s="637"/>
      <c r="VR42" s="637"/>
      <c r="VS42" s="637"/>
      <c r="VT42" s="637"/>
      <c r="VU42" s="637"/>
      <c r="VV42" s="637"/>
      <c r="VW42" s="637"/>
      <c r="VX42" s="637"/>
      <c r="VY42" s="637"/>
      <c r="VZ42" s="637"/>
      <c r="WA42" s="637"/>
      <c r="WB42" s="637"/>
      <c r="WC42" s="637"/>
      <c r="WD42" s="637"/>
      <c r="WE42" s="637"/>
      <c r="WF42" s="637"/>
      <c r="WG42" s="637"/>
      <c r="WH42" s="637"/>
      <c r="WI42" s="637"/>
      <c r="WJ42" s="637"/>
      <c r="WK42" s="637"/>
      <c r="WL42" s="637"/>
      <c r="WM42" s="637"/>
      <c r="WN42" s="637"/>
      <c r="WO42" s="637"/>
      <c r="WP42" s="637"/>
      <c r="WQ42" s="637"/>
      <c r="WR42" s="637"/>
      <c r="WS42" s="637"/>
      <c r="WT42" s="637"/>
      <c r="WU42" s="637"/>
      <c r="WV42" s="637"/>
      <c r="WW42" s="637"/>
      <c r="WX42" s="637"/>
      <c r="WY42" s="637"/>
      <c r="WZ42" s="637"/>
      <c r="XA42" s="637"/>
      <c r="XB42" s="637"/>
      <c r="XC42" s="637"/>
      <c r="XD42" s="637"/>
      <c r="XE42" s="637"/>
      <c r="XF42" s="637"/>
      <c r="XG42" s="637"/>
      <c r="XH42" s="637"/>
      <c r="XI42" s="637"/>
      <c r="XJ42" s="637"/>
      <c r="XK42" s="637"/>
      <c r="XL42" s="637"/>
      <c r="XM42" s="637"/>
      <c r="XN42" s="637"/>
      <c r="XO42" s="637"/>
      <c r="XP42" s="637"/>
      <c r="XQ42" s="637"/>
      <c r="XR42" s="637"/>
      <c r="XS42" s="637"/>
      <c r="XT42" s="637"/>
      <c r="XU42" s="637"/>
      <c r="XV42" s="637"/>
      <c r="XW42" s="637"/>
      <c r="XX42" s="637"/>
      <c r="XY42" s="637"/>
      <c r="XZ42" s="637"/>
      <c r="YA42" s="637"/>
      <c r="YB42" s="637"/>
      <c r="YC42" s="637"/>
      <c r="YD42" s="637"/>
      <c r="YE42" s="637"/>
      <c r="YF42" s="637"/>
      <c r="YG42" s="637"/>
      <c r="YH42" s="637"/>
      <c r="YI42" s="637"/>
      <c r="YJ42" s="637"/>
      <c r="YK42" s="637"/>
      <c r="YL42" s="637"/>
      <c r="YM42" s="637"/>
      <c r="YN42" s="637"/>
      <c r="YO42" s="637"/>
      <c r="YP42" s="637"/>
      <c r="YQ42" s="637"/>
      <c r="YR42" s="637"/>
      <c r="YS42" s="637"/>
      <c r="YT42" s="637"/>
      <c r="YU42" s="637"/>
      <c r="YV42" s="637"/>
      <c r="YW42" s="637"/>
      <c r="YX42" s="637"/>
      <c r="YY42" s="637"/>
      <c r="YZ42" s="637"/>
      <c r="ZA42" s="637"/>
      <c r="ZB42" s="637"/>
      <c r="ZC42" s="637"/>
      <c r="ZD42" s="637"/>
      <c r="ZE42" s="637"/>
      <c r="ZF42" s="637"/>
      <c r="ZG42" s="637"/>
      <c r="ZH42" s="637"/>
      <c r="ZI42" s="637"/>
      <c r="ZJ42" s="637"/>
      <c r="ZK42" s="637"/>
      <c r="ZL42" s="637"/>
      <c r="ZM42" s="637"/>
      <c r="ZN42" s="637"/>
      <c r="ZO42" s="637"/>
      <c r="ZP42" s="637"/>
      <c r="ZQ42" s="637"/>
      <c r="ZR42" s="637"/>
      <c r="ZS42" s="637"/>
      <c r="ZT42" s="637"/>
      <c r="ZU42" s="637"/>
      <c r="ZV42" s="637"/>
      <c r="ZW42" s="637"/>
      <c r="ZX42" s="637"/>
      <c r="ZY42" s="637"/>
      <c r="ZZ42" s="637"/>
      <c r="AAA42" s="637"/>
      <c r="AAB42" s="637"/>
      <c r="AAC42" s="637"/>
      <c r="AAD42" s="637"/>
      <c r="AAE42" s="637"/>
      <c r="AAF42" s="637"/>
      <c r="AAG42" s="637"/>
      <c r="AAH42" s="637"/>
      <c r="AAI42" s="637"/>
      <c r="AAJ42" s="637"/>
      <c r="AAK42" s="637"/>
      <c r="AAL42" s="637"/>
      <c r="AAM42" s="637"/>
      <c r="AAN42" s="637"/>
      <c r="AAO42" s="637"/>
      <c r="AAP42" s="637"/>
      <c r="AAQ42" s="637"/>
      <c r="AAR42" s="637"/>
      <c r="AAS42" s="637"/>
      <c r="AAT42" s="637"/>
      <c r="AAU42" s="637"/>
      <c r="AAV42" s="637"/>
      <c r="AAW42" s="637"/>
      <c r="AAX42" s="637"/>
      <c r="AAY42" s="637"/>
      <c r="AAZ42" s="637"/>
      <c r="ABA42" s="637"/>
      <c r="ABB42" s="637"/>
      <c r="ABC42" s="637"/>
      <c r="ABD42" s="637"/>
      <c r="ABE42" s="637"/>
      <c r="ABF42" s="637"/>
      <c r="ABG42" s="637"/>
      <c r="ABH42" s="637"/>
      <c r="ABI42" s="637"/>
      <c r="ABJ42" s="637"/>
      <c r="ABK42" s="637"/>
      <c r="ABL42" s="637"/>
      <c r="ABM42" s="637"/>
      <c r="ABN42" s="637"/>
      <c r="ABO42" s="637"/>
      <c r="ABP42" s="637"/>
      <c r="ABQ42" s="637"/>
      <c r="ABR42" s="637"/>
      <c r="ABS42" s="637"/>
      <c r="ABT42" s="637"/>
      <c r="ABU42" s="637"/>
      <c r="ABV42" s="637"/>
      <c r="ABW42" s="637"/>
      <c r="ABX42" s="637"/>
      <c r="ABY42" s="637"/>
      <c r="ABZ42" s="637"/>
      <c r="ACA42" s="637"/>
      <c r="ACB42" s="637"/>
      <c r="ACC42" s="637"/>
      <c r="ACD42" s="637"/>
      <c r="ACE42" s="637"/>
      <c r="ACF42" s="637"/>
      <c r="ACG42" s="637"/>
      <c r="ACH42" s="637"/>
      <c r="ACI42" s="637"/>
      <c r="ACJ42" s="637"/>
      <c r="ACK42" s="637"/>
      <c r="ACL42" s="637"/>
      <c r="ACM42" s="637"/>
      <c r="ACN42" s="637"/>
      <c r="ACO42" s="637"/>
      <c r="ACP42" s="637"/>
      <c r="ACQ42" s="637"/>
      <c r="ACR42" s="637"/>
      <c r="ACS42" s="637"/>
      <c r="ACT42" s="637"/>
      <c r="ACU42" s="637"/>
      <c r="ACV42" s="637"/>
      <c r="ACW42" s="637"/>
      <c r="ACX42" s="637"/>
      <c r="ACY42" s="637"/>
      <c r="ACZ42" s="637"/>
      <c r="ADA42" s="637"/>
      <c r="ADB42" s="637"/>
      <c r="ADC42" s="637"/>
      <c r="ADD42" s="637"/>
      <c r="ADE42" s="637"/>
      <c r="ADF42" s="637"/>
      <c r="ADG42" s="637"/>
      <c r="ADH42" s="637"/>
      <c r="ADI42" s="637"/>
      <c r="ADJ42" s="637"/>
      <c r="ADK42" s="637"/>
      <c r="ADL42" s="637"/>
      <c r="ADM42" s="637"/>
      <c r="ADN42" s="637"/>
      <c r="ADO42" s="637"/>
      <c r="ADP42" s="637"/>
      <c r="ADQ42" s="637"/>
      <c r="ADR42" s="637"/>
      <c r="ADS42" s="637"/>
      <c r="ADT42" s="637"/>
      <c r="ADU42" s="637"/>
      <c r="ADV42" s="637"/>
      <c r="ADW42" s="637"/>
      <c r="ADX42" s="637"/>
      <c r="ADY42" s="637"/>
      <c r="ADZ42" s="637"/>
      <c r="AEA42" s="637"/>
      <c r="AEB42" s="637"/>
      <c r="AEC42" s="637"/>
      <c r="AED42" s="637"/>
      <c r="AEE42" s="637"/>
      <c r="AEF42" s="637"/>
      <c r="AEG42" s="637"/>
      <c r="AEH42" s="637"/>
      <c r="AEI42" s="637"/>
      <c r="AEJ42" s="637"/>
      <c r="AEK42" s="637"/>
      <c r="AEL42" s="637"/>
      <c r="AEM42" s="637"/>
      <c r="AEN42" s="637"/>
      <c r="AEO42" s="637"/>
      <c r="AEP42" s="637"/>
      <c r="AEQ42" s="637"/>
      <c r="AER42" s="637"/>
      <c r="AES42" s="637"/>
      <c r="AET42" s="637"/>
      <c r="AEU42" s="637"/>
      <c r="AEV42" s="637"/>
      <c r="AEW42" s="637"/>
      <c r="AEX42" s="637"/>
      <c r="AEY42" s="637"/>
      <c r="AEZ42" s="637"/>
      <c r="AFA42" s="637"/>
      <c r="AFB42" s="637"/>
      <c r="AFC42" s="637"/>
      <c r="AFD42" s="637"/>
      <c r="AFE42" s="637"/>
      <c r="AFF42" s="637"/>
      <c r="AFG42" s="637"/>
      <c r="AFH42" s="637"/>
      <c r="AFI42" s="637"/>
      <c r="AFJ42" s="637"/>
      <c r="AFK42" s="637"/>
      <c r="AFL42" s="637"/>
      <c r="AFM42" s="637"/>
      <c r="AFN42" s="637"/>
      <c r="AFO42" s="637"/>
      <c r="AFP42" s="637"/>
      <c r="AFQ42" s="637"/>
      <c r="AFR42" s="637"/>
      <c r="AFS42" s="637"/>
      <c r="AFT42" s="637"/>
      <c r="AFU42" s="637"/>
      <c r="AFV42" s="637"/>
      <c r="AFW42" s="637"/>
      <c r="AFX42" s="637"/>
      <c r="AFY42" s="637"/>
      <c r="AFZ42" s="637"/>
      <c r="AGA42" s="637"/>
      <c r="AGB42" s="637"/>
      <c r="AGC42" s="637"/>
      <c r="AGD42" s="637"/>
      <c r="AGE42" s="637"/>
      <c r="AGF42" s="637"/>
      <c r="AGG42" s="637"/>
      <c r="AGH42" s="637"/>
      <c r="AGI42" s="637"/>
      <c r="AGJ42" s="637"/>
      <c r="AGK42" s="637"/>
      <c r="AGL42" s="637"/>
      <c r="AGM42" s="637"/>
      <c r="AGN42" s="637"/>
      <c r="AGO42" s="637"/>
      <c r="AGP42" s="637"/>
      <c r="AGQ42" s="637"/>
      <c r="AGR42" s="637"/>
      <c r="AGS42" s="637"/>
      <c r="AGT42" s="637"/>
      <c r="AGU42" s="637"/>
      <c r="AGV42" s="637"/>
      <c r="AGW42" s="637"/>
      <c r="AGX42" s="637"/>
      <c r="AGY42" s="637"/>
      <c r="AGZ42" s="637"/>
      <c r="AHA42" s="637"/>
      <c r="AHB42" s="637"/>
      <c r="AHC42" s="637"/>
      <c r="AHD42" s="637"/>
      <c r="AHE42" s="637"/>
      <c r="AHF42" s="637"/>
      <c r="AHG42" s="637"/>
      <c r="AHH42" s="637"/>
      <c r="AHI42" s="637"/>
      <c r="AHJ42" s="637"/>
      <c r="AHK42" s="637"/>
      <c r="AHL42" s="637"/>
      <c r="AHM42" s="637"/>
      <c r="AHN42" s="637"/>
      <c r="AHO42" s="637"/>
      <c r="AHP42" s="637"/>
      <c r="AHQ42" s="637"/>
      <c r="AHR42" s="637"/>
      <c r="AHS42" s="637"/>
      <c r="AHT42" s="637"/>
      <c r="AHU42" s="637"/>
      <c r="AHV42" s="637"/>
      <c r="AHW42" s="637"/>
      <c r="AHX42" s="637"/>
      <c r="AHY42" s="637"/>
      <c r="AHZ42" s="637"/>
      <c r="AIA42" s="637"/>
      <c r="AIB42" s="637"/>
      <c r="AIC42" s="637"/>
      <c r="AID42" s="637"/>
      <c r="AIE42" s="637"/>
      <c r="AIF42" s="637"/>
      <c r="AIG42" s="637"/>
      <c r="AIH42" s="637"/>
      <c r="AII42" s="637"/>
      <c r="AIJ42" s="637"/>
      <c r="AIK42" s="637"/>
      <c r="AIL42" s="637"/>
      <c r="AIM42" s="637"/>
      <c r="AIN42" s="637"/>
      <c r="AIO42" s="637"/>
      <c r="AIP42" s="637"/>
      <c r="AIQ42" s="637"/>
      <c r="AIR42" s="637"/>
      <c r="AIS42" s="637"/>
      <c r="AIT42" s="637"/>
      <c r="AIU42" s="637"/>
      <c r="AIV42" s="637"/>
      <c r="AIW42" s="637"/>
      <c r="AIX42" s="637"/>
      <c r="AIY42" s="637"/>
      <c r="AIZ42" s="637"/>
      <c r="AJA42" s="637"/>
      <c r="AJB42" s="637"/>
      <c r="AJC42" s="637"/>
      <c r="AJD42" s="637"/>
      <c r="AJE42" s="637"/>
      <c r="AJF42" s="637"/>
      <c r="AJG42" s="637"/>
      <c r="AJH42" s="637"/>
      <c r="AJI42" s="637"/>
      <c r="AJJ42" s="637"/>
      <c r="AJK42" s="637"/>
      <c r="AJL42" s="637"/>
      <c r="AJM42" s="637"/>
      <c r="AJN42" s="637"/>
      <c r="AJO42" s="637"/>
      <c r="AJP42" s="637"/>
      <c r="AJQ42" s="637"/>
      <c r="AJR42" s="637"/>
      <c r="AJS42" s="637"/>
      <c r="AJT42" s="637"/>
      <c r="AJU42" s="637"/>
      <c r="AJV42" s="637"/>
      <c r="AJW42" s="637"/>
      <c r="AJX42" s="637"/>
      <c r="AJY42" s="637"/>
      <c r="AJZ42" s="637"/>
      <c r="AKA42" s="637"/>
      <c r="AKB42" s="637"/>
      <c r="AKC42" s="637"/>
      <c r="AKD42" s="637"/>
      <c r="AKE42" s="637"/>
      <c r="AKF42" s="637"/>
      <c r="AKG42" s="637"/>
      <c r="AKH42" s="637"/>
      <c r="AKI42" s="637"/>
      <c r="AKJ42" s="637"/>
      <c r="AKK42" s="637"/>
      <c r="AKL42" s="637"/>
      <c r="AKM42" s="637"/>
      <c r="AKN42" s="637"/>
      <c r="AKO42" s="637"/>
      <c r="AKP42" s="637"/>
      <c r="AKQ42" s="637"/>
      <c r="AKR42" s="637"/>
      <c r="AKS42" s="637"/>
      <c r="AKT42" s="637"/>
      <c r="AKU42" s="637"/>
      <c r="AKV42" s="637"/>
      <c r="AKW42" s="637"/>
      <c r="AKX42" s="637"/>
      <c r="AKY42" s="637"/>
      <c r="AKZ42" s="637"/>
      <c r="ALA42" s="637"/>
      <c r="ALB42" s="637"/>
      <c r="ALC42" s="637"/>
      <c r="ALD42" s="637"/>
      <c r="ALE42" s="637"/>
      <c r="ALF42" s="637"/>
      <c r="ALG42" s="637"/>
      <c r="ALH42" s="637"/>
      <c r="ALI42" s="637"/>
      <c r="ALJ42" s="637"/>
      <c r="ALK42" s="637"/>
      <c r="ALL42" s="637"/>
      <c r="ALM42" s="637"/>
      <c r="ALN42" s="637"/>
      <c r="ALO42" s="637"/>
      <c r="ALP42" s="637"/>
      <c r="ALQ42" s="637"/>
      <c r="ALR42" s="637"/>
      <c r="ALS42" s="637"/>
      <c r="ALT42" s="637"/>
      <c r="ALU42" s="637"/>
      <c r="ALV42" s="637"/>
      <c r="ALW42" s="637"/>
      <c r="ALX42" s="637"/>
      <c r="ALY42" s="637"/>
      <c r="ALZ42" s="637"/>
      <c r="AMA42" s="637"/>
      <c r="AMB42" s="637"/>
      <c r="AMC42" s="637"/>
      <c r="AMD42" s="637"/>
      <c r="AME42" s="637"/>
      <c r="AMF42" s="637"/>
      <c r="AMG42" s="637"/>
      <c r="AMH42" s="637"/>
      <c r="AMI42" s="637"/>
      <c r="AMJ42" s="637"/>
    </row>
    <row r="43" spans="1:1024" s="638" customFormat="1" ht="12.75" hidden="1">
      <c r="A43" s="984"/>
      <c r="B43" s="985"/>
      <c r="C43" s="986"/>
      <c r="D43" s="988"/>
      <c r="E43" s="989"/>
      <c r="F43" s="989">
        <f>SUM(G43:R43)</f>
        <v>59946</v>
      </c>
      <c r="G43" s="993">
        <v>46159</v>
      </c>
      <c r="H43" s="993">
        <v>13787</v>
      </c>
      <c r="I43" s="993">
        <v>0</v>
      </c>
      <c r="J43" s="993"/>
      <c r="K43" s="993"/>
      <c r="L43" s="993"/>
      <c r="M43" s="993"/>
      <c r="N43" s="993"/>
      <c r="O43" s="993"/>
      <c r="P43" s="993"/>
      <c r="Q43" s="993"/>
      <c r="R43" s="991"/>
      <c r="S43" s="637"/>
      <c r="T43" s="637"/>
      <c r="U43" s="637"/>
      <c r="V43" s="637"/>
      <c r="W43" s="637"/>
      <c r="X43" s="637"/>
      <c r="Y43" s="637"/>
      <c r="Z43" s="637"/>
      <c r="AA43" s="637"/>
      <c r="AB43" s="637"/>
      <c r="AC43" s="637"/>
      <c r="AD43" s="637"/>
      <c r="AE43" s="637"/>
      <c r="AF43" s="637"/>
      <c r="AG43" s="637"/>
      <c r="AH43" s="637"/>
      <c r="AI43" s="637"/>
      <c r="AJ43" s="637"/>
      <c r="AK43" s="637"/>
      <c r="AL43" s="637"/>
      <c r="AM43" s="637"/>
      <c r="AN43" s="637"/>
      <c r="AO43" s="637"/>
      <c r="AP43" s="637"/>
      <c r="AQ43" s="637"/>
      <c r="AR43" s="637"/>
      <c r="AS43" s="637"/>
      <c r="AT43" s="637"/>
      <c r="AU43" s="637"/>
      <c r="AV43" s="637"/>
      <c r="AW43" s="637"/>
      <c r="AX43" s="637"/>
      <c r="AY43" s="637"/>
      <c r="AZ43" s="637"/>
      <c r="BA43" s="637"/>
      <c r="BB43" s="637"/>
      <c r="BC43" s="637"/>
      <c r="BD43" s="637"/>
      <c r="BE43" s="637"/>
      <c r="BF43" s="637"/>
      <c r="BG43" s="637"/>
      <c r="BH43" s="637"/>
      <c r="BI43" s="637"/>
      <c r="BJ43" s="637"/>
      <c r="BK43" s="637"/>
      <c r="BL43" s="637"/>
      <c r="BM43" s="637"/>
      <c r="BN43" s="637"/>
      <c r="BO43" s="637"/>
      <c r="BP43" s="637"/>
      <c r="BQ43" s="637"/>
      <c r="BR43" s="637"/>
      <c r="BS43" s="637"/>
      <c r="BT43" s="637"/>
      <c r="BU43" s="637"/>
      <c r="BV43" s="637"/>
      <c r="BW43" s="637"/>
      <c r="BX43" s="637"/>
      <c r="BY43" s="637"/>
      <c r="BZ43" s="637"/>
      <c r="CA43" s="637"/>
      <c r="CB43" s="637"/>
      <c r="CC43" s="637"/>
      <c r="CD43" s="637"/>
      <c r="CE43" s="637"/>
      <c r="CF43" s="637"/>
      <c r="CG43" s="637"/>
      <c r="CH43" s="637"/>
      <c r="CI43" s="637"/>
      <c r="CJ43" s="637"/>
      <c r="CK43" s="637"/>
      <c r="CL43" s="637"/>
      <c r="CM43" s="637"/>
      <c r="CN43" s="637"/>
      <c r="CO43" s="637"/>
      <c r="CP43" s="637"/>
      <c r="CQ43" s="637"/>
      <c r="CR43" s="637"/>
      <c r="CS43" s="637"/>
      <c r="CT43" s="637"/>
      <c r="CU43" s="637"/>
      <c r="CV43" s="637"/>
      <c r="CW43" s="637"/>
      <c r="CX43" s="637"/>
      <c r="CY43" s="637"/>
      <c r="CZ43" s="637"/>
      <c r="DA43" s="637"/>
      <c r="DB43" s="637"/>
      <c r="DC43" s="637"/>
      <c r="DD43" s="637"/>
      <c r="DE43" s="637"/>
      <c r="DF43" s="637"/>
      <c r="DG43" s="637"/>
      <c r="DH43" s="637"/>
      <c r="DI43" s="637"/>
      <c r="DJ43" s="637"/>
      <c r="DK43" s="637"/>
      <c r="DL43" s="637"/>
      <c r="DM43" s="637"/>
      <c r="DN43" s="637"/>
      <c r="DO43" s="637"/>
      <c r="DP43" s="637"/>
      <c r="DQ43" s="637"/>
      <c r="DR43" s="637"/>
      <c r="DS43" s="637"/>
      <c r="DT43" s="637"/>
      <c r="DU43" s="637"/>
      <c r="DV43" s="637"/>
      <c r="DW43" s="637"/>
      <c r="DX43" s="637"/>
      <c r="DY43" s="637"/>
      <c r="DZ43" s="637"/>
      <c r="EA43" s="637"/>
      <c r="EB43" s="637"/>
      <c r="EC43" s="637"/>
      <c r="ED43" s="637"/>
      <c r="EE43" s="637"/>
      <c r="EF43" s="637"/>
      <c r="EG43" s="637"/>
      <c r="EH43" s="637"/>
      <c r="EI43" s="637"/>
      <c r="EJ43" s="637"/>
      <c r="EK43" s="637"/>
      <c r="EL43" s="637"/>
      <c r="EM43" s="637"/>
      <c r="EN43" s="637"/>
      <c r="EO43" s="637"/>
      <c r="EP43" s="637"/>
      <c r="EQ43" s="637"/>
      <c r="ER43" s="637"/>
      <c r="ES43" s="637"/>
      <c r="ET43" s="637"/>
      <c r="EU43" s="637"/>
      <c r="EV43" s="637"/>
      <c r="EW43" s="637"/>
      <c r="EX43" s="637"/>
      <c r="EY43" s="637"/>
      <c r="EZ43" s="637"/>
      <c r="FA43" s="637"/>
      <c r="FB43" s="637"/>
      <c r="FC43" s="637"/>
      <c r="FD43" s="637"/>
      <c r="FE43" s="637"/>
      <c r="FF43" s="637"/>
      <c r="FG43" s="637"/>
      <c r="FH43" s="637"/>
      <c r="FI43" s="637"/>
      <c r="FJ43" s="637"/>
      <c r="FK43" s="637"/>
      <c r="FL43" s="637"/>
      <c r="FM43" s="637"/>
      <c r="FN43" s="637"/>
      <c r="FO43" s="637"/>
      <c r="FP43" s="637"/>
      <c r="FQ43" s="637"/>
      <c r="FR43" s="637"/>
      <c r="FS43" s="637"/>
      <c r="FT43" s="637"/>
      <c r="FU43" s="637"/>
      <c r="FV43" s="637"/>
      <c r="FW43" s="637"/>
      <c r="FX43" s="637"/>
      <c r="FY43" s="637"/>
      <c r="FZ43" s="637"/>
      <c r="GA43" s="637"/>
      <c r="GB43" s="637"/>
      <c r="GC43" s="637"/>
      <c r="GD43" s="637"/>
      <c r="GE43" s="637"/>
      <c r="GF43" s="637"/>
      <c r="GG43" s="637"/>
      <c r="GH43" s="637"/>
      <c r="GI43" s="637"/>
      <c r="GJ43" s="637"/>
      <c r="GK43" s="637"/>
      <c r="GL43" s="637"/>
      <c r="GM43" s="637"/>
      <c r="GN43" s="637"/>
      <c r="GO43" s="637"/>
      <c r="GP43" s="637"/>
      <c r="GQ43" s="637"/>
      <c r="GR43" s="637"/>
      <c r="GS43" s="637"/>
      <c r="GT43" s="637"/>
      <c r="GU43" s="637"/>
      <c r="GV43" s="637"/>
      <c r="GW43" s="637"/>
      <c r="GX43" s="637"/>
      <c r="GY43" s="637"/>
      <c r="GZ43" s="637"/>
      <c r="HA43" s="637"/>
      <c r="HB43" s="637"/>
      <c r="HC43" s="637"/>
      <c r="HD43" s="637"/>
      <c r="HE43" s="637"/>
      <c r="HF43" s="637"/>
      <c r="HG43" s="637"/>
      <c r="HH43" s="637"/>
      <c r="HI43" s="637"/>
      <c r="HJ43" s="637"/>
      <c r="HK43" s="637"/>
      <c r="HL43" s="637"/>
      <c r="HM43" s="637"/>
      <c r="HN43" s="637"/>
      <c r="HO43" s="637"/>
      <c r="HP43" s="637"/>
      <c r="HQ43" s="637"/>
      <c r="HR43" s="637"/>
      <c r="HS43" s="637"/>
      <c r="HT43" s="637"/>
      <c r="HU43" s="637"/>
      <c r="HV43" s="637"/>
      <c r="HW43" s="637"/>
      <c r="HX43" s="637"/>
      <c r="HY43" s="637"/>
      <c r="HZ43" s="637"/>
      <c r="IA43" s="637"/>
      <c r="IB43" s="637"/>
      <c r="IC43" s="637"/>
      <c r="ID43" s="637"/>
      <c r="IE43" s="637"/>
      <c r="IF43" s="637"/>
      <c r="IG43" s="637"/>
      <c r="IH43" s="637"/>
      <c r="II43" s="637"/>
      <c r="IJ43" s="637"/>
      <c r="IK43" s="637"/>
      <c r="IL43" s="637"/>
      <c r="IM43" s="637"/>
      <c r="IN43" s="637"/>
      <c r="IO43" s="637"/>
      <c r="IP43" s="637"/>
      <c r="IQ43" s="637"/>
      <c r="IR43" s="637"/>
      <c r="IS43" s="637"/>
      <c r="IT43" s="637"/>
      <c r="IU43" s="637"/>
      <c r="IV43" s="637"/>
      <c r="IW43" s="637"/>
      <c r="IX43" s="637"/>
      <c r="IY43" s="637"/>
      <c r="IZ43" s="637"/>
      <c r="JA43" s="637"/>
      <c r="JB43" s="637"/>
      <c r="JC43" s="637"/>
      <c r="JD43" s="637"/>
      <c r="JE43" s="637"/>
      <c r="JF43" s="637"/>
      <c r="JG43" s="637"/>
      <c r="JH43" s="637"/>
      <c r="JI43" s="637"/>
      <c r="JJ43" s="637"/>
      <c r="JK43" s="637"/>
      <c r="JL43" s="637"/>
      <c r="JM43" s="637"/>
      <c r="JN43" s="637"/>
      <c r="JO43" s="637"/>
      <c r="JP43" s="637"/>
      <c r="JQ43" s="637"/>
      <c r="JR43" s="637"/>
      <c r="JS43" s="637"/>
      <c r="JT43" s="637"/>
      <c r="JU43" s="637"/>
      <c r="JV43" s="637"/>
      <c r="JW43" s="637"/>
      <c r="JX43" s="637"/>
      <c r="JY43" s="637"/>
      <c r="JZ43" s="637"/>
      <c r="KA43" s="637"/>
      <c r="KB43" s="637"/>
      <c r="KC43" s="637"/>
      <c r="KD43" s="637"/>
      <c r="KE43" s="637"/>
      <c r="KF43" s="637"/>
      <c r="KG43" s="637"/>
      <c r="KH43" s="637"/>
      <c r="KI43" s="637"/>
      <c r="KJ43" s="637"/>
      <c r="KK43" s="637"/>
      <c r="KL43" s="637"/>
      <c r="KM43" s="637"/>
      <c r="KN43" s="637"/>
      <c r="KO43" s="637"/>
      <c r="KP43" s="637"/>
      <c r="KQ43" s="637"/>
      <c r="KR43" s="637"/>
      <c r="KS43" s="637"/>
      <c r="KT43" s="637"/>
      <c r="KU43" s="637"/>
      <c r="KV43" s="637"/>
      <c r="KW43" s="637"/>
      <c r="KX43" s="637"/>
      <c r="KY43" s="637"/>
      <c r="KZ43" s="637"/>
      <c r="LA43" s="637"/>
      <c r="LB43" s="637"/>
      <c r="LC43" s="637"/>
      <c r="LD43" s="637"/>
      <c r="LE43" s="637"/>
      <c r="LF43" s="637"/>
      <c r="LG43" s="637"/>
      <c r="LH43" s="637"/>
      <c r="LI43" s="637"/>
      <c r="LJ43" s="637"/>
      <c r="LK43" s="637"/>
      <c r="LL43" s="637"/>
      <c r="LM43" s="637"/>
      <c r="LN43" s="637"/>
      <c r="LO43" s="637"/>
      <c r="LP43" s="637"/>
      <c r="LQ43" s="637"/>
      <c r="LR43" s="637"/>
      <c r="LS43" s="637"/>
      <c r="LT43" s="637"/>
      <c r="LU43" s="637"/>
      <c r="LV43" s="637"/>
      <c r="LW43" s="637"/>
      <c r="LX43" s="637"/>
      <c r="LY43" s="637"/>
      <c r="LZ43" s="637"/>
      <c r="MA43" s="637"/>
      <c r="MB43" s="637"/>
      <c r="MC43" s="637"/>
      <c r="MD43" s="637"/>
      <c r="ME43" s="637"/>
      <c r="MF43" s="637"/>
      <c r="MG43" s="637"/>
      <c r="MH43" s="637"/>
      <c r="MI43" s="637"/>
      <c r="MJ43" s="637"/>
      <c r="MK43" s="637"/>
      <c r="ML43" s="637"/>
      <c r="MM43" s="637"/>
      <c r="MN43" s="637"/>
      <c r="MO43" s="637"/>
      <c r="MP43" s="637"/>
      <c r="MQ43" s="637"/>
      <c r="MR43" s="637"/>
      <c r="MS43" s="637"/>
      <c r="MT43" s="637"/>
      <c r="MU43" s="637"/>
      <c r="MV43" s="637"/>
      <c r="MW43" s="637"/>
      <c r="MX43" s="637"/>
      <c r="MY43" s="637"/>
      <c r="MZ43" s="637"/>
      <c r="NA43" s="637"/>
      <c r="NB43" s="637"/>
      <c r="NC43" s="637"/>
      <c r="ND43" s="637"/>
      <c r="NE43" s="637"/>
      <c r="NF43" s="637"/>
      <c r="NG43" s="637"/>
      <c r="NH43" s="637"/>
      <c r="NI43" s="637"/>
      <c r="NJ43" s="637"/>
      <c r="NK43" s="637"/>
      <c r="NL43" s="637"/>
      <c r="NM43" s="637"/>
      <c r="NN43" s="637"/>
      <c r="NO43" s="637"/>
      <c r="NP43" s="637"/>
      <c r="NQ43" s="637"/>
      <c r="NR43" s="637"/>
      <c r="NS43" s="637"/>
      <c r="NT43" s="637"/>
      <c r="NU43" s="637"/>
      <c r="NV43" s="637"/>
      <c r="NW43" s="637"/>
      <c r="NX43" s="637"/>
      <c r="NY43" s="637"/>
      <c r="NZ43" s="637"/>
      <c r="OA43" s="637"/>
      <c r="OB43" s="637"/>
      <c r="OC43" s="637"/>
      <c r="OD43" s="637"/>
      <c r="OE43" s="637"/>
      <c r="OF43" s="637"/>
      <c r="OG43" s="637"/>
      <c r="OH43" s="637"/>
      <c r="OI43" s="637"/>
      <c r="OJ43" s="637"/>
      <c r="OK43" s="637"/>
      <c r="OL43" s="637"/>
      <c r="OM43" s="637"/>
      <c r="ON43" s="637"/>
      <c r="OO43" s="637"/>
      <c r="OP43" s="637"/>
      <c r="OQ43" s="637"/>
      <c r="OR43" s="637"/>
      <c r="OS43" s="637"/>
      <c r="OT43" s="637"/>
      <c r="OU43" s="637"/>
      <c r="OV43" s="637"/>
      <c r="OW43" s="637"/>
      <c r="OX43" s="637"/>
      <c r="OY43" s="637"/>
      <c r="OZ43" s="637"/>
      <c r="PA43" s="637"/>
      <c r="PB43" s="637"/>
      <c r="PC43" s="637"/>
      <c r="PD43" s="637"/>
      <c r="PE43" s="637"/>
      <c r="PF43" s="637"/>
      <c r="PG43" s="637"/>
      <c r="PH43" s="637"/>
      <c r="PI43" s="637"/>
      <c r="PJ43" s="637"/>
      <c r="PK43" s="637"/>
      <c r="PL43" s="637"/>
      <c r="PM43" s="637"/>
      <c r="PN43" s="637"/>
      <c r="PO43" s="637"/>
      <c r="PP43" s="637"/>
      <c r="PQ43" s="637"/>
      <c r="PR43" s="637"/>
      <c r="PS43" s="637"/>
      <c r="PT43" s="637"/>
      <c r="PU43" s="637"/>
      <c r="PV43" s="637"/>
      <c r="PW43" s="637"/>
      <c r="PX43" s="637"/>
      <c r="PY43" s="637"/>
      <c r="PZ43" s="637"/>
      <c r="QA43" s="637"/>
      <c r="QB43" s="637"/>
      <c r="QC43" s="637"/>
      <c r="QD43" s="637"/>
      <c r="QE43" s="637"/>
      <c r="QF43" s="637"/>
      <c r="QG43" s="637"/>
      <c r="QH43" s="637"/>
      <c r="QI43" s="637"/>
      <c r="QJ43" s="637"/>
      <c r="QK43" s="637"/>
      <c r="QL43" s="637"/>
      <c r="QM43" s="637"/>
      <c r="QN43" s="637"/>
      <c r="QO43" s="637"/>
      <c r="QP43" s="637"/>
      <c r="QQ43" s="637"/>
      <c r="QR43" s="637"/>
      <c r="QS43" s="637"/>
      <c r="QT43" s="637"/>
      <c r="QU43" s="637"/>
      <c r="QV43" s="637"/>
      <c r="QW43" s="637"/>
      <c r="QX43" s="637"/>
      <c r="QY43" s="637"/>
      <c r="QZ43" s="637"/>
      <c r="RA43" s="637"/>
      <c r="RB43" s="637"/>
      <c r="RC43" s="637"/>
      <c r="RD43" s="637"/>
      <c r="RE43" s="637"/>
      <c r="RF43" s="637"/>
      <c r="RG43" s="637"/>
      <c r="RH43" s="637"/>
      <c r="RI43" s="637"/>
      <c r="RJ43" s="637"/>
      <c r="RK43" s="637"/>
      <c r="RL43" s="637"/>
      <c r="RM43" s="637"/>
      <c r="RN43" s="637"/>
      <c r="RO43" s="637"/>
      <c r="RP43" s="637"/>
      <c r="RQ43" s="637"/>
      <c r="RR43" s="637"/>
      <c r="RS43" s="637"/>
      <c r="RT43" s="637"/>
      <c r="RU43" s="637"/>
      <c r="RV43" s="637"/>
      <c r="RW43" s="637"/>
      <c r="RX43" s="637"/>
      <c r="RY43" s="637"/>
      <c r="RZ43" s="637"/>
      <c r="SA43" s="637"/>
      <c r="SB43" s="637"/>
      <c r="SC43" s="637"/>
      <c r="SD43" s="637"/>
      <c r="SE43" s="637"/>
      <c r="SF43" s="637"/>
      <c r="SG43" s="637"/>
      <c r="SH43" s="637"/>
      <c r="SI43" s="637"/>
      <c r="SJ43" s="637"/>
      <c r="SK43" s="637"/>
      <c r="SL43" s="637"/>
      <c r="SM43" s="637"/>
      <c r="SN43" s="637"/>
      <c r="SO43" s="637"/>
      <c r="SP43" s="637"/>
      <c r="SQ43" s="637"/>
      <c r="SR43" s="637"/>
      <c r="SS43" s="637"/>
      <c r="ST43" s="637"/>
      <c r="SU43" s="637"/>
      <c r="SV43" s="637"/>
      <c r="SW43" s="637"/>
      <c r="SX43" s="637"/>
      <c r="SY43" s="637"/>
      <c r="SZ43" s="637"/>
      <c r="TA43" s="637"/>
      <c r="TB43" s="637"/>
      <c r="TC43" s="637"/>
      <c r="TD43" s="637"/>
      <c r="TE43" s="637"/>
      <c r="TF43" s="637"/>
      <c r="TG43" s="637"/>
      <c r="TH43" s="637"/>
      <c r="TI43" s="637"/>
      <c r="TJ43" s="637"/>
      <c r="TK43" s="637"/>
      <c r="TL43" s="637"/>
      <c r="TM43" s="637"/>
      <c r="TN43" s="637"/>
      <c r="TO43" s="637"/>
      <c r="TP43" s="637"/>
      <c r="TQ43" s="637"/>
      <c r="TR43" s="637"/>
      <c r="TS43" s="637"/>
      <c r="TT43" s="637"/>
      <c r="TU43" s="637"/>
      <c r="TV43" s="637"/>
      <c r="TW43" s="637"/>
      <c r="TX43" s="637"/>
      <c r="TY43" s="637"/>
      <c r="TZ43" s="637"/>
      <c r="UA43" s="637"/>
      <c r="UB43" s="637"/>
      <c r="UC43" s="637"/>
      <c r="UD43" s="637"/>
      <c r="UE43" s="637"/>
      <c r="UF43" s="637"/>
      <c r="UG43" s="637"/>
      <c r="UH43" s="637"/>
      <c r="UI43" s="637"/>
      <c r="UJ43" s="637"/>
      <c r="UK43" s="637"/>
      <c r="UL43" s="637"/>
      <c r="UM43" s="637"/>
      <c r="UN43" s="637"/>
      <c r="UO43" s="637"/>
      <c r="UP43" s="637"/>
      <c r="UQ43" s="637"/>
      <c r="UR43" s="637"/>
      <c r="US43" s="637"/>
      <c r="UT43" s="637"/>
      <c r="UU43" s="637"/>
      <c r="UV43" s="637"/>
      <c r="UW43" s="637"/>
      <c r="UX43" s="637"/>
      <c r="UY43" s="637"/>
      <c r="UZ43" s="637"/>
      <c r="VA43" s="637"/>
      <c r="VB43" s="637"/>
      <c r="VC43" s="637"/>
      <c r="VD43" s="637"/>
      <c r="VE43" s="637"/>
      <c r="VF43" s="637"/>
      <c r="VG43" s="637"/>
      <c r="VH43" s="637"/>
      <c r="VI43" s="637"/>
      <c r="VJ43" s="637"/>
      <c r="VK43" s="637"/>
      <c r="VL43" s="637"/>
      <c r="VM43" s="637"/>
      <c r="VN43" s="637"/>
      <c r="VO43" s="637"/>
      <c r="VP43" s="637"/>
      <c r="VQ43" s="637"/>
      <c r="VR43" s="637"/>
      <c r="VS43" s="637"/>
      <c r="VT43" s="637"/>
      <c r="VU43" s="637"/>
      <c r="VV43" s="637"/>
      <c r="VW43" s="637"/>
      <c r="VX43" s="637"/>
      <c r="VY43" s="637"/>
      <c r="VZ43" s="637"/>
      <c r="WA43" s="637"/>
      <c r="WB43" s="637"/>
      <c r="WC43" s="637"/>
      <c r="WD43" s="637"/>
      <c r="WE43" s="637"/>
      <c r="WF43" s="637"/>
      <c r="WG43" s="637"/>
      <c r="WH43" s="637"/>
      <c r="WI43" s="637"/>
      <c r="WJ43" s="637"/>
      <c r="WK43" s="637"/>
      <c r="WL43" s="637"/>
      <c r="WM43" s="637"/>
      <c r="WN43" s="637"/>
      <c r="WO43" s="637"/>
      <c r="WP43" s="637"/>
      <c r="WQ43" s="637"/>
      <c r="WR43" s="637"/>
      <c r="WS43" s="637"/>
      <c r="WT43" s="637"/>
      <c r="WU43" s="637"/>
      <c r="WV43" s="637"/>
      <c r="WW43" s="637"/>
      <c r="WX43" s="637"/>
      <c r="WY43" s="637"/>
      <c r="WZ43" s="637"/>
      <c r="XA43" s="637"/>
      <c r="XB43" s="637"/>
      <c r="XC43" s="637"/>
      <c r="XD43" s="637"/>
      <c r="XE43" s="637"/>
      <c r="XF43" s="637"/>
      <c r="XG43" s="637"/>
      <c r="XH43" s="637"/>
      <c r="XI43" s="637"/>
      <c r="XJ43" s="637"/>
      <c r="XK43" s="637"/>
      <c r="XL43" s="637"/>
      <c r="XM43" s="637"/>
      <c r="XN43" s="637"/>
      <c r="XO43" s="637"/>
      <c r="XP43" s="637"/>
      <c r="XQ43" s="637"/>
      <c r="XR43" s="637"/>
      <c r="XS43" s="637"/>
      <c r="XT43" s="637"/>
      <c r="XU43" s="637"/>
      <c r="XV43" s="637"/>
      <c r="XW43" s="637"/>
      <c r="XX43" s="637"/>
      <c r="XY43" s="637"/>
      <c r="XZ43" s="637"/>
      <c r="YA43" s="637"/>
      <c r="YB43" s="637"/>
      <c r="YC43" s="637"/>
      <c r="YD43" s="637"/>
      <c r="YE43" s="637"/>
      <c r="YF43" s="637"/>
      <c r="YG43" s="637"/>
      <c r="YH43" s="637"/>
      <c r="YI43" s="637"/>
      <c r="YJ43" s="637"/>
      <c r="YK43" s="637"/>
      <c r="YL43" s="637"/>
      <c r="YM43" s="637"/>
      <c r="YN43" s="637"/>
      <c r="YO43" s="637"/>
      <c r="YP43" s="637"/>
      <c r="YQ43" s="637"/>
      <c r="YR43" s="637"/>
      <c r="YS43" s="637"/>
      <c r="YT43" s="637"/>
      <c r="YU43" s="637"/>
      <c r="YV43" s="637"/>
      <c r="YW43" s="637"/>
      <c r="YX43" s="637"/>
      <c r="YY43" s="637"/>
      <c r="YZ43" s="637"/>
      <c r="ZA43" s="637"/>
      <c r="ZB43" s="637"/>
      <c r="ZC43" s="637"/>
      <c r="ZD43" s="637"/>
      <c r="ZE43" s="637"/>
      <c r="ZF43" s="637"/>
      <c r="ZG43" s="637"/>
      <c r="ZH43" s="637"/>
      <c r="ZI43" s="637"/>
      <c r="ZJ43" s="637"/>
      <c r="ZK43" s="637"/>
      <c r="ZL43" s="637"/>
      <c r="ZM43" s="637"/>
      <c r="ZN43" s="637"/>
      <c r="ZO43" s="637"/>
      <c r="ZP43" s="637"/>
      <c r="ZQ43" s="637"/>
      <c r="ZR43" s="637"/>
      <c r="ZS43" s="637"/>
      <c r="ZT43" s="637"/>
      <c r="ZU43" s="637"/>
      <c r="ZV43" s="637"/>
      <c r="ZW43" s="637"/>
      <c r="ZX43" s="637"/>
      <c r="ZY43" s="637"/>
      <c r="ZZ43" s="637"/>
      <c r="AAA43" s="637"/>
      <c r="AAB43" s="637"/>
      <c r="AAC43" s="637"/>
      <c r="AAD43" s="637"/>
      <c r="AAE43" s="637"/>
      <c r="AAF43" s="637"/>
      <c r="AAG43" s="637"/>
      <c r="AAH43" s="637"/>
      <c r="AAI43" s="637"/>
      <c r="AAJ43" s="637"/>
      <c r="AAK43" s="637"/>
      <c r="AAL43" s="637"/>
      <c r="AAM43" s="637"/>
      <c r="AAN43" s="637"/>
      <c r="AAO43" s="637"/>
      <c r="AAP43" s="637"/>
      <c r="AAQ43" s="637"/>
      <c r="AAR43" s="637"/>
      <c r="AAS43" s="637"/>
      <c r="AAT43" s="637"/>
      <c r="AAU43" s="637"/>
      <c r="AAV43" s="637"/>
      <c r="AAW43" s="637"/>
      <c r="AAX43" s="637"/>
      <c r="AAY43" s="637"/>
      <c r="AAZ43" s="637"/>
      <c r="ABA43" s="637"/>
      <c r="ABB43" s="637"/>
      <c r="ABC43" s="637"/>
      <c r="ABD43" s="637"/>
      <c r="ABE43" s="637"/>
      <c r="ABF43" s="637"/>
      <c r="ABG43" s="637"/>
      <c r="ABH43" s="637"/>
      <c r="ABI43" s="637"/>
      <c r="ABJ43" s="637"/>
      <c r="ABK43" s="637"/>
      <c r="ABL43" s="637"/>
      <c r="ABM43" s="637"/>
      <c r="ABN43" s="637"/>
      <c r="ABO43" s="637"/>
      <c r="ABP43" s="637"/>
      <c r="ABQ43" s="637"/>
      <c r="ABR43" s="637"/>
      <c r="ABS43" s="637"/>
      <c r="ABT43" s="637"/>
      <c r="ABU43" s="637"/>
      <c r="ABV43" s="637"/>
      <c r="ABW43" s="637"/>
      <c r="ABX43" s="637"/>
      <c r="ABY43" s="637"/>
      <c r="ABZ43" s="637"/>
      <c r="ACA43" s="637"/>
      <c r="ACB43" s="637"/>
      <c r="ACC43" s="637"/>
      <c r="ACD43" s="637"/>
      <c r="ACE43" s="637"/>
      <c r="ACF43" s="637"/>
      <c r="ACG43" s="637"/>
      <c r="ACH43" s="637"/>
      <c r="ACI43" s="637"/>
      <c r="ACJ43" s="637"/>
      <c r="ACK43" s="637"/>
      <c r="ACL43" s="637"/>
      <c r="ACM43" s="637"/>
      <c r="ACN43" s="637"/>
      <c r="ACO43" s="637"/>
      <c r="ACP43" s="637"/>
      <c r="ACQ43" s="637"/>
      <c r="ACR43" s="637"/>
      <c r="ACS43" s="637"/>
      <c r="ACT43" s="637"/>
      <c r="ACU43" s="637"/>
      <c r="ACV43" s="637"/>
      <c r="ACW43" s="637"/>
      <c r="ACX43" s="637"/>
      <c r="ACY43" s="637"/>
      <c r="ACZ43" s="637"/>
      <c r="ADA43" s="637"/>
      <c r="ADB43" s="637"/>
      <c r="ADC43" s="637"/>
      <c r="ADD43" s="637"/>
      <c r="ADE43" s="637"/>
      <c r="ADF43" s="637"/>
      <c r="ADG43" s="637"/>
      <c r="ADH43" s="637"/>
      <c r="ADI43" s="637"/>
      <c r="ADJ43" s="637"/>
      <c r="ADK43" s="637"/>
      <c r="ADL43" s="637"/>
      <c r="ADM43" s="637"/>
      <c r="ADN43" s="637"/>
      <c r="ADO43" s="637"/>
      <c r="ADP43" s="637"/>
      <c r="ADQ43" s="637"/>
      <c r="ADR43" s="637"/>
      <c r="ADS43" s="637"/>
      <c r="ADT43" s="637"/>
      <c r="ADU43" s="637"/>
      <c r="ADV43" s="637"/>
      <c r="ADW43" s="637"/>
      <c r="ADX43" s="637"/>
      <c r="ADY43" s="637"/>
      <c r="ADZ43" s="637"/>
      <c r="AEA43" s="637"/>
      <c r="AEB43" s="637"/>
      <c r="AEC43" s="637"/>
      <c r="AED43" s="637"/>
      <c r="AEE43" s="637"/>
      <c r="AEF43" s="637"/>
      <c r="AEG43" s="637"/>
      <c r="AEH43" s="637"/>
      <c r="AEI43" s="637"/>
      <c r="AEJ43" s="637"/>
      <c r="AEK43" s="637"/>
      <c r="AEL43" s="637"/>
      <c r="AEM43" s="637"/>
      <c r="AEN43" s="637"/>
      <c r="AEO43" s="637"/>
      <c r="AEP43" s="637"/>
      <c r="AEQ43" s="637"/>
      <c r="AER43" s="637"/>
      <c r="AES43" s="637"/>
      <c r="AET43" s="637"/>
      <c r="AEU43" s="637"/>
      <c r="AEV43" s="637"/>
      <c r="AEW43" s="637"/>
      <c r="AEX43" s="637"/>
      <c r="AEY43" s="637"/>
      <c r="AEZ43" s="637"/>
      <c r="AFA43" s="637"/>
      <c r="AFB43" s="637"/>
      <c r="AFC43" s="637"/>
      <c r="AFD43" s="637"/>
      <c r="AFE43" s="637"/>
      <c r="AFF43" s="637"/>
      <c r="AFG43" s="637"/>
      <c r="AFH43" s="637"/>
      <c r="AFI43" s="637"/>
      <c r="AFJ43" s="637"/>
      <c r="AFK43" s="637"/>
      <c r="AFL43" s="637"/>
      <c r="AFM43" s="637"/>
      <c r="AFN43" s="637"/>
      <c r="AFO43" s="637"/>
      <c r="AFP43" s="637"/>
      <c r="AFQ43" s="637"/>
      <c r="AFR43" s="637"/>
      <c r="AFS43" s="637"/>
      <c r="AFT43" s="637"/>
      <c r="AFU43" s="637"/>
      <c r="AFV43" s="637"/>
      <c r="AFW43" s="637"/>
      <c r="AFX43" s="637"/>
      <c r="AFY43" s="637"/>
      <c r="AFZ43" s="637"/>
      <c r="AGA43" s="637"/>
      <c r="AGB43" s="637"/>
      <c r="AGC43" s="637"/>
      <c r="AGD43" s="637"/>
      <c r="AGE43" s="637"/>
      <c r="AGF43" s="637"/>
      <c r="AGG43" s="637"/>
      <c r="AGH43" s="637"/>
      <c r="AGI43" s="637"/>
      <c r="AGJ43" s="637"/>
      <c r="AGK43" s="637"/>
      <c r="AGL43" s="637"/>
      <c r="AGM43" s="637"/>
      <c r="AGN43" s="637"/>
      <c r="AGO43" s="637"/>
      <c r="AGP43" s="637"/>
      <c r="AGQ43" s="637"/>
      <c r="AGR43" s="637"/>
      <c r="AGS43" s="637"/>
      <c r="AGT43" s="637"/>
      <c r="AGU43" s="637"/>
      <c r="AGV43" s="637"/>
      <c r="AGW43" s="637"/>
      <c r="AGX43" s="637"/>
      <c r="AGY43" s="637"/>
      <c r="AGZ43" s="637"/>
      <c r="AHA43" s="637"/>
      <c r="AHB43" s="637"/>
      <c r="AHC43" s="637"/>
      <c r="AHD43" s="637"/>
      <c r="AHE43" s="637"/>
      <c r="AHF43" s="637"/>
      <c r="AHG43" s="637"/>
      <c r="AHH43" s="637"/>
      <c r="AHI43" s="637"/>
      <c r="AHJ43" s="637"/>
      <c r="AHK43" s="637"/>
      <c r="AHL43" s="637"/>
      <c r="AHM43" s="637"/>
      <c r="AHN43" s="637"/>
      <c r="AHO43" s="637"/>
      <c r="AHP43" s="637"/>
      <c r="AHQ43" s="637"/>
      <c r="AHR43" s="637"/>
      <c r="AHS43" s="637"/>
      <c r="AHT43" s="637"/>
      <c r="AHU43" s="637"/>
      <c r="AHV43" s="637"/>
      <c r="AHW43" s="637"/>
      <c r="AHX43" s="637"/>
      <c r="AHY43" s="637"/>
      <c r="AHZ43" s="637"/>
      <c r="AIA43" s="637"/>
      <c r="AIB43" s="637"/>
      <c r="AIC43" s="637"/>
      <c r="AID43" s="637"/>
      <c r="AIE43" s="637"/>
      <c r="AIF43" s="637"/>
      <c r="AIG43" s="637"/>
      <c r="AIH43" s="637"/>
      <c r="AII43" s="637"/>
      <c r="AIJ43" s="637"/>
      <c r="AIK43" s="637"/>
      <c r="AIL43" s="637"/>
      <c r="AIM43" s="637"/>
      <c r="AIN43" s="637"/>
      <c r="AIO43" s="637"/>
      <c r="AIP43" s="637"/>
      <c r="AIQ43" s="637"/>
      <c r="AIR43" s="637"/>
      <c r="AIS43" s="637"/>
      <c r="AIT43" s="637"/>
      <c r="AIU43" s="637"/>
      <c r="AIV43" s="637"/>
      <c r="AIW43" s="637"/>
      <c r="AIX43" s="637"/>
      <c r="AIY43" s="637"/>
      <c r="AIZ43" s="637"/>
      <c r="AJA43" s="637"/>
      <c r="AJB43" s="637"/>
      <c r="AJC43" s="637"/>
      <c r="AJD43" s="637"/>
      <c r="AJE43" s="637"/>
      <c r="AJF43" s="637"/>
      <c r="AJG43" s="637"/>
      <c r="AJH43" s="637"/>
      <c r="AJI43" s="637"/>
      <c r="AJJ43" s="637"/>
      <c r="AJK43" s="637"/>
      <c r="AJL43" s="637"/>
      <c r="AJM43" s="637"/>
      <c r="AJN43" s="637"/>
      <c r="AJO43" s="637"/>
      <c r="AJP43" s="637"/>
      <c r="AJQ43" s="637"/>
      <c r="AJR43" s="637"/>
      <c r="AJS43" s="637"/>
      <c r="AJT43" s="637"/>
      <c r="AJU43" s="637"/>
      <c r="AJV43" s="637"/>
      <c r="AJW43" s="637"/>
      <c r="AJX43" s="637"/>
      <c r="AJY43" s="637"/>
      <c r="AJZ43" s="637"/>
      <c r="AKA43" s="637"/>
      <c r="AKB43" s="637"/>
      <c r="AKC43" s="637"/>
      <c r="AKD43" s="637"/>
      <c r="AKE43" s="637"/>
      <c r="AKF43" s="637"/>
      <c r="AKG43" s="637"/>
      <c r="AKH43" s="637"/>
      <c r="AKI43" s="637"/>
      <c r="AKJ43" s="637"/>
      <c r="AKK43" s="637"/>
      <c r="AKL43" s="637"/>
      <c r="AKM43" s="637"/>
      <c r="AKN43" s="637"/>
      <c r="AKO43" s="637"/>
      <c r="AKP43" s="637"/>
      <c r="AKQ43" s="637"/>
      <c r="AKR43" s="637"/>
      <c r="AKS43" s="637"/>
      <c r="AKT43" s="637"/>
      <c r="AKU43" s="637"/>
      <c r="AKV43" s="637"/>
      <c r="AKW43" s="637"/>
      <c r="AKX43" s="637"/>
      <c r="AKY43" s="637"/>
      <c r="AKZ43" s="637"/>
      <c r="ALA43" s="637"/>
      <c r="ALB43" s="637"/>
      <c r="ALC43" s="637"/>
      <c r="ALD43" s="637"/>
      <c r="ALE43" s="637"/>
      <c r="ALF43" s="637"/>
      <c r="ALG43" s="637"/>
      <c r="ALH43" s="637"/>
      <c r="ALI43" s="637"/>
      <c r="ALJ43" s="637"/>
      <c r="ALK43" s="637"/>
      <c r="ALL43" s="637"/>
      <c r="ALM43" s="637"/>
      <c r="ALN43" s="637"/>
      <c r="ALO43" s="637"/>
      <c r="ALP43" s="637"/>
      <c r="ALQ43" s="637"/>
      <c r="ALR43" s="637"/>
      <c r="ALS43" s="637"/>
      <c r="ALT43" s="637"/>
      <c r="ALU43" s="637"/>
      <c r="ALV43" s="637"/>
      <c r="ALW43" s="637"/>
      <c r="ALX43" s="637"/>
      <c r="ALY43" s="637"/>
      <c r="ALZ43" s="637"/>
      <c r="AMA43" s="637"/>
      <c r="AMB43" s="637"/>
      <c r="AMC43" s="637"/>
      <c r="AMD43" s="637"/>
      <c r="AME43" s="637"/>
      <c r="AMF43" s="637"/>
      <c r="AMG43" s="637"/>
      <c r="AMH43" s="637"/>
      <c r="AMI43" s="637"/>
      <c r="AMJ43" s="637"/>
    </row>
    <row r="44" spans="1:1024" s="638" customFormat="1" ht="12.75">
      <c r="A44" s="984" t="s">
        <v>122</v>
      </c>
      <c r="B44" s="985" t="s">
        <v>145</v>
      </c>
      <c r="C44" s="986" t="s">
        <v>146</v>
      </c>
      <c r="D44" s="981" t="s">
        <v>4</v>
      </c>
      <c r="E44" s="982">
        <v>1550</v>
      </c>
      <c r="F44" s="982">
        <f t="shared" si="2"/>
        <v>5152</v>
      </c>
      <c r="G44" s="983">
        <v>1200</v>
      </c>
      <c r="H44" s="983">
        <v>292</v>
      </c>
      <c r="I44" s="983">
        <v>3010</v>
      </c>
      <c r="J44" s="983"/>
      <c r="K44" s="983"/>
      <c r="L44" s="983"/>
      <c r="M44" s="983"/>
      <c r="N44" s="983">
        <v>650</v>
      </c>
      <c r="O44" s="983"/>
      <c r="P44" s="983"/>
      <c r="Q44" s="983"/>
      <c r="R44" s="984"/>
      <c r="S44" s="637"/>
      <c r="T44" s="637"/>
      <c r="U44" s="637"/>
      <c r="V44" s="637"/>
      <c r="W44" s="637"/>
      <c r="X44" s="637"/>
      <c r="Y44" s="637"/>
      <c r="Z44" s="637"/>
      <c r="AA44" s="637"/>
      <c r="AB44" s="637"/>
      <c r="AC44" s="637"/>
      <c r="AD44" s="637"/>
      <c r="AE44" s="637"/>
      <c r="AF44" s="637"/>
      <c r="AG44" s="637"/>
      <c r="AH44" s="637"/>
      <c r="AI44" s="637"/>
      <c r="AJ44" s="637"/>
      <c r="AK44" s="637"/>
      <c r="AL44" s="637"/>
      <c r="AM44" s="637"/>
      <c r="AN44" s="637"/>
      <c r="AO44" s="637"/>
      <c r="AP44" s="637"/>
      <c r="AQ44" s="637"/>
      <c r="AR44" s="637"/>
      <c r="AS44" s="637"/>
      <c r="AT44" s="637"/>
      <c r="AU44" s="637"/>
      <c r="AV44" s="637"/>
      <c r="AW44" s="637"/>
      <c r="AX44" s="637"/>
      <c r="AY44" s="637"/>
      <c r="AZ44" s="637"/>
      <c r="BA44" s="637"/>
      <c r="BB44" s="637"/>
      <c r="BC44" s="637"/>
      <c r="BD44" s="637"/>
      <c r="BE44" s="637"/>
      <c r="BF44" s="637"/>
      <c r="BG44" s="637"/>
      <c r="BH44" s="637"/>
      <c r="BI44" s="637"/>
      <c r="BJ44" s="637"/>
      <c r="BK44" s="637"/>
      <c r="BL44" s="637"/>
      <c r="BM44" s="637"/>
      <c r="BN44" s="637"/>
      <c r="BO44" s="637"/>
      <c r="BP44" s="637"/>
      <c r="BQ44" s="637"/>
      <c r="BR44" s="637"/>
      <c r="BS44" s="637"/>
      <c r="BT44" s="637"/>
      <c r="BU44" s="637"/>
      <c r="BV44" s="637"/>
      <c r="BW44" s="637"/>
      <c r="BX44" s="637"/>
      <c r="BY44" s="637"/>
      <c r="BZ44" s="637"/>
      <c r="CA44" s="637"/>
      <c r="CB44" s="637"/>
      <c r="CC44" s="637"/>
      <c r="CD44" s="637"/>
      <c r="CE44" s="637"/>
      <c r="CF44" s="637"/>
      <c r="CG44" s="637"/>
      <c r="CH44" s="637"/>
      <c r="CI44" s="637"/>
      <c r="CJ44" s="637"/>
      <c r="CK44" s="637"/>
      <c r="CL44" s="637"/>
      <c r="CM44" s="637"/>
      <c r="CN44" s="637"/>
      <c r="CO44" s="637"/>
      <c r="CP44" s="637"/>
      <c r="CQ44" s="637"/>
      <c r="CR44" s="637"/>
      <c r="CS44" s="637"/>
      <c r="CT44" s="637"/>
      <c r="CU44" s="637"/>
      <c r="CV44" s="637"/>
      <c r="CW44" s="637"/>
      <c r="CX44" s="637"/>
      <c r="CY44" s="637"/>
      <c r="CZ44" s="637"/>
      <c r="DA44" s="637"/>
      <c r="DB44" s="637"/>
      <c r="DC44" s="637"/>
      <c r="DD44" s="637"/>
      <c r="DE44" s="637"/>
      <c r="DF44" s="637"/>
      <c r="DG44" s="637"/>
      <c r="DH44" s="637"/>
      <c r="DI44" s="637"/>
      <c r="DJ44" s="637"/>
      <c r="DK44" s="637"/>
      <c r="DL44" s="637"/>
      <c r="DM44" s="637"/>
      <c r="DN44" s="637"/>
      <c r="DO44" s="637"/>
      <c r="DP44" s="637"/>
      <c r="DQ44" s="637"/>
      <c r="DR44" s="637"/>
      <c r="DS44" s="637"/>
      <c r="DT44" s="637"/>
      <c r="DU44" s="637"/>
      <c r="DV44" s="637"/>
      <c r="DW44" s="637"/>
      <c r="DX44" s="637"/>
      <c r="DY44" s="637"/>
      <c r="DZ44" s="637"/>
      <c r="EA44" s="637"/>
      <c r="EB44" s="637"/>
      <c r="EC44" s="637"/>
      <c r="ED44" s="637"/>
      <c r="EE44" s="637"/>
      <c r="EF44" s="637"/>
      <c r="EG44" s="637"/>
      <c r="EH44" s="637"/>
      <c r="EI44" s="637"/>
      <c r="EJ44" s="637"/>
      <c r="EK44" s="637"/>
      <c r="EL44" s="637"/>
      <c r="EM44" s="637"/>
      <c r="EN44" s="637"/>
      <c r="EO44" s="637"/>
      <c r="EP44" s="637"/>
      <c r="EQ44" s="637"/>
      <c r="ER44" s="637"/>
      <c r="ES44" s="637"/>
      <c r="ET44" s="637"/>
      <c r="EU44" s="637"/>
      <c r="EV44" s="637"/>
      <c r="EW44" s="637"/>
      <c r="EX44" s="637"/>
      <c r="EY44" s="637"/>
      <c r="EZ44" s="637"/>
      <c r="FA44" s="637"/>
      <c r="FB44" s="637"/>
      <c r="FC44" s="637"/>
      <c r="FD44" s="637"/>
      <c r="FE44" s="637"/>
      <c r="FF44" s="637"/>
      <c r="FG44" s="637"/>
      <c r="FH44" s="637"/>
      <c r="FI44" s="637"/>
      <c r="FJ44" s="637"/>
      <c r="FK44" s="637"/>
      <c r="FL44" s="637"/>
      <c r="FM44" s="637"/>
      <c r="FN44" s="637"/>
      <c r="FO44" s="637"/>
      <c r="FP44" s="637"/>
      <c r="FQ44" s="637"/>
      <c r="FR44" s="637"/>
      <c r="FS44" s="637"/>
      <c r="FT44" s="637"/>
      <c r="FU44" s="637"/>
      <c r="FV44" s="637"/>
      <c r="FW44" s="637"/>
      <c r="FX44" s="637"/>
      <c r="FY44" s="637"/>
      <c r="FZ44" s="637"/>
      <c r="GA44" s="637"/>
      <c r="GB44" s="637"/>
      <c r="GC44" s="637"/>
      <c r="GD44" s="637"/>
      <c r="GE44" s="637"/>
      <c r="GF44" s="637"/>
      <c r="GG44" s="637"/>
      <c r="GH44" s="637"/>
      <c r="GI44" s="637"/>
      <c r="GJ44" s="637"/>
      <c r="GK44" s="637"/>
      <c r="GL44" s="637"/>
      <c r="GM44" s="637"/>
      <c r="GN44" s="637"/>
      <c r="GO44" s="637"/>
      <c r="GP44" s="637"/>
      <c r="GQ44" s="637"/>
      <c r="GR44" s="637"/>
      <c r="GS44" s="637"/>
      <c r="GT44" s="637"/>
      <c r="GU44" s="637"/>
      <c r="GV44" s="637"/>
      <c r="GW44" s="637"/>
      <c r="GX44" s="637"/>
      <c r="GY44" s="637"/>
      <c r="GZ44" s="637"/>
      <c r="HA44" s="637"/>
      <c r="HB44" s="637"/>
      <c r="HC44" s="637"/>
      <c r="HD44" s="637"/>
      <c r="HE44" s="637"/>
      <c r="HF44" s="637"/>
      <c r="HG44" s="637"/>
      <c r="HH44" s="637"/>
      <c r="HI44" s="637"/>
      <c r="HJ44" s="637"/>
      <c r="HK44" s="637"/>
      <c r="HL44" s="637"/>
      <c r="HM44" s="637"/>
      <c r="HN44" s="637"/>
      <c r="HO44" s="637"/>
      <c r="HP44" s="637"/>
      <c r="HQ44" s="637"/>
      <c r="HR44" s="637"/>
      <c r="HS44" s="637"/>
      <c r="HT44" s="637"/>
      <c r="HU44" s="637"/>
      <c r="HV44" s="637"/>
      <c r="HW44" s="637"/>
      <c r="HX44" s="637"/>
      <c r="HY44" s="637"/>
      <c r="HZ44" s="637"/>
      <c r="IA44" s="637"/>
      <c r="IB44" s="637"/>
      <c r="IC44" s="637"/>
      <c r="ID44" s="637"/>
      <c r="IE44" s="637"/>
      <c r="IF44" s="637"/>
      <c r="IG44" s="637"/>
      <c r="IH44" s="637"/>
      <c r="II44" s="637"/>
      <c r="IJ44" s="637"/>
      <c r="IK44" s="637"/>
      <c r="IL44" s="637"/>
      <c r="IM44" s="637"/>
      <c r="IN44" s="637"/>
      <c r="IO44" s="637"/>
      <c r="IP44" s="637"/>
      <c r="IQ44" s="637"/>
      <c r="IR44" s="637"/>
      <c r="IS44" s="637"/>
      <c r="IT44" s="637"/>
      <c r="IU44" s="637"/>
      <c r="IV44" s="637"/>
      <c r="IW44" s="637"/>
      <c r="IX44" s="637"/>
      <c r="IY44" s="637"/>
      <c r="IZ44" s="637"/>
      <c r="JA44" s="637"/>
      <c r="JB44" s="637"/>
      <c r="JC44" s="637"/>
      <c r="JD44" s="637"/>
      <c r="JE44" s="637"/>
      <c r="JF44" s="637"/>
      <c r="JG44" s="637"/>
      <c r="JH44" s="637"/>
      <c r="JI44" s="637"/>
      <c r="JJ44" s="637"/>
      <c r="JK44" s="637"/>
      <c r="JL44" s="637"/>
      <c r="JM44" s="637"/>
      <c r="JN44" s="637"/>
      <c r="JO44" s="637"/>
      <c r="JP44" s="637"/>
      <c r="JQ44" s="637"/>
      <c r="JR44" s="637"/>
      <c r="JS44" s="637"/>
      <c r="JT44" s="637"/>
      <c r="JU44" s="637"/>
      <c r="JV44" s="637"/>
      <c r="JW44" s="637"/>
      <c r="JX44" s="637"/>
      <c r="JY44" s="637"/>
      <c r="JZ44" s="637"/>
      <c r="KA44" s="637"/>
      <c r="KB44" s="637"/>
      <c r="KC44" s="637"/>
      <c r="KD44" s="637"/>
      <c r="KE44" s="637"/>
      <c r="KF44" s="637"/>
      <c r="KG44" s="637"/>
      <c r="KH44" s="637"/>
      <c r="KI44" s="637"/>
      <c r="KJ44" s="637"/>
      <c r="KK44" s="637"/>
      <c r="KL44" s="637"/>
      <c r="KM44" s="637"/>
      <c r="KN44" s="637"/>
      <c r="KO44" s="637"/>
      <c r="KP44" s="637"/>
      <c r="KQ44" s="637"/>
      <c r="KR44" s="637"/>
      <c r="KS44" s="637"/>
      <c r="KT44" s="637"/>
      <c r="KU44" s="637"/>
      <c r="KV44" s="637"/>
      <c r="KW44" s="637"/>
      <c r="KX44" s="637"/>
      <c r="KY44" s="637"/>
      <c r="KZ44" s="637"/>
      <c r="LA44" s="637"/>
      <c r="LB44" s="637"/>
      <c r="LC44" s="637"/>
      <c r="LD44" s="637"/>
      <c r="LE44" s="637"/>
      <c r="LF44" s="637"/>
      <c r="LG44" s="637"/>
      <c r="LH44" s="637"/>
      <c r="LI44" s="637"/>
      <c r="LJ44" s="637"/>
      <c r="LK44" s="637"/>
      <c r="LL44" s="637"/>
      <c r="LM44" s="637"/>
      <c r="LN44" s="637"/>
      <c r="LO44" s="637"/>
      <c r="LP44" s="637"/>
      <c r="LQ44" s="637"/>
      <c r="LR44" s="637"/>
      <c r="LS44" s="637"/>
      <c r="LT44" s="637"/>
      <c r="LU44" s="637"/>
      <c r="LV44" s="637"/>
      <c r="LW44" s="637"/>
      <c r="LX44" s="637"/>
      <c r="LY44" s="637"/>
      <c r="LZ44" s="637"/>
      <c r="MA44" s="637"/>
      <c r="MB44" s="637"/>
      <c r="MC44" s="637"/>
      <c r="MD44" s="637"/>
      <c r="ME44" s="637"/>
      <c r="MF44" s="637"/>
      <c r="MG44" s="637"/>
      <c r="MH44" s="637"/>
      <c r="MI44" s="637"/>
      <c r="MJ44" s="637"/>
      <c r="MK44" s="637"/>
      <c r="ML44" s="637"/>
      <c r="MM44" s="637"/>
      <c r="MN44" s="637"/>
      <c r="MO44" s="637"/>
      <c r="MP44" s="637"/>
      <c r="MQ44" s="637"/>
      <c r="MR44" s="637"/>
      <c r="MS44" s="637"/>
      <c r="MT44" s="637"/>
      <c r="MU44" s="637"/>
      <c r="MV44" s="637"/>
      <c r="MW44" s="637"/>
      <c r="MX44" s="637"/>
      <c r="MY44" s="637"/>
      <c r="MZ44" s="637"/>
      <c r="NA44" s="637"/>
      <c r="NB44" s="637"/>
      <c r="NC44" s="637"/>
      <c r="ND44" s="637"/>
      <c r="NE44" s="637"/>
      <c r="NF44" s="637"/>
      <c r="NG44" s="637"/>
      <c r="NH44" s="637"/>
      <c r="NI44" s="637"/>
      <c r="NJ44" s="637"/>
      <c r="NK44" s="637"/>
      <c r="NL44" s="637"/>
      <c r="NM44" s="637"/>
      <c r="NN44" s="637"/>
      <c r="NO44" s="637"/>
      <c r="NP44" s="637"/>
      <c r="NQ44" s="637"/>
      <c r="NR44" s="637"/>
      <c r="NS44" s="637"/>
      <c r="NT44" s="637"/>
      <c r="NU44" s="637"/>
      <c r="NV44" s="637"/>
      <c r="NW44" s="637"/>
      <c r="NX44" s="637"/>
      <c r="NY44" s="637"/>
      <c r="NZ44" s="637"/>
      <c r="OA44" s="637"/>
      <c r="OB44" s="637"/>
      <c r="OC44" s="637"/>
      <c r="OD44" s="637"/>
      <c r="OE44" s="637"/>
      <c r="OF44" s="637"/>
      <c r="OG44" s="637"/>
      <c r="OH44" s="637"/>
      <c r="OI44" s="637"/>
      <c r="OJ44" s="637"/>
      <c r="OK44" s="637"/>
      <c r="OL44" s="637"/>
      <c r="OM44" s="637"/>
      <c r="ON44" s="637"/>
      <c r="OO44" s="637"/>
      <c r="OP44" s="637"/>
      <c r="OQ44" s="637"/>
      <c r="OR44" s="637"/>
      <c r="OS44" s="637"/>
      <c r="OT44" s="637"/>
      <c r="OU44" s="637"/>
      <c r="OV44" s="637"/>
      <c r="OW44" s="637"/>
      <c r="OX44" s="637"/>
      <c r="OY44" s="637"/>
      <c r="OZ44" s="637"/>
      <c r="PA44" s="637"/>
      <c r="PB44" s="637"/>
      <c r="PC44" s="637"/>
      <c r="PD44" s="637"/>
      <c r="PE44" s="637"/>
      <c r="PF44" s="637"/>
      <c r="PG44" s="637"/>
      <c r="PH44" s="637"/>
      <c r="PI44" s="637"/>
      <c r="PJ44" s="637"/>
      <c r="PK44" s="637"/>
      <c r="PL44" s="637"/>
      <c r="PM44" s="637"/>
      <c r="PN44" s="637"/>
      <c r="PO44" s="637"/>
      <c r="PP44" s="637"/>
      <c r="PQ44" s="637"/>
      <c r="PR44" s="637"/>
      <c r="PS44" s="637"/>
      <c r="PT44" s="637"/>
      <c r="PU44" s="637"/>
      <c r="PV44" s="637"/>
      <c r="PW44" s="637"/>
      <c r="PX44" s="637"/>
      <c r="PY44" s="637"/>
      <c r="PZ44" s="637"/>
      <c r="QA44" s="637"/>
      <c r="QB44" s="637"/>
      <c r="QC44" s="637"/>
      <c r="QD44" s="637"/>
      <c r="QE44" s="637"/>
      <c r="QF44" s="637"/>
      <c r="QG44" s="637"/>
      <c r="QH44" s="637"/>
      <c r="QI44" s="637"/>
      <c r="QJ44" s="637"/>
      <c r="QK44" s="637"/>
      <c r="QL44" s="637"/>
      <c r="QM44" s="637"/>
      <c r="QN44" s="637"/>
      <c r="QO44" s="637"/>
      <c r="QP44" s="637"/>
      <c r="QQ44" s="637"/>
      <c r="QR44" s="637"/>
      <c r="QS44" s="637"/>
      <c r="QT44" s="637"/>
      <c r="QU44" s="637"/>
      <c r="QV44" s="637"/>
      <c r="QW44" s="637"/>
      <c r="QX44" s="637"/>
      <c r="QY44" s="637"/>
      <c r="QZ44" s="637"/>
      <c r="RA44" s="637"/>
      <c r="RB44" s="637"/>
      <c r="RC44" s="637"/>
      <c r="RD44" s="637"/>
      <c r="RE44" s="637"/>
      <c r="RF44" s="637"/>
      <c r="RG44" s="637"/>
      <c r="RH44" s="637"/>
      <c r="RI44" s="637"/>
      <c r="RJ44" s="637"/>
      <c r="RK44" s="637"/>
      <c r="RL44" s="637"/>
      <c r="RM44" s="637"/>
      <c r="RN44" s="637"/>
      <c r="RO44" s="637"/>
      <c r="RP44" s="637"/>
      <c r="RQ44" s="637"/>
      <c r="RR44" s="637"/>
      <c r="RS44" s="637"/>
      <c r="RT44" s="637"/>
      <c r="RU44" s="637"/>
      <c r="RV44" s="637"/>
      <c r="RW44" s="637"/>
      <c r="RX44" s="637"/>
      <c r="RY44" s="637"/>
      <c r="RZ44" s="637"/>
      <c r="SA44" s="637"/>
      <c r="SB44" s="637"/>
      <c r="SC44" s="637"/>
      <c r="SD44" s="637"/>
      <c r="SE44" s="637"/>
      <c r="SF44" s="637"/>
      <c r="SG44" s="637"/>
      <c r="SH44" s="637"/>
      <c r="SI44" s="637"/>
      <c r="SJ44" s="637"/>
      <c r="SK44" s="637"/>
      <c r="SL44" s="637"/>
      <c r="SM44" s="637"/>
      <c r="SN44" s="637"/>
      <c r="SO44" s="637"/>
      <c r="SP44" s="637"/>
      <c r="SQ44" s="637"/>
      <c r="SR44" s="637"/>
      <c r="SS44" s="637"/>
      <c r="ST44" s="637"/>
      <c r="SU44" s="637"/>
      <c r="SV44" s="637"/>
      <c r="SW44" s="637"/>
      <c r="SX44" s="637"/>
      <c r="SY44" s="637"/>
      <c r="SZ44" s="637"/>
      <c r="TA44" s="637"/>
      <c r="TB44" s="637"/>
      <c r="TC44" s="637"/>
      <c r="TD44" s="637"/>
      <c r="TE44" s="637"/>
      <c r="TF44" s="637"/>
      <c r="TG44" s="637"/>
      <c r="TH44" s="637"/>
      <c r="TI44" s="637"/>
      <c r="TJ44" s="637"/>
      <c r="TK44" s="637"/>
      <c r="TL44" s="637"/>
      <c r="TM44" s="637"/>
      <c r="TN44" s="637"/>
      <c r="TO44" s="637"/>
      <c r="TP44" s="637"/>
      <c r="TQ44" s="637"/>
      <c r="TR44" s="637"/>
      <c r="TS44" s="637"/>
      <c r="TT44" s="637"/>
      <c r="TU44" s="637"/>
      <c r="TV44" s="637"/>
      <c r="TW44" s="637"/>
      <c r="TX44" s="637"/>
      <c r="TY44" s="637"/>
      <c r="TZ44" s="637"/>
      <c r="UA44" s="637"/>
      <c r="UB44" s="637"/>
      <c r="UC44" s="637"/>
      <c r="UD44" s="637"/>
      <c r="UE44" s="637"/>
      <c r="UF44" s="637"/>
      <c r="UG44" s="637"/>
      <c r="UH44" s="637"/>
      <c r="UI44" s="637"/>
      <c r="UJ44" s="637"/>
      <c r="UK44" s="637"/>
      <c r="UL44" s="637"/>
      <c r="UM44" s="637"/>
      <c r="UN44" s="637"/>
      <c r="UO44" s="637"/>
      <c r="UP44" s="637"/>
      <c r="UQ44" s="637"/>
      <c r="UR44" s="637"/>
      <c r="US44" s="637"/>
      <c r="UT44" s="637"/>
      <c r="UU44" s="637"/>
      <c r="UV44" s="637"/>
      <c r="UW44" s="637"/>
      <c r="UX44" s="637"/>
      <c r="UY44" s="637"/>
      <c r="UZ44" s="637"/>
      <c r="VA44" s="637"/>
      <c r="VB44" s="637"/>
      <c r="VC44" s="637"/>
      <c r="VD44" s="637"/>
      <c r="VE44" s="637"/>
      <c r="VF44" s="637"/>
      <c r="VG44" s="637"/>
      <c r="VH44" s="637"/>
      <c r="VI44" s="637"/>
      <c r="VJ44" s="637"/>
      <c r="VK44" s="637"/>
      <c r="VL44" s="637"/>
      <c r="VM44" s="637"/>
      <c r="VN44" s="637"/>
      <c r="VO44" s="637"/>
      <c r="VP44" s="637"/>
      <c r="VQ44" s="637"/>
      <c r="VR44" s="637"/>
      <c r="VS44" s="637"/>
      <c r="VT44" s="637"/>
      <c r="VU44" s="637"/>
      <c r="VV44" s="637"/>
      <c r="VW44" s="637"/>
      <c r="VX44" s="637"/>
      <c r="VY44" s="637"/>
      <c r="VZ44" s="637"/>
      <c r="WA44" s="637"/>
      <c r="WB44" s="637"/>
      <c r="WC44" s="637"/>
      <c r="WD44" s="637"/>
      <c r="WE44" s="637"/>
      <c r="WF44" s="637"/>
      <c r="WG44" s="637"/>
      <c r="WH44" s="637"/>
      <c r="WI44" s="637"/>
      <c r="WJ44" s="637"/>
      <c r="WK44" s="637"/>
      <c r="WL44" s="637"/>
      <c r="WM44" s="637"/>
      <c r="WN44" s="637"/>
      <c r="WO44" s="637"/>
      <c r="WP44" s="637"/>
      <c r="WQ44" s="637"/>
      <c r="WR44" s="637"/>
      <c r="WS44" s="637"/>
      <c r="WT44" s="637"/>
      <c r="WU44" s="637"/>
      <c r="WV44" s="637"/>
      <c r="WW44" s="637"/>
      <c r="WX44" s="637"/>
      <c r="WY44" s="637"/>
      <c r="WZ44" s="637"/>
      <c r="XA44" s="637"/>
      <c r="XB44" s="637"/>
      <c r="XC44" s="637"/>
      <c r="XD44" s="637"/>
      <c r="XE44" s="637"/>
      <c r="XF44" s="637"/>
      <c r="XG44" s="637"/>
      <c r="XH44" s="637"/>
      <c r="XI44" s="637"/>
      <c r="XJ44" s="637"/>
      <c r="XK44" s="637"/>
      <c r="XL44" s="637"/>
      <c r="XM44" s="637"/>
      <c r="XN44" s="637"/>
      <c r="XO44" s="637"/>
      <c r="XP44" s="637"/>
      <c r="XQ44" s="637"/>
      <c r="XR44" s="637"/>
      <c r="XS44" s="637"/>
      <c r="XT44" s="637"/>
      <c r="XU44" s="637"/>
      <c r="XV44" s="637"/>
      <c r="XW44" s="637"/>
      <c r="XX44" s="637"/>
      <c r="XY44" s="637"/>
      <c r="XZ44" s="637"/>
      <c r="YA44" s="637"/>
      <c r="YB44" s="637"/>
      <c r="YC44" s="637"/>
      <c r="YD44" s="637"/>
      <c r="YE44" s="637"/>
      <c r="YF44" s="637"/>
      <c r="YG44" s="637"/>
      <c r="YH44" s="637"/>
      <c r="YI44" s="637"/>
      <c r="YJ44" s="637"/>
      <c r="YK44" s="637"/>
      <c r="YL44" s="637"/>
      <c r="YM44" s="637"/>
      <c r="YN44" s="637"/>
      <c r="YO44" s="637"/>
      <c r="YP44" s="637"/>
      <c r="YQ44" s="637"/>
      <c r="YR44" s="637"/>
      <c r="YS44" s="637"/>
      <c r="YT44" s="637"/>
      <c r="YU44" s="637"/>
      <c r="YV44" s="637"/>
      <c r="YW44" s="637"/>
      <c r="YX44" s="637"/>
      <c r="YY44" s="637"/>
      <c r="YZ44" s="637"/>
      <c r="ZA44" s="637"/>
      <c r="ZB44" s="637"/>
      <c r="ZC44" s="637"/>
      <c r="ZD44" s="637"/>
      <c r="ZE44" s="637"/>
      <c r="ZF44" s="637"/>
      <c r="ZG44" s="637"/>
      <c r="ZH44" s="637"/>
      <c r="ZI44" s="637"/>
      <c r="ZJ44" s="637"/>
      <c r="ZK44" s="637"/>
      <c r="ZL44" s="637"/>
      <c r="ZM44" s="637"/>
      <c r="ZN44" s="637"/>
      <c r="ZO44" s="637"/>
      <c r="ZP44" s="637"/>
      <c r="ZQ44" s="637"/>
      <c r="ZR44" s="637"/>
      <c r="ZS44" s="637"/>
      <c r="ZT44" s="637"/>
      <c r="ZU44" s="637"/>
      <c r="ZV44" s="637"/>
      <c r="ZW44" s="637"/>
      <c r="ZX44" s="637"/>
      <c r="ZY44" s="637"/>
      <c r="ZZ44" s="637"/>
      <c r="AAA44" s="637"/>
      <c r="AAB44" s="637"/>
      <c r="AAC44" s="637"/>
      <c r="AAD44" s="637"/>
      <c r="AAE44" s="637"/>
      <c r="AAF44" s="637"/>
      <c r="AAG44" s="637"/>
      <c r="AAH44" s="637"/>
      <c r="AAI44" s="637"/>
      <c r="AAJ44" s="637"/>
      <c r="AAK44" s="637"/>
      <c r="AAL44" s="637"/>
      <c r="AAM44" s="637"/>
      <c r="AAN44" s="637"/>
      <c r="AAO44" s="637"/>
      <c r="AAP44" s="637"/>
      <c r="AAQ44" s="637"/>
      <c r="AAR44" s="637"/>
      <c r="AAS44" s="637"/>
      <c r="AAT44" s="637"/>
      <c r="AAU44" s="637"/>
      <c r="AAV44" s="637"/>
      <c r="AAW44" s="637"/>
      <c r="AAX44" s="637"/>
      <c r="AAY44" s="637"/>
      <c r="AAZ44" s="637"/>
      <c r="ABA44" s="637"/>
      <c r="ABB44" s="637"/>
      <c r="ABC44" s="637"/>
      <c r="ABD44" s="637"/>
      <c r="ABE44" s="637"/>
      <c r="ABF44" s="637"/>
      <c r="ABG44" s="637"/>
      <c r="ABH44" s="637"/>
      <c r="ABI44" s="637"/>
      <c r="ABJ44" s="637"/>
      <c r="ABK44" s="637"/>
      <c r="ABL44" s="637"/>
      <c r="ABM44" s="637"/>
      <c r="ABN44" s="637"/>
      <c r="ABO44" s="637"/>
      <c r="ABP44" s="637"/>
      <c r="ABQ44" s="637"/>
      <c r="ABR44" s="637"/>
      <c r="ABS44" s="637"/>
      <c r="ABT44" s="637"/>
      <c r="ABU44" s="637"/>
      <c r="ABV44" s="637"/>
      <c r="ABW44" s="637"/>
      <c r="ABX44" s="637"/>
      <c r="ABY44" s="637"/>
      <c r="ABZ44" s="637"/>
      <c r="ACA44" s="637"/>
      <c r="ACB44" s="637"/>
      <c r="ACC44" s="637"/>
      <c r="ACD44" s="637"/>
      <c r="ACE44" s="637"/>
      <c r="ACF44" s="637"/>
      <c r="ACG44" s="637"/>
      <c r="ACH44" s="637"/>
      <c r="ACI44" s="637"/>
      <c r="ACJ44" s="637"/>
      <c r="ACK44" s="637"/>
      <c r="ACL44" s="637"/>
      <c r="ACM44" s="637"/>
      <c r="ACN44" s="637"/>
      <c r="ACO44" s="637"/>
      <c r="ACP44" s="637"/>
      <c r="ACQ44" s="637"/>
      <c r="ACR44" s="637"/>
      <c r="ACS44" s="637"/>
      <c r="ACT44" s="637"/>
      <c r="ACU44" s="637"/>
      <c r="ACV44" s="637"/>
      <c r="ACW44" s="637"/>
      <c r="ACX44" s="637"/>
      <c r="ACY44" s="637"/>
      <c r="ACZ44" s="637"/>
      <c r="ADA44" s="637"/>
      <c r="ADB44" s="637"/>
      <c r="ADC44" s="637"/>
      <c r="ADD44" s="637"/>
      <c r="ADE44" s="637"/>
      <c r="ADF44" s="637"/>
      <c r="ADG44" s="637"/>
      <c r="ADH44" s="637"/>
      <c r="ADI44" s="637"/>
      <c r="ADJ44" s="637"/>
      <c r="ADK44" s="637"/>
      <c r="ADL44" s="637"/>
      <c r="ADM44" s="637"/>
      <c r="ADN44" s="637"/>
      <c r="ADO44" s="637"/>
      <c r="ADP44" s="637"/>
      <c r="ADQ44" s="637"/>
      <c r="ADR44" s="637"/>
      <c r="ADS44" s="637"/>
      <c r="ADT44" s="637"/>
      <c r="ADU44" s="637"/>
      <c r="ADV44" s="637"/>
      <c r="ADW44" s="637"/>
      <c r="ADX44" s="637"/>
      <c r="ADY44" s="637"/>
      <c r="ADZ44" s="637"/>
      <c r="AEA44" s="637"/>
      <c r="AEB44" s="637"/>
      <c r="AEC44" s="637"/>
      <c r="AED44" s="637"/>
      <c r="AEE44" s="637"/>
      <c r="AEF44" s="637"/>
      <c r="AEG44" s="637"/>
      <c r="AEH44" s="637"/>
      <c r="AEI44" s="637"/>
      <c r="AEJ44" s="637"/>
      <c r="AEK44" s="637"/>
      <c r="AEL44" s="637"/>
      <c r="AEM44" s="637"/>
      <c r="AEN44" s="637"/>
      <c r="AEO44" s="637"/>
      <c r="AEP44" s="637"/>
      <c r="AEQ44" s="637"/>
      <c r="AER44" s="637"/>
      <c r="AES44" s="637"/>
      <c r="AET44" s="637"/>
      <c r="AEU44" s="637"/>
      <c r="AEV44" s="637"/>
      <c r="AEW44" s="637"/>
      <c r="AEX44" s="637"/>
      <c r="AEY44" s="637"/>
      <c r="AEZ44" s="637"/>
      <c r="AFA44" s="637"/>
      <c r="AFB44" s="637"/>
      <c r="AFC44" s="637"/>
      <c r="AFD44" s="637"/>
      <c r="AFE44" s="637"/>
      <c r="AFF44" s="637"/>
      <c r="AFG44" s="637"/>
      <c r="AFH44" s="637"/>
      <c r="AFI44" s="637"/>
      <c r="AFJ44" s="637"/>
      <c r="AFK44" s="637"/>
      <c r="AFL44" s="637"/>
      <c r="AFM44" s="637"/>
      <c r="AFN44" s="637"/>
      <c r="AFO44" s="637"/>
      <c r="AFP44" s="637"/>
      <c r="AFQ44" s="637"/>
      <c r="AFR44" s="637"/>
      <c r="AFS44" s="637"/>
      <c r="AFT44" s="637"/>
      <c r="AFU44" s="637"/>
      <c r="AFV44" s="637"/>
      <c r="AFW44" s="637"/>
      <c r="AFX44" s="637"/>
      <c r="AFY44" s="637"/>
      <c r="AFZ44" s="637"/>
      <c r="AGA44" s="637"/>
      <c r="AGB44" s="637"/>
      <c r="AGC44" s="637"/>
      <c r="AGD44" s="637"/>
      <c r="AGE44" s="637"/>
      <c r="AGF44" s="637"/>
      <c r="AGG44" s="637"/>
      <c r="AGH44" s="637"/>
      <c r="AGI44" s="637"/>
      <c r="AGJ44" s="637"/>
      <c r="AGK44" s="637"/>
      <c r="AGL44" s="637"/>
      <c r="AGM44" s="637"/>
      <c r="AGN44" s="637"/>
      <c r="AGO44" s="637"/>
      <c r="AGP44" s="637"/>
      <c r="AGQ44" s="637"/>
      <c r="AGR44" s="637"/>
      <c r="AGS44" s="637"/>
      <c r="AGT44" s="637"/>
      <c r="AGU44" s="637"/>
      <c r="AGV44" s="637"/>
      <c r="AGW44" s="637"/>
      <c r="AGX44" s="637"/>
      <c r="AGY44" s="637"/>
      <c r="AGZ44" s="637"/>
      <c r="AHA44" s="637"/>
      <c r="AHB44" s="637"/>
      <c r="AHC44" s="637"/>
      <c r="AHD44" s="637"/>
      <c r="AHE44" s="637"/>
      <c r="AHF44" s="637"/>
      <c r="AHG44" s="637"/>
      <c r="AHH44" s="637"/>
      <c r="AHI44" s="637"/>
      <c r="AHJ44" s="637"/>
      <c r="AHK44" s="637"/>
      <c r="AHL44" s="637"/>
      <c r="AHM44" s="637"/>
      <c r="AHN44" s="637"/>
      <c r="AHO44" s="637"/>
      <c r="AHP44" s="637"/>
      <c r="AHQ44" s="637"/>
      <c r="AHR44" s="637"/>
      <c r="AHS44" s="637"/>
      <c r="AHT44" s="637"/>
      <c r="AHU44" s="637"/>
      <c r="AHV44" s="637"/>
      <c r="AHW44" s="637"/>
      <c r="AHX44" s="637"/>
      <c r="AHY44" s="637"/>
      <c r="AHZ44" s="637"/>
      <c r="AIA44" s="637"/>
      <c r="AIB44" s="637"/>
      <c r="AIC44" s="637"/>
      <c r="AID44" s="637"/>
      <c r="AIE44" s="637"/>
      <c r="AIF44" s="637"/>
      <c r="AIG44" s="637"/>
      <c r="AIH44" s="637"/>
      <c r="AII44" s="637"/>
      <c r="AIJ44" s="637"/>
      <c r="AIK44" s="637"/>
      <c r="AIL44" s="637"/>
      <c r="AIM44" s="637"/>
      <c r="AIN44" s="637"/>
      <c r="AIO44" s="637"/>
      <c r="AIP44" s="637"/>
      <c r="AIQ44" s="637"/>
      <c r="AIR44" s="637"/>
      <c r="AIS44" s="637"/>
      <c r="AIT44" s="637"/>
      <c r="AIU44" s="637"/>
      <c r="AIV44" s="637"/>
      <c r="AIW44" s="637"/>
      <c r="AIX44" s="637"/>
      <c r="AIY44" s="637"/>
      <c r="AIZ44" s="637"/>
      <c r="AJA44" s="637"/>
      <c r="AJB44" s="637"/>
      <c r="AJC44" s="637"/>
      <c r="AJD44" s="637"/>
      <c r="AJE44" s="637"/>
      <c r="AJF44" s="637"/>
      <c r="AJG44" s="637"/>
      <c r="AJH44" s="637"/>
      <c r="AJI44" s="637"/>
      <c r="AJJ44" s="637"/>
      <c r="AJK44" s="637"/>
      <c r="AJL44" s="637"/>
      <c r="AJM44" s="637"/>
      <c r="AJN44" s="637"/>
      <c r="AJO44" s="637"/>
      <c r="AJP44" s="637"/>
      <c r="AJQ44" s="637"/>
      <c r="AJR44" s="637"/>
      <c r="AJS44" s="637"/>
      <c r="AJT44" s="637"/>
      <c r="AJU44" s="637"/>
      <c r="AJV44" s="637"/>
      <c r="AJW44" s="637"/>
      <c r="AJX44" s="637"/>
      <c r="AJY44" s="637"/>
      <c r="AJZ44" s="637"/>
      <c r="AKA44" s="637"/>
      <c r="AKB44" s="637"/>
      <c r="AKC44" s="637"/>
      <c r="AKD44" s="637"/>
      <c r="AKE44" s="637"/>
      <c r="AKF44" s="637"/>
      <c r="AKG44" s="637"/>
      <c r="AKH44" s="637"/>
      <c r="AKI44" s="637"/>
      <c r="AKJ44" s="637"/>
      <c r="AKK44" s="637"/>
      <c r="AKL44" s="637"/>
      <c r="AKM44" s="637"/>
      <c r="AKN44" s="637"/>
      <c r="AKO44" s="637"/>
      <c r="AKP44" s="637"/>
      <c r="AKQ44" s="637"/>
      <c r="AKR44" s="637"/>
      <c r="AKS44" s="637"/>
      <c r="AKT44" s="637"/>
      <c r="AKU44" s="637"/>
      <c r="AKV44" s="637"/>
      <c r="AKW44" s="637"/>
      <c r="AKX44" s="637"/>
      <c r="AKY44" s="637"/>
      <c r="AKZ44" s="637"/>
      <c r="ALA44" s="637"/>
      <c r="ALB44" s="637"/>
      <c r="ALC44" s="637"/>
      <c r="ALD44" s="637"/>
      <c r="ALE44" s="637"/>
      <c r="ALF44" s="637"/>
      <c r="ALG44" s="637"/>
      <c r="ALH44" s="637"/>
      <c r="ALI44" s="637"/>
      <c r="ALJ44" s="637"/>
      <c r="ALK44" s="637"/>
      <c r="ALL44" s="637"/>
      <c r="ALM44" s="637"/>
      <c r="ALN44" s="637"/>
      <c r="ALO44" s="637"/>
      <c r="ALP44" s="637"/>
      <c r="ALQ44" s="637"/>
      <c r="ALR44" s="637"/>
      <c r="ALS44" s="637"/>
      <c r="ALT44" s="637"/>
      <c r="ALU44" s="637"/>
      <c r="ALV44" s="637"/>
      <c r="ALW44" s="637"/>
      <c r="ALX44" s="637"/>
      <c r="ALY44" s="637"/>
      <c r="ALZ44" s="637"/>
      <c r="AMA44" s="637"/>
      <c r="AMB44" s="637"/>
      <c r="AMC44" s="637"/>
      <c r="AMD44" s="637"/>
      <c r="AME44" s="637"/>
      <c r="AMF44" s="637"/>
      <c r="AMG44" s="637"/>
      <c r="AMH44" s="637"/>
      <c r="AMI44" s="637"/>
      <c r="AMJ44" s="637"/>
    </row>
    <row r="45" spans="1:1024" s="638" customFormat="1" ht="12.75">
      <c r="A45" s="984"/>
      <c r="B45" s="985"/>
      <c r="C45" s="986"/>
      <c r="D45" s="981" t="s">
        <v>861</v>
      </c>
      <c r="E45" s="982"/>
      <c r="F45" s="982"/>
      <c r="G45" s="983"/>
      <c r="H45" s="983"/>
      <c r="I45" s="983"/>
      <c r="J45" s="983"/>
      <c r="K45" s="983"/>
      <c r="L45" s="983"/>
      <c r="M45" s="983"/>
      <c r="N45" s="983"/>
      <c r="O45" s="983"/>
      <c r="P45" s="983"/>
      <c r="Q45" s="983"/>
      <c r="R45" s="984"/>
      <c r="S45" s="637"/>
      <c r="T45" s="637"/>
      <c r="U45" s="637"/>
      <c r="V45" s="637"/>
      <c r="W45" s="637"/>
      <c r="X45" s="637"/>
      <c r="Y45" s="637"/>
      <c r="Z45" s="637"/>
      <c r="AA45" s="637"/>
      <c r="AB45" s="637"/>
      <c r="AC45" s="637"/>
      <c r="AD45" s="637"/>
      <c r="AE45" s="637"/>
      <c r="AF45" s="637"/>
      <c r="AG45" s="637"/>
      <c r="AH45" s="637"/>
      <c r="AI45" s="637"/>
      <c r="AJ45" s="637"/>
      <c r="AK45" s="637"/>
      <c r="AL45" s="637"/>
      <c r="AM45" s="637"/>
      <c r="AN45" s="637"/>
      <c r="AO45" s="637"/>
      <c r="AP45" s="637"/>
      <c r="AQ45" s="637"/>
      <c r="AR45" s="637"/>
      <c r="AS45" s="637"/>
      <c r="AT45" s="637"/>
      <c r="AU45" s="637"/>
      <c r="AV45" s="637"/>
      <c r="AW45" s="637"/>
      <c r="AX45" s="637"/>
      <c r="AY45" s="637"/>
      <c r="AZ45" s="637"/>
      <c r="BA45" s="637"/>
      <c r="BB45" s="637"/>
      <c r="BC45" s="637"/>
      <c r="BD45" s="637"/>
      <c r="BE45" s="637"/>
      <c r="BF45" s="637"/>
      <c r="BG45" s="637"/>
      <c r="BH45" s="637"/>
      <c r="BI45" s="637"/>
      <c r="BJ45" s="637"/>
      <c r="BK45" s="637"/>
      <c r="BL45" s="637"/>
      <c r="BM45" s="637"/>
      <c r="BN45" s="637"/>
      <c r="BO45" s="637"/>
      <c r="BP45" s="637"/>
      <c r="BQ45" s="637"/>
      <c r="BR45" s="637"/>
      <c r="BS45" s="637"/>
      <c r="BT45" s="637"/>
      <c r="BU45" s="637"/>
      <c r="BV45" s="637"/>
      <c r="BW45" s="637"/>
      <c r="BX45" s="637"/>
      <c r="BY45" s="637"/>
      <c r="BZ45" s="637"/>
      <c r="CA45" s="637"/>
      <c r="CB45" s="637"/>
      <c r="CC45" s="637"/>
      <c r="CD45" s="637"/>
      <c r="CE45" s="637"/>
      <c r="CF45" s="637"/>
      <c r="CG45" s="637"/>
      <c r="CH45" s="637"/>
      <c r="CI45" s="637"/>
      <c r="CJ45" s="637"/>
      <c r="CK45" s="637"/>
      <c r="CL45" s="637"/>
      <c r="CM45" s="637"/>
      <c r="CN45" s="637"/>
      <c r="CO45" s="637"/>
      <c r="CP45" s="637"/>
      <c r="CQ45" s="637"/>
      <c r="CR45" s="637"/>
      <c r="CS45" s="637"/>
      <c r="CT45" s="637"/>
      <c r="CU45" s="637"/>
      <c r="CV45" s="637"/>
      <c r="CW45" s="637"/>
      <c r="CX45" s="637"/>
      <c r="CY45" s="637"/>
      <c r="CZ45" s="637"/>
      <c r="DA45" s="637"/>
      <c r="DB45" s="637"/>
      <c r="DC45" s="637"/>
      <c r="DD45" s="637"/>
      <c r="DE45" s="637"/>
      <c r="DF45" s="637"/>
      <c r="DG45" s="637"/>
      <c r="DH45" s="637"/>
      <c r="DI45" s="637"/>
      <c r="DJ45" s="637"/>
      <c r="DK45" s="637"/>
      <c r="DL45" s="637"/>
      <c r="DM45" s="637"/>
      <c r="DN45" s="637"/>
      <c r="DO45" s="637"/>
      <c r="DP45" s="637"/>
      <c r="DQ45" s="637"/>
      <c r="DR45" s="637"/>
      <c r="DS45" s="637"/>
      <c r="DT45" s="637"/>
      <c r="DU45" s="637"/>
      <c r="DV45" s="637"/>
      <c r="DW45" s="637"/>
      <c r="DX45" s="637"/>
      <c r="DY45" s="637"/>
      <c r="DZ45" s="637"/>
      <c r="EA45" s="637"/>
      <c r="EB45" s="637"/>
      <c r="EC45" s="637"/>
      <c r="ED45" s="637"/>
      <c r="EE45" s="637"/>
      <c r="EF45" s="637"/>
      <c r="EG45" s="637"/>
      <c r="EH45" s="637"/>
      <c r="EI45" s="637"/>
      <c r="EJ45" s="637"/>
      <c r="EK45" s="637"/>
      <c r="EL45" s="637"/>
      <c r="EM45" s="637"/>
      <c r="EN45" s="637"/>
      <c r="EO45" s="637"/>
      <c r="EP45" s="637"/>
      <c r="EQ45" s="637"/>
      <c r="ER45" s="637"/>
      <c r="ES45" s="637"/>
      <c r="ET45" s="637"/>
      <c r="EU45" s="637"/>
      <c r="EV45" s="637"/>
      <c r="EW45" s="637"/>
      <c r="EX45" s="637"/>
      <c r="EY45" s="637"/>
      <c r="EZ45" s="637"/>
      <c r="FA45" s="637"/>
      <c r="FB45" s="637"/>
      <c r="FC45" s="637"/>
      <c r="FD45" s="637"/>
      <c r="FE45" s="637"/>
      <c r="FF45" s="637"/>
      <c r="FG45" s="637"/>
      <c r="FH45" s="637"/>
      <c r="FI45" s="637"/>
      <c r="FJ45" s="637"/>
      <c r="FK45" s="637"/>
      <c r="FL45" s="637"/>
      <c r="FM45" s="637"/>
      <c r="FN45" s="637"/>
      <c r="FO45" s="637"/>
      <c r="FP45" s="637"/>
      <c r="FQ45" s="637"/>
      <c r="FR45" s="637"/>
      <c r="FS45" s="637"/>
      <c r="FT45" s="637"/>
      <c r="FU45" s="637"/>
      <c r="FV45" s="637"/>
      <c r="FW45" s="637"/>
      <c r="FX45" s="637"/>
      <c r="FY45" s="637"/>
      <c r="FZ45" s="637"/>
      <c r="GA45" s="637"/>
      <c r="GB45" s="637"/>
      <c r="GC45" s="637"/>
      <c r="GD45" s="637"/>
      <c r="GE45" s="637"/>
      <c r="GF45" s="637"/>
      <c r="GG45" s="637"/>
      <c r="GH45" s="637"/>
      <c r="GI45" s="637"/>
      <c r="GJ45" s="637"/>
      <c r="GK45" s="637"/>
      <c r="GL45" s="637"/>
      <c r="GM45" s="637"/>
      <c r="GN45" s="637"/>
      <c r="GO45" s="637"/>
      <c r="GP45" s="637"/>
      <c r="GQ45" s="637"/>
      <c r="GR45" s="637"/>
      <c r="GS45" s="637"/>
      <c r="GT45" s="637"/>
      <c r="GU45" s="637"/>
      <c r="GV45" s="637"/>
      <c r="GW45" s="637"/>
      <c r="GX45" s="637"/>
      <c r="GY45" s="637"/>
      <c r="GZ45" s="637"/>
      <c r="HA45" s="637"/>
      <c r="HB45" s="637"/>
      <c r="HC45" s="637"/>
      <c r="HD45" s="637"/>
      <c r="HE45" s="637"/>
      <c r="HF45" s="637"/>
      <c r="HG45" s="637"/>
      <c r="HH45" s="637"/>
      <c r="HI45" s="637"/>
      <c r="HJ45" s="637"/>
      <c r="HK45" s="637"/>
      <c r="HL45" s="637"/>
      <c r="HM45" s="637"/>
      <c r="HN45" s="637"/>
      <c r="HO45" s="637"/>
      <c r="HP45" s="637"/>
      <c r="HQ45" s="637"/>
      <c r="HR45" s="637"/>
      <c r="HS45" s="637"/>
      <c r="HT45" s="637"/>
      <c r="HU45" s="637"/>
      <c r="HV45" s="637"/>
      <c r="HW45" s="637"/>
      <c r="HX45" s="637"/>
      <c r="HY45" s="637"/>
      <c r="HZ45" s="637"/>
      <c r="IA45" s="637"/>
      <c r="IB45" s="637"/>
      <c r="IC45" s="637"/>
      <c r="ID45" s="637"/>
      <c r="IE45" s="637"/>
      <c r="IF45" s="637"/>
      <c r="IG45" s="637"/>
      <c r="IH45" s="637"/>
      <c r="II45" s="637"/>
      <c r="IJ45" s="637"/>
      <c r="IK45" s="637"/>
      <c r="IL45" s="637"/>
      <c r="IM45" s="637"/>
      <c r="IN45" s="637"/>
      <c r="IO45" s="637"/>
      <c r="IP45" s="637"/>
      <c r="IQ45" s="637"/>
      <c r="IR45" s="637"/>
      <c r="IS45" s="637"/>
      <c r="IT45" s="637"/>
      <c r="IU45" s="637"/>
      <c r="IV45" s="637"/>
      <c r="IW45" s="637"/>
      <c r="IX45" s="637"/>
      <c r="IY45" s="637"/>
      <c r="IZ45" s="637"/>
      <c r="JA45" s="637"/>
      <c r="JB45" s="637"/>
      <c r="JC45" s="637"/>
      <c r="JD45" s="637"/>
      <c r="JE45" s="637"/>
      <c r="JF45" s="637"/>
      <c r="JG45" s="637"/>
      <c r="JH45" s="637"/>
      <c r="JI45" s="637"/>
      <c r="JJ45" s="637"/>
      <c r="JK45" s="637"/>
      <c r="JL45" s="637"/>
      <c r="JM45" s="637"/>
      <c r="JN45" s="637"/>
      <c r="JO45" s="637"/>
      <c r="JP45" s="637"/>
      <c r="JQ45" s="637"/>
      <c r="JR45" s="637"/>
      <c r="JS45" s="637"/>
      <c r="JT45" s="637"/>
      <c r="JU45" s="637"/>
      <c r="JV45" s="637"/>
      <c r="JW45" s="637"/>
      <c r="JX45" s="637"/>
      <c r="JY45" s="637"/>
      <c r="JZ45" s="637"/>
      <c r="KA45" s="637"/>
      <c r="KB45" s="637"/>
      <c r="KC45" s="637"/>
      <c r="KD45" s="637"/>
      <c r="KE45" s="637"/>
      <c r="KF45" s="637"/>
      <c r="KG45" s="637"/>
      <c r="KH45" s="637"/>
      <c r="KI45" s="637"/>
      <c r="KJ45" s="637"/>
      <c r="KK45" s="637"/>
      <c r="KL45" s="637"/>
      <c r="KM45" s="637"/>
      <c r="KN45" s="637"/>
      <c r="KO45" s="637"/>
      <c r="KP45" s="637"/>
      <c r="KQ45" s="637"/>
      <c r="KR45" s="637"/>
      <c r="KS45" s="637"/>
      <c r="KT45" s="637"/>
      <c r="KU45" s="637"/>
      <c r="KV45" s="637"/>
      <c r="KW45" s="637"/>
      <c r="KX45" s="637"/>
      <c r="KY45" s="637"/>
      <c r="KZ45" s="637"/>
      <c r="LA45" s="637"/>
      <c r="LB45" s="637"/>
      <c r="LC45" s="637"/>
      <c r="LD45" s="637"/>
      <c r="LE45" s="637"/>
      <c r="LF45" s="637"/>
      <c r="LG45" s="637"/>
      <c r="LH45" s="637"/>
      <c r="LI45" s="637"/>
      <c r="LJ45" s="637"/>
      <c r="LK45" s="637"/>
      <c r="LL45" s="637"/>
      <c r="LM45" s="637"/>
      <c r="LN45" s="637"/>
      <c r="LO45" s="637"/>
      <c r="LP45" s="637"/>
      <c r="LQ45" s="637"/>
      <c r="LR45" s="637"/>
      <c r="LS45" s="637"/>
      <c r="LT45" s="637"/>
      <c r="LU45" s="637"/>
      <c r="LV45" s="637"/>
      <c r="LW45" s="637"/>
      <c r="LX45" s="637"/>
      <c r="LY45" s="637"/>
      <c r="LZ45" s="637"/>
      <c r="MA45" s="637"/>
      <c r="MB45" s="637"/>
      <c r="MC45" s="637"/>
      <c r="MD45" s="637"/>
      <c r="ME45" s="637"/>
      <c r="MF45" s="637"/>
      <c r="MG45" s="637"/>
      <c r="MH45" s="637"/>
      <c r="MI45" s="637"/>
      <c r="MJ45" s="637"/>
      <c r="MK45" s="637"/>
      <c r="ML45" s="637"/>
      <c r="MM45" s="637"/>
      <c r="MN45" s="637"/>
      <c r="MO45" s="637"/>
      <c r="MP45" s="637"/>
      <c r="MQ45" s="637"/>
      <c r="MR45" s="637"/>
      <c r="MS45" s="637"/>
      <c r="MT45" s="637"/>
      <c r="MU45" s="637"/>
      <c r="MV45" s="637"/>
      <c r="MW45" s="637"/>
      <c r="MX45" s="637"/>
      <c r="MY45" s="637"/>
      <c r="MZ45" s="637"/>
      <c r="NA45" s="637"/>
      <c r="NB45" s="637"/>
      <c r="NC45" s="637"/>
      <c r="ND45" s="637"/>
      <c r="NE45" s="637"/>
      <c r="NF45" s="637"/>
      <c r="NG45" s="637"/>
      <c r="NH45" s="637"/>
      <c r="NI45" s="637"/>
      <c r="NJ45" s="637"/>
      <c r="NK45" s="637"/>
      <c r="NL45" s="637"/>
      <c r="NM45" s="637"/>
      <c r="NN45" s="637"/>
      <c r="NO45" s="637"/>
      <c r="NP45" s="637"/>
      <c r="NQ45" s="637"/>
      <c r="NR45" s="637"/>
      <c r="NS45" s="637"/>
      <c r="NT45" s="637"/>
      <c r="NU45" s="637"/>
      <c r="NV45" s="637"/>
      <c r="NW45" s="637"/>
      <c r="NX45" s="637"/>
      <c r="NY45" s="637"/>
      <c r="NZ45" s="637"/>
      <c r="OA45" s="637"/>
      <c r="OB45" s="637"/>
      <c r="OC45" s="637"/>
      <c r="OD45" s="637"/>
      <c r="OE45" s="637"/>
      <c r="OF45" s="637"/>
      <c r="OG45" s="637"/>
      <c r="OH45" s="637"/>
      <c r="OI45" s="637"/>
      <c r="OJ45" s="637"/>
      <c r="OK45" s="637"/>
      <c r="OL45" s="637"/>
      <c r="OM45" s="637"/>
      <c r="ON45" s="637"/>
      <c r="OO45" s="637"/>
      <c r="OP45" s="637"/>
      <c r="OQ45" s="637"/>
      <c r="OR45" s="637"/>
      <c r="OS45" s="637"/>
      <c r="OT45" s="637"/>
      <c r="OU45" s="637"/>
      <c r="OV45" s="637"/>
      <c r="OW45" s="637"/>
      <c r="OX45" s="637"/>
      <c r="OY45" s="637"/>
      <c r="OZ45" s="637"/>
      <c r="PA45" s="637"/>
      <c r="PB45" s="637"/>
      <c r="PC45" s="637"/>
      <c r="PD45" s="637"/>
      <c r="PE45" s="637"/>
      <c r="PF45" s="637"/>
      <c r="PG45" s="637"/>
      <c r="PH45" s="637"/>
      <c r="PI45" s="637"/>
      <c r="PJ45" s="637"/>
      <c r="PK45" s="637"/>
      <c r="PL45" s="637"/>
      <c r="PM45" s="637"/>
      <c r="PN45" s="637"/>
      <c r="PO45" s="637"/>
      <c r="PP45" s="637"/>
      <c r="PQ45" s="637"/>
      <c r="PR45" s="637"/>
      <c r="PS45" s="637"/>
      <c r="PT45" s="637"/>
      <c r="PU45" s="637"/>
      <c r="PV45" s="637"/>
      <c r="PW45" s="637"/>
      <c r="PX45" s="637"/>
      <c r="PY45" s="637"/>
      <c r="PZ45" s="637"/>
      <c r="QA45" s="637"/>
      <c r="QB45" s="637"/>
      <c r="QC45" s="637"/>
      <c r="QD45" s="637"/>
      <c r="QE45" s="637"/>
      <c r="QF45" s="637"/>
      <c r="QG45" s="637"/>
      <c r="QH45" s="637"/>
      <c r="QI45" s="637"/>
      <c r="QJ45" s="637"/>
      <c r="QK45" s="637"/>
      <c r="QL45" s="637"/>
      <c r="QM45" s="637"/>
      <c r="QN45" s="637"/>
      <c r="QO45" s="637"/>
      <c r="QP45" s="637"/>
      <c r="QQ45" s="637"/>
      <c r="QR45" s="637"/>
      <c r="QS45" s="637"/>
      <c r="QT45" s="637"/>
      <c r="QU45" s="637"/>
      <c r="QV45" s="637"/>
      <c r="QW45" s="637"/>
      <c r="QX45" s="637"/>
      <c r="QY45" s="637"/>
      <c r="QZ45" s="637"/>
      <c r="RA45" s="637"/>
      <c r="RB45" s="637"/>
      <c r="RC45" s="637"/>
      <c r="RD45" s="637"/>
      <c r="RE45" s="637"/>
      <c r="RF45" s="637"/>
      <c r="RG45" s="637"/>
      <c r="RH45" s="637"/>
      <c r="RI45" s="637"/>
      <c r="RJ45" s="637"/>
      <c r="RK45" s="637"/>
      <c r="RL45" s="637"/>
      <c r="RM45" s="637"/>
      <c r="RN45" s="637"/>
      <c r="RO45" s="637"/>
      <c r="RP45" s="637"/>
      <c r="RQ45" s="637"/>
      <c r="RR45" s="637"/>
      <c r="RS45" s="637"/>
      <c r="RT45" s="637"/>
      <c r="RU45" s="637"/>
      <c r="RV45" s="637"/>
      <c r="RW45" s="637"/>
      <c r="RX45" s="637"/>
      <c r="RY45" s="637"/>
      <c r="RZ45" s="637"/>
      <c r="SA45" s="637"/>
      <c r="SB45" s="637"/>
      <c r="SC45" s="637"/>
      <c r="SD45" s="637"/>
      <c r="SE45" s="637"/>
      <c r="SF45" s="637"/>
      <c r="SG45" s="637"/>
      <c r="SH45" s="637"/>
      <c r="SI45" s="637"/>
      <c r="SJ45" s="637"/>
      <c r="SK45" s="637"/>
      <c r="SL45" s="637"/>
      <c r="SM45" s="637"/>
      <c r="SN45" s="637"/>
      <c r="SO45" s="637"/>
      <c r="SP45" s="637"/>
      <c r="SQ45" s="637"/>
      <c r="SR45" s="637"/>
      <c r="SS45" s="637"/>
      <c r="ST45" s="637"/>
      <c r="SU45" s="637"/>
      <c r="SV45" s="637"/>
      <c r="SW45" s="637"/>
      <c r="SX45" s="637"/>
      <c r="SY45" s="637"/>
      <c r="SZ45" s="637"/>
      <c r="TA45" s="637"/>
      <c r="TB45" s="637"/>
      <c r="TC45" s="637"/>
      <c r="TD45" s="637"/>
      <c r="TE45" s="637"/>
      <c r="TF45" s="637"/>
      <c r="TG45" s="637"/>
      <c r="TH45" s="637"/>
      <c r="TI45" s="637"/>
      <c r="TJ45" s="637"/>
      <c r="TK45" s="637"/>
      <c r="TL45" s="637"/>
      <c r="TM45" s="637"/>
      <c r="TN45" s="637"/>
      <c r="TO45" s="637"/>
      <c r="TP45" s="637"/>
      <c r="TQ45" s="637"/>
      <c r="TR45" s="637"/>
      <c r="TS45" s="637"/>
      <c r="TT45" s="637"/>
      <c r="TU45" s="637"/>
      <c r="TV45" s="637"/>
      <c r="TW45" s="637"/>
      <c r="TX45" s="637"/>
      <c r="TY45" s="637"/>
      <c r="TZ45" s="637"/>
      <c r="UA45" s="637"/>
      <c r="UB45" s="637"/>
      <c r="UC45" s="637"/>
      <c r="UD45" s="637"/>
      <c r="UE45" s="637"/>
      <c r="UF45" s="637"/>
      <c r="UG45" s="637"/>
      <c r="UH45" s="637"/>
      <c r="UI45" s="637"/>
      <c r="UJ45" s="637"/>
      <c r="UK45" s="637"/>
      <c r="UL45" s="637"/>
      <c r="UM45" s="637"/>
      <c r="UN45" s="637"/>
      <c r="UO45" s="637"/>
      <c r="UP45" s="637"/>
      <c r="UQ45" s="637"/>
      <c r="UR45" s="637"/>
      <c r="US45" s="637"/>
      <c r="UT45" s="637"/>
      <c r="UU45" s="637"/>
      <c r="UV45" s="637"/>
      <c r="UW45" s="637"/>
      <c r="UX45" s="637"/>
      <c r="UY45" s="637"/>
      <c r="UZ45" s="637"/>
      <c r="VA45" s="637"/>
      <c r="VB45" s="637"/>
      <c r="VC45" s="637"/>
      <c r="VD45" s="637"/>
      <c r="VE45" s="637"/>
      <c r="VF45" s="637"/>
      <c r="VG45" s="637"/>
      <c r="VH45" s="637"/>
      <c r="VI45" s="637"/>
      <c r="VJ45" s="637"/>
      <c r="VK45" s="637"/>
      <c r="VL45" s="637"/>
      <c r="VM45" s="637"/>
      <c r="VN45" s="637"/>
      <c r="VO45" s="637"/>
      <c r="VP45" s="637"/>
      <c r="VQ45" s="637"/>
      <c r="VR45" s="637"/>
      <c r="VS45" s="637"/>
      <c r="VT45" s="637"/>
      <c r="VU45" s="637"/>
      <c r="VV45" s="637"/>
      <c r="VW45" s="637"/>
      <c r="VX45" s="637"/>
      <c r="VY45" s="637"/>
      <c r="VZ45" s="637"/>
      <c r="WA45" s="637"/>
      <c r="WB45" s="637"/>
      <c r="WC45" s="637"/>
      <c r="WD45" s="637"/>
      <c r="WE45" s="637"/>
      <c r="WF45" s="637"/>
      <c r="WG45" s="637"/>
      <c r="WH45" s="637"/>
      <c r="WI45" s="637"/>
      <c r="WJ45" s="637"/>
      <c r="WK45" s="637"/>
      <c r="WL45" s="637"/>
      <c r="WM45" s="637"/>
      <c r="WN45" s="637"/>
      <c r="WO45" s="637"/>
      <c r="WP45" s="637"/>
      <c r="WQ45" s="637"/>
      <c r="WR45" s="637"/>
      <c r="WS45" s="637"/>
      <c r="WT45" s="637"/>
      <c r="WU45" s="637"/>
      <c r="WV45" s="637"/>
      <c r="WW45" s="637"/>
      <c r="WX45" s="637"/>
      <c r="WY45" s="637"/>
      <c r="WZ45" s="637"/>
      <c r="XA45" s="637"/>
      <c r="XB45" s="637"/>
      <c r="XC45" s="637"/>
      <c r="XD45" s="637"/>
      <c r="XE45" s="637"/>
      <c r="XF45" s="637"/>
      <c r="XG45" s="637"/>
      <c r="XH45" s="637"/>
      <c r="XI45" s="637"/>
      <c r="XJ45" s="637"/>
      <c r="XK45" s="637"/>
      <c r="XL45" s="637"/>
      <c r="XM45" s="637"/>
      <c r="XN45" s="637"/>
      <c r="XO45" s="637"/>
      <c r="XP45" s="637"/>
      <c r="XQ45" s="637"/>
      <c r="XR45" s="637"/>
      <c r="XS45" s="637"/>
      <c r="XT45" s="637"/>
      <c r="XU45" s="637"/>
      <c r="XV45" s="637"/>
      <c r="XW45" s="637"/>
      <c r="XX45" s="637"/>
      <c r="XY45" s="637"/>
      <c r="XZ45" s="637"/>
      <c r="YA45" s="637"/>
      <c r="YB45" s="637"/>
      <c r="YC45" s="637"/>
      <c r="YD45" s="637"/>
      <c r="YE45" s="637"/>
      <c r="YF45" s="637"/>
      <c r="YG45" s="637"/>
      <c r="YH45" s="637"/>
      <c r="YI45" s="637"/>
      <c r="YJ45" s="637"/>
      <c r="YK45" s="637"/>
      <c r="YL45" s="637"/>
      <c r="YM45" s="637"/>
      <c r="YN45" s="637"/>
      <c r="YO45" s="637"/>
      <c r="YP45" s="637"/>
      <c r="YQ45" s="637"/>
      <c r="YR45" s="637"/>
      <c r="YS45" s="637"/>
      <c r="YT45" s="637"/>
      <c r="YU45" s="637"/>
      <c r="YV45" s="637"/>
      <c r="YW45" s="637"/>
      <c r="YX45" s="637"/>
      <c r="YY45" s="637"/>
      <c r="YZ45" s="637"/>
      <c r="ZA45" s="637"/>
      <c r="ZB45" s="637"/>
      <c r="ZC45" s="637"/>
      <c r="ZD45" s="637"/>
      <c r="ZE45" s="637"/>
      <c r="ZF45" s="637"/>
      <c r="ZG45" s="637"/>
      <c r="ZH45" s="637"/>
      <c r="ZI45" s="637"/>
      <c r="ZJ45" s="637"/>
      <c r="ZK45" s="637"/>
      <c r="ZL45" s="637"/>
      <c r="ZM45" s="637"/>
      <c r="ZN45" s="637"/>
      <c r="ZO45" s="637"/>
      <c r="ZP45" s="637"/>
      <c r="ZQ45" s="637"/>
      <c r="ZR45" s="637"/>
      <c r="ZS45" s="637"/>
      <c r="ZT45" s="637"/>
      <c r="ZU45" s="637"/>
      <c r="ZV45" s="637"/>
      <c r="ZW45" s="637"/>
      <c r="ZX45" s="637"/>
      <c r="ZY45" s="637"/>
      <c r="ZZ45" s="637"/>
      <c r="AAA45" s="637"/>
      <c r="AAB45" s="637"/>
      <c r="AAC45" s="637"/>
      <c r="AAD45" s="637"/>
      <c r="AAE45" s="637"/>
      <c r="AAF45" s="637"/>
      <c r="AAG45" s="637"/>
      <c r="AAH45" s="637"/>
      <c r="AAI45" s="637"/>
      <c r="AAJ45" s="637"/>
      <c r="AAK45" s="637"/>
      <c r="AAL45" s="637"/>
      <c r="AAM45" s="637"/>
      <c r="AAN45" s="637"/>
      <c r="AAO45" s="637"/>
      <c r="AAP45" s="637"/>
      <c r="AAQ45" s="637"/>
      <c r="AAR45" s="637"/>
      <c r="AAS45" s="637"/>
      <c r="AAT45" s="637"/>
      <c r="AAU45" s="637"/>
      <c r="AAV45" s="637"/>
      <c r="AAW45" s="637"/>
      <c r="AAX45" s="637"/>
      <c r="AAY45" s="637"/>
      <c r="AAZ45" s="637"/>
      <c r="ABA45" s="637"/>
      <c r="ABB45" s="637"/>
      <c r="ABC45" s="637"/>
      <c r="ABD45" s="637"/>
      <c r="ABE45" s="637"/>
      <c r="ABF45" s="637"/>
      <c r="ABG45" s="637"/>
      <c r="ABH45" s="637"/>
      <c r="ABI45" s="637"/>
      <c r="ABJ45" s="637"/>
      <c r="ABK45" s="637"/>
      <c r="ABL45" s="637"/>
      <c r="ABM45" s="637"/>
      <c r="ABN45" s="637"/>
      <c r="ABO45" s="637"/>
      <c r="ABP45" s="637"/>
      <c r="ABQ45" s="637"/>
      <c r="ABR45" s="637"/>
      <c r="ABS45" s="637"/>
      <c r="ABT45" s="637"/>
      <c r="ABU45" s="637"/>
      <c r="ABV45" s="637"/>
      <c r="ABW45" s="637"/>
      <c r="ABX45" s="637"/>
      <c r="ABY45" s="637"/>
      <c r="ABZ45" s="637"/>
      <c r="ACA45" s="637"/>
      <c r="ACB45" s="637"/>
      <c r="ACC45" s="637"/>
      <c r="ACD45" s="637"/>
      <c r="ACE45" s="637"/>
      <c r="ACF45" s="637"/>
      <c r="ACG45" s="637"/>
      <c r="ACH45" s="637"/>
      <c r="ACI45" s="637"/>
      <c r="ACJ45" s="637"/>
      <c r="ACK45" s="637"/>
      <c r="ACL45" s="637"/>
      <c r="ACM45" s="637"/>
      <c r="ACN45" s="637"/>
      <c r="ACO45" s="637"/>
      <c r="ACP45" s="637"/>
      <c r="ACQ45" s="637"/>
      <c r="ACR45" s="637"/>
      <c r="ACS45" s="637"/>
      <c r="ACT45" s="637"/>
      <c r="ACU45" s="637"/>
      <c r="ACV45" s="637"/>
      <c r="ACW45" s="637"/>
      <c r="ACX45" s="637"/>
      <c r="ACY45" s="637"/>
      <c r="ACZ45" s="637"/>
      <c r="ADA45" s="637"/>
      <c r="ADB45" s="637"/>
      <c r="ADC45" s="637"/>
      <c r="ADD45" s="637"/>
      <c r="ADE45" s="637"/>
      <c r="ADF45" s="637"/>
      <c r="ADG45" s="637"/>
      <c r="ADH45" s="637"/>
      <c r="ADI45" s="637"/>
      <c r="ADJ45" s="637"/>
      <c r="ADK45" s="637"/>
      <c r="ADL45" s="637"/>
      <c r="ADM45" s="637"/>
      <c r="ADN45" s="637"/>
      <c r="ADO45" s="637"/>
      <c r="ADP45" s="637"/>
      <c r="ADQ45" s="637"/>
      <c r="ADR45" s="637"/>
      <c r="ADS45" s="637"/>
      <c r="ADT45" s="637"/>
      <c r="ADU45" s="637"/>
      <c r="ADV45" s="637"/>
      <c r="ADW45" s="637"/>
      <c r="ADX45" s="637"/>
      <c r="ADY45" s="637"/>
      <c r="ADZ45" s="637"/>
      <c r="AEA45" s="637"/>
      <c r="AEB45" s="637"/>
      <c r="AEC45" s="637"/>
      <c r="AED45" s="637"/>
      <c r="AEE45" s="637"/>
      <c r="AEF45" s="637"/>
      <c r="AEG45" s="637"/>
      <c r="AEH45" s="637"/>
      <c r="AEI45" s="637"/>
      <c r="AEJ45" s="637"/>
      <c r="AEK45" s="637"/>
      <c r="AEL45" s="637"/>
      <c r="AEM45" s="637"/>
      <c r="AEN45" s="637"/>
      <c r="AEO45" s="637"/>
      <c r="AEP45" s="637"/>
      <c r="AEQ45" s="637"/>
      <c r="AER45" s="637"/>
      <c r="AES45" s="637"/>
      <c r="AET45" s="637"/>
      <c r="AEU45" s="637"/>
      <c r="AEV45" s="637"/>
      <c r="AEW45" s="637"/>
      <c r="AEX45" s="637"/>
      <c r="AEY45" s="637"/>
      <c r="AEZ45" s="637"/>
      <c r="AFA45" s="637"/>
      <c r="AFB45" s="637"/>
      <c r="AFC45" s="637"/>
      <c r="AFD45" s="637"/>
      <c r="AFE45" s="637"/>
      <c r="AFF45" s="637"/>
      <c r="AFG45" s="637"/>
      <c r="AFH45" s="637"/>
      <c r="AFI45" s="637"/>
      <c r="AFJ45" s="637"/>
      <c r="AFK45" s="637"/>
      <c r="AFL45" s="637"/>
      <c r="AFM45" s="637"/>
      <c r="AFN45" s="637"/>
      <c r="AFO45" s="637"/>
      <c r="AFP45" s="637"/>
      <c r="AFQ45" s="637"/>
      <c r="AFR45" s="637"/>
      <c r="AFS45" s="637"/>
      <c r="AFT45" s="637"/>
      <c r="AFU45" s="637"/>
      <c r="AFV45" s="637"/>
      <c r="AFW45" s="637"/>
      <c r="AFX45" s="637"/>
      <c r="AFY45" s="637"/>
      <c r="AFZ45" s="637"/>
      <c r="AGA45" s="637"/>
      <c r="AGB45" s="637"/>
      <c r="AGC45" s="637"/>
      <c r="AGD45" s="637"/>
      <c r="AGE45" s="637"/>
      <c r="AGF45" s="637"/>
      <c r="AGG45" s="637"/>
      <c r="AGH45" s="637"/>
      <c r="AGI45" s="637"/>
      <c r="AGJ45" s="637"/>
      <c r="AGK45" s="637"/>
      <c r="AGL45" s="637"/>
      <c r="AGM45" s="637"/>
      <c r="AGN45" s="637"/>
      <c r="AGO45" s="637"/>
      <c r="AGP45" s="637"/>
      <c r="AGQ45" s="637"/>
      <c r="AGR45" s="637"/>
      <c r="AGS45" s="637"/>
      <c r="AGT45" s="637"/>
      <c r="AGU45" s="637"/>
      <c r="AGV45" s="637"/>
      <c r="AGW45" s="637"/>
      <c r="AGX45" s="637"/>
      <c r="AGY45" s="637"/>
      <c r="AGZ45" s="637"/>
      <c r="AHA45" s="637"/>
      <c r="AHB45" s="637"/>
      <c r="AHC45" s="637"/>
      <c r="AHD45" s="637"/>
      <c r="AHE45" s="637"/>
      <c r="AHF45" s="637"/>
      <c r="AHG45" s="637"/>
      <c r="AHH45" s="637"/>
      <c r="AHI45" s="637"/>
      <c r="AHJ45" s="637"/>
      <c r="AHK45" s="637"/>
      <c r="AHL45" s="637"/>
      <c r="AHM45" s="637"/>
      <c r="AHN45" s="637"/>
      <c r="AHO45" s="637"/>
      <c r="AHP45" s="637"/>
      <c r="AHQ45" s="637"/>
      <c r="AHR45" s="637"/>
      <c r="AHS45" s="637"/>
      <c r="AHT45" s="637"/>
      <c r="AHU45" s="637"/>
      <c r="AHV45" s="637"/>
      <c r="AHW45" s="637"/>
      <c r="AHX45" s="637"/>
      <c r="AHY45" s="637"/>
      <c r="AHZ45" s="637"/>
      <c r="AIA45" s="637"/>
      <c r="AIB45" s="637"/>
      <c r="AIC45" s="637"/>
      <c r="AID45" s="637"/>
      <c r="AIE45" s="637"/>
      <c r="AIF45" s="637"/>
      <c r="AIG45" s="637"/>
      <c r="AIH45" s="637"/>
      <c r="AII45" s="637"/>
      <c r="AIJ45" s="637"/>
      <c r="AIK45" s="637"/>
      <c r="AIL45" s="637"/>
      <c r="AIM45" s="637"/>
      <c r="AIN45" s="637"/>
      <c r="AIO45" s="637"/>
      <c r="AIP45" s="637"/>
      <c r="AIQ45" s="637"/>
      <c r="AIR45" s="637"/>
      <c r="AIS45" s="637"/>
      <c r="AIT45" s="637"/>
      <c r="AIU45" s="637"/>
      <c r="AIV45" s="637"/>
      <c r="AIW45" s="637"/>
      <c r="AIX45" s="637"/>
      <c r="AIY45" s="637"/>
      <c r="AIZ45" s="637"/>
      <c r="AJA45" s="637"/>
      <c r="AJB45" s="637"/>
      <c r="AJC45" s="637"/>
      <c r="AJD45" s="637"/>
      <c r="AJE45" s="637"/>
      <c r="AJF45" s="637"/>
      <c r="AJG45" s="637"/>
      <c r="AJH45" s="637"/>
      <c r="AJI45" s="637"/>
      <c r="AJJ45" s="637"/>
      <c r="AJK45" s="637"/>
      <c r="AJL45" s="637"/>
      <c r="AJM45" s="637"/>
      <c r="AJN45" s="637"/>
      <c r="AJO45" s="637"/>
      <c r="AJP45" s="637"/>
      <c r="AJQ45" s="637"/>
      <c r="AJR45" s="637"/>
      <c r="AJS45" s="637"/>
      <c r="AJT45" s="637"/>
      <c r="AJU45" s="637"/>
      <c r="AJV45" s="637"/>
      <c r="AJW45" s="637"/>
      <c r="AJX45" s="637"/>
      <c r="AJY45" s="637"/>
      <c r="AJZ45" s="637"/>
      <c r="AKA45" s="637"/>
      <c r="AKB45" s="637"/>
      <c r="AKC45" s="637"/>
      <c r="AKD45" s="637"/>
      <c r="AKE45" s="637"/>
      <c r="AKF45" s="637"/>
      <c r="AKG45" s="637"/>
      <c r="AKH45" s="637"/>
      <c r="AKI45" s="637"/>
      <c r="AKJ45" s="637"/>
      <c r="AKK45" s="637"/>
      <c r="AKL45" s="637"/>
      <c r="AKM45" s="637"/>
      <c r="AKN45" s="637"/>
      <c r="AKO45" s="637"/>
      <c r="AKP45" s="637"/>
      <c r="AKQ45" s="637"/>
      <c r="AKR45" s="637"/>
      <c r="AKS45" s="637"/>
      <c r="AKT45" s="637"/>
      <c r="AKU45" s="637"/>
      <c r="AKV45" s="637"/>
      <c r="AKW45" s="637"/>
      <c r="AKX45" s="637"/>
      <c r="AKY45" s="637"/>
      <c r="AKZ45" s="637"/>
      <c r="ALA45" s="637"/>
      <c r="ALB45" s="637"/>
      <c r="ALC45" s="637"/>
      <c r="ALD45" s="637"/>
      <c r="ALE45" s="637"/>
      <c r="ALF45" s="637"/>
      <c r="ALG45" s="637"/>
      <c r="ALH45" s="637"/>
      <c r="ALI45" s="637"/>
      <c r="ALJ45" s="637"/>
      <c r="ALK45" s="637"/>
      <c r="ALL45" s="637"/>
      <c r="ALM45" s="637"/>
      <c r="ALN45" s="637"/>
      <c r="ALO45" s="637"/>
      <c r="ALP45" s="637"/>
      <c r="ALQ45" s="637"/>
      <c r="ALR45" s="637"/>
      <c r="ALS45" s="637"/>
      <c r="ALT45" s="637"/>
      <c r="ALU45" s="637"/>
      <c r="ALV45" s="637"/>
      <c r="ALW45" s="637"/>
      <c r="ALX45" s="637"/>
      <c r="ALY45" s="637"/>
      <c r="ALZ45" s="637"/>
      <c r="AMA45" s="637"/>
      <c r="AMB45" s="637"/>
      <c r="AMC45" s="637"/>
      <c r="AMD45" s="637"/>
      <c r="AME45" s="637"/>
      <c r="AMF45" s="637"/>
      <c r="AMG45" s="637"/>
      <c r="AMH45" s="637"/>
      <c r="AMI45" s="637"/>
      <c r="AMJ45" s="637"/>
    </row>
    <row r="46" spans="1:1024" s="638" customFormat="1" ht="12.75">
      <c r="A46" s="984"/>
      <c r="B46" s="985"/>
      <c r="C46" s="986"/>
      <c r="D46" s="981" t="s">
        <v>1041</v>
      </c>
      <c r="E46" s="982"/>
      <c r="F46" s="982"/>
      <c r="G46" s="983"/>
      <c r="H46" s="983"/>
      <c r="I46" s="983"/>
      <c r="J46" s="983"/>
      <c r="K46" s="983"/>
      <c r="L46" s="983"/>
      <c r="M46" s="983"/>
      <c r="N46" s="983"/>
      <c r="O46" s="983"/>
      <c r="P46" s="983"/>
      <c r="Q46" s="983"/>
      <c r="R46" s="984"/>
      <c r="S46" s="637"/>
      <c r="T46" s="637"/>
      <c r="U46" s="637"/>
      <c r="V46" s="637"/>
      <c r="W46" s="637"/>
      <c r="X46" s="637"/>
      <c r="Y46" s="637"/>
      <c r="Z46" s="637"/>
      <c r="AA46" s="637"/>
      <c r="AB46" s="637"/>
      <c r="AC46" s="637"/>
      <c r="AD46" s="637"/>
      <c r="AE46" s="637"/>
      <c r="AF46" s="637"/>
      <c r="AG46" s="637"/>
      <c r="AH46" s="637"/>
      <c r="AI46" s="637"/>
      <c r="AJ46" s="637"/>
      <c r="AK46" s="637"/>
      <c r="AL46" s="637"/>
      <c r="AM46" s="637"/>
      <c r="AN46" s="637"/>
      <c r="AO46" s="637"/>
      <c r="AP46" s="637"/>
      <c r="AQ46" s="637"/>
      <c r="AR46" s="637"/>
      <c r="AS46" s="637"/>
      <c r="AT46" s="637"/>
      <c r="AU46" s="637"/>
      <c r="AV46" s="637"/>
      <c r="AW46" s="637"/>
      <c r="AX46" s="637"/>
      <c r="AY46" s="637"/>
      <c r="AZ46" s="637"/>
      <c r="BA46" s="637"/>
      <c r="BB46" s="637"/>
      <c r="BC46" s="637"/>
      <c r="BD46" s="637"/>
      <c r="BE46" s="637"/>
      <c r="BF46" s="637"/>
      <c r="BG46" s="637"/>
      <c r="BH46" s="637"/>
      <c r="BI46" s="637"/>
      <c r="BJ46" s="637"/>
      <c r="BK46" s="637"/>
      <c r="BL46" s="637"/>
      <c r="BM46" s="637"/>
      <c r="BN46" s="637"/>
      <c r="BO46" s="637"/>
      <c r="BP46" s="637"/>
      <c r="BQ46" s="637"/>
      <c r="BR46" s="637"/>
      <c r="BS46" s="637"/>
      <c r="BT46" s="637"/>
      <c r="BU46" s="637"/>
      <c r="BV46" s="637"/>
      <c r="BW46" s="637"/>
      <c r="BX46" s="637"/>
      <c r="BY46" s="637"/>
      <c r="BZ46" s="637"/>
      <c r="CA46" s="637"/>
      <c r="CB46" s="637"/>
      <c r="CC46" s="637"/>
      <c r="CD46" s="637"/>
      <c r="CE46" s="637"/>
      <c r="CF46" s="637"/>
      <c r="CG46" s="637"/>
      <c r="CH46" s="637"/>
      <c r="CI46" s="637"/>
      <c r="CJ46" s="637"/>
      <c r="CK46" s="637"/>
      <c r="CL46" s="637"/>
      <c r="CM46" s="637"/>
      <c r="CN46" s="637"/>
      <c r="CO46" s="637"/>
      <c r="CP46" s="637"/>
      <c r="CQ46" s="637"/>
      <c r="CR46" s="637"/>
      <c r="CS46" s="637"/>
      <c r="CT46" s="637"/>
      <c r="CU46" s="637"/>
      <c r="CV46" s="637"/>
      <c r="CW46" s="637"/>
      <c r="CX46" s="637"/>
      <c r="CY46" s="637"/>
      <c r="CZ46" s="637"/>
      <c r="DA46" s="637"/>
      <c r="DB46" s="637"/>
      <c r="DC46" s="637"/>
      <c r="DD46" s="637"/>
      <c r="DE46" s="637"/>
      <c r="DF46" s="637"/>
      <c r="DG46" s="637"/>
      <c r="DH46" s="637"/>
      <c r="DI46" s="637"/>
      <c r="DJ46" s="637"/>
      <c r="DK46" s="637"/>
      <c r="DL46" s="637"/>
      <c r="DM46" s="637"/>
      <c r="DN46" s="637"/>
      <c r="DO46" s="637"/>
      <c r="DP46" s="637"/>
      <c r="DQ46" s="637"/>
      <c r="DR46" s="637"/>
      <c r="DS46" s="637"/>
      <c r="DT46" s="637"/>
      <c r="DU46" s="637"/>
      <c r="DV46" s="637"/>
      <c r="DW46" s="637"/>
      <c r="DX46" s="637"/>
      <c r="DY46" s="637"/>
      <c r="DZ46" s="637"/>
      <c r="EA46" s="637"/>
      <c r="EB46" s="637"/>
      <c r="EC46" s="637"/>
      <c r="ED46" s="637"/>
      <c r="EE46" s="637"/>
      <c r="EF46" s="637"/>
      <c r="EG46" s="637"/>
      <c r="EH46" s="637"/>
      <c r="EI46" s="637"/>
      <c r="EJ46" s="637"/>
      <c r="EK46" s="637"/>
      <c r="EL46" s="637"/>
      <c r="EM46" s="637"/>
      <c r="EN46" s="637"/>
      <c r="EO46" s="637"/>
      <c r="EP46" s="637"/>
      <c r="EQ46" s="637"/>
      <c r="ER46" s="637"/>
      <c r="ES46" s="637"/>
      <c r="ET46" s="637"/>
      <c r="EU46" s="637"/>
      <c r="EV46" s="637"/>
      <c r="EW46" s="637"/>
      <c r="EX46" s="637"/>
      <c r="EY46" s="637"/>
      <c r="EZ46" s="637"/>
      <c r="FA46" s="637"/>
      <c r="FB46" s="637"/>
      <c r="FC46" s="637"/>
      <c r="FD46" s="637"/>
      <c r="FE46" s="637"/>
      <c r="FF46" s="637"/>
      <c r="FG46" s="637"/>
      <c r="FH46" s="637"/>
      <c r="FI46" s="637"/>
      <c r="FJ46" s="637"/>
      <c r="FK46" s="637"/>
      <c r="FL46" s="637"/>
      <c r="FM46" s="637"/>
      <c r="FN46" s="637"/>
      <c r="FO46" s="637"/>
      <c r="FP46" s="637"/>
      <c r="FQ46" s="637"/>
      <c r="FR46" s="637"/>
      <c r="FS46" s="637"/>
      <c r="FT46" s="637"/>
      <c r="FU46" s="637"/>
      <c r="FV46" s="637"/>
      <c r="FW46" s="637"/>
      <c r="FX46" s="637"/>
      <c r="FY46" s="637"/>
      <c r="FZ46" s="637"/>
      <c r="GA46" s="637"/>
      <c r="GB46" s="637"/>
      <c r="GC46" s="637"/>
      <c r="GD46" s="637"/>
      <c r="GE46" s="637"/>
      <c r="GF46" s="637"/>
      <c r="GG46" s="637"/>
      <c r="GH46" s="637"/>
      <c r="GI46" s="637"/>
      <c r="GJ46" s="637"/>
      <c r="GK46" s="637"/>
      <c r="GL46" s="637"/>
      <c r="GM46" s="637"/>
      <c r="GN46" s="637"/>
      <c r="GO46" s="637"/>
      <c r="GP46" s="637"/>
      <c r="GQ46" s="637"/>
      <c r="GR46" s="637"/>
      <c r="GS46" s="637"/>
      <c r="GT46" s="637"/>
      <c r="GU46" s="637"/>
      <c r="GV46" s="637"/>
      <c r="GW46" s="637"/>
      <c r="GX46" s="637"/>
      <c r="GY46" s="637"/>
      <c r="GZ46" s="637"/>
      <c r="HA46" s="637"/>
      <c r="HB46" s="637"/>
      <c r="HC46" s="637"/>
      <c r="HD46" s="637"/>
      <c r="HE46" s="637"/>
      <c r="HF46" s="637"/>
      <c r="HG46" s="637"/>
      <c r="HH46" s="637"/>
      <c r="HI46" s="637"/>
      <c r="HJ46" s="637"/>
      <c r="HK46" s="637"/>
      <c r="HL46" s="637"/>
      <c r="HM46" s="637"/>
      <c r="HN46" s="637"/>
      <c r="HO46" s="637"/>
      <c r="HP46" s="637"/>
      <c r="HQ46" s="637"/>
      <c r="HR46" s="637"/>
      <c r="HS46" s="637"/>
      <c r="HT46" s="637"/>
      <c r="HU46" s="637"/>
      <c r="HV46" s="637"/>
      <c r="HW46" s="637"/>
      <c r="HX46" s="637"/>
      <c r="HY46" s="637"/>
      <c r="HZ46" s="637"/>
      <c r="IA46" s="637"/>
      <c r="IB46" s="637"/>
      <c r="IC46" s="637"/>
      <c r="ID46" s="637"/>
      <c r="IE46" s="637"/>
      <c r="IF46" s="637"/>
      <c r="IG46" s="637"/>
      <c r="IH46" s="637"/>
      <c r="II46" s="637"/>
      <c r="IJ46" s="637"/>
      <c r="IK46" s="637"/>
      <c r="IL46" s="637"/>
      <c r="IM46" s="637"/>
      <c r="IN46" s="637"/>
      <c r="IO46" s="637"/>
      <c r="IP46" s="637"/>
      <c r="IQ46" s="637"/>
      <c r="IR46" s="637"/>
      <c r="IS46" s="637"/>
      <c r="IT46" s="637"/>
      <c r="IU46" s="637"/>
      <c r="IV46" s="637"/>
      <c r="IW46" s="637"/>
      <c r="IX46" s="637"/>
      <c r="IY46" s="637"/>
      <c r="IZ46" s="637"/>
      <c r="JA46" s="637"/>
      <c r="JB46" s="637"/>
      <c r="JC46" s="637"/>
      <c r="JD46" s="637"/>
      <c r="JE46" s="637"/>
      <c r="JF46" s="637"/>
      <c r="JG46" s="637"/>
      <c r="JH46" s="637"/>
      <c r="JI46" s="637"/>
      <c r="JJ46" s="637"/>
      <c r="JK46" s="637"/>
      <c r="JL46" s="637"/>
      <c r="JM46" s="637"/>
      <c r="JN46" s="637"/>
      <c r="JO46" s="637"/>
      <c r="JP46" s="637"/>
      <c r="JQ46" s="637"/>
      <c r="JR46" s="637"/>
      <c r="JS46" s="637"/>
      <c r="JT46" s="637"/>
      <c r="JU46" s="637"/>
      <c r="JV46" s="637"/>
      <c r="JW46" s="637"/>
      <c r="JX46" s="637"/>
      <c r="JY46" s="637"/>
      <c r="JZ46" s="637"/>
      <c r="KA46" s="637"/>
      <c r="KB46" s="637"/>
      <c r="KC46" s="637"/>
      <c r="KD46" s="637"/>
      <c r="KE46" s="637"/>
      <c r="KF46" s="637"/>
      <c r="KG46" s="637"/>
      <c r="KH46" s="637"/>
      <c r="KI46" s="637"/>
      <c r="KJ46" s="637"/>
      <c r="KK46" s="637"/>
      <c r="KL46" s="637"/>
      <c r="KM46" s="637"/>
      <c r="KN46" s="637"/>
      <c r="KO46" s="637"/>
      <c r="KP46" s="637"/>
      <c r="KQ46" s="637"/>
      <c r="KR46" s="637"/>
      <c r="KS46" s="637"/>
      <c r="KT46" s="637"/>
      <c r="KU46" s="637"/>
      <c r="KV46" s="637"/>
      <c r="KW46" s="637"/>
      <c r="KX46" s="637"/>
      <c r="KY46" s="637"/>
      <c r="KZ46" s="637"/>
      <c r="LA46" s="637"/>
      <c r="LB46" s="637"/>
      <c r="LC46" s="637"/>
      <c r="LD46" s="637"/>
      <c r="LE46" s="637"/>
      <c r="LF46" s="637"/>
      <c r="LG46" s="637"/>
      <c r="LH46" s="637"/>
      <c r="LI46" s="637"/>
      <c r="LJ46" s="637"/>
      <c r="LK46" s="637"/>
      <c r="LL46" s="637"/>
      <c r="LM46" s="637"/>
      <c r="LN46" s="637"/>
      <c r="LO46" s="637"/>
      <c r="LP46" s="637"/>
      <c r="LQ46" s="637"/>
      <c r="LR46" s="637"/>
      <c r="LS46" s="637"/>
      <c r="LT46" s="637"/>
      <c r="LU46" s="637"/>
      <c r="LV46" s="637"/>
      <c r="LW46" s="637"/>
      <c r="LX46" s="637"/>
      <c r="LY46" s="637"/>
      <c r="LZ46" s="637"/>
      <c r="MA46" s="637"/>
      <c r="MB46" s="637"/>
      <c r="MC46" s="637"/>
      <c r="MD46" s="637"/>
      <c r="ME46" s="637"/>
      <c r="MF46" s="637"/>
      <c r="MG46" s="637"/>
      <c r="MH46" s="637"/>
      <c r="MI46" s="637"/>
      <c r="MJ46" s="637"/>
      <c r="MK46" s="637"/>
      <c r="ML46" s="637"/>
      <c r="MM46" s="637"/>
      <c r="MN46" s="637"/>
      <c r="MO46" s="637"/>
      <c r="MP46" s="637"/>
      <c r="MQ46" s="637"/>
      <c r="MR46" s="637"/>
      <c r="MS46" s="637"/>
      <c r="MT46" s="637"/>
      <c r="MU46" s="637"/>
      <c r="MV46" s="637"/>
      <c r="MW46" s="637"/>
      <c r="MX46" s="637"/>
      <c r="MY46" s="637"/>
      <c r="MZ46" s="637"/>
      <c r="NA46" s="637"/>
      <c r="NB46" s="637"/>
      <c r="NC46" s="637"/>
      <c r="ND46" s="637"/>
      <c r="NE46" s="637"/>
      <c r="NF46" s="637"/>
      <c r="NG46" s="637"/>
      <c r="NH46" s="637"/>
      <c r="NI46" s="637"/>
      <c r="NJ46" s="637"/>
      <c r="NK46" s="637"/>
      <c r="NL46" s="637"/>
      <c r="NM46" s="637"/>
      <c r="NN46" s="637"/>
      <c r="NO46" s="637"/>
      <c r="NP46" s="637"/>
      <c r="NQ46" s="637"/>
      <c r="NR46" s="637"/>
      <c r="NS46" s="637"/>
      <c r="NT46" s="637"/>
      <c r="NU46" s="637"/>
      <c r="NV46" s="637"/>
      <c r="NW46" s="637"/>
      <c r="NX46" s="637"/>
      <c r="NY46" s="637"/>
      <c r="NZ46" s="637"/>
      <c r="OA46" s="637"/>
      <c r="OB46" s="637"/>
      <c r="OC46" s="637"/>
      <c r="OD46" s="637"/>
      <c r="OE46" s="637"/>
      <c r="OF46" s="637"/>
      <c r="OG46" s="637"/>
      <c r="OH46" s="637"/>
      <c r="OI46" s="637"/>
      <c r="OJ46" s="637"/>
      <c r="OK46" s="637"/>
      <c r="OL46" s="637"/>
      <c r="OM46" s="637"/>
      <c r="ON46" s="637"/>
      <c r="OO46" s="637"/>
      <c r="OP46" s="637"/>
      <c r="OQ46" s="637"/>
      <c r="OR46" s="637"/>
      <c r="OS46" s="637"/>
      <c r="OT46" s="637"/>
      <c r="OU46" s="637"/>
      <c r="OV46" s="637"/>
      <c r="OW46" s="637"/>
      <c r="OX46" s="637"/>
      <c r="OY46" s="637"/>
      <c r="OZ46" s="637"/>
      <c r="PA46" s="637"/>
      <c r="PB46" s="637"/>
      <c r="PC46" s="637"/>
      <c r="PD46" s="637"/>
      <c r="PE46" s="637"/>
      <c r="PF46" s="637"/>
      <c r="PG46" s="637"/>
      <c r="PH46" s="637"/>
      <c r="PI46" s="637"/>
      <c r="PJ46" s="637"/>
      <c r="PK46" s="637"/>
      <c r="PL46" s="637"/>
      <c r="PM46" s="637"/>
      <c r="PN46" s="637"/>
      <c r="PO46" s="637"/>
      <c r="PP46" s="637"/>
      <c r="PQ46" s="637"/>
      <c r="PR46" s="637"/>
      <c r="PS46" s="637"/>
      <c r="PT46" s="637"/>
      <c r="PU46" s="637"/>
      <c r="PV46" s="637"/>
      <c r="PW46" s="637"/>
      <c r="PX46" s="637"/>
      <c r="PY46" s="637"/>
      <c r="PZ46" s="637"/>
      <c r="QA46" s="637"/>
      <c r="QB46" s="637"/>
      <c r="QC46" s="637"/>
      <c r="QD46" s="637"/>
      <c r="QE46" s="637"/>
      <c r="QF46" s="637"/>
      <c r="QG46" s="637"/>
      <c r="QH46" s="637"/>
      <c r="QI46" s="637"/>
      <c r="QJ46" s="637"/>
      <c r="QK46" s="637"/>
      <c r="QL46" s="637"/>
      <c r="QM46" s="637"/>
      <c r="QN46" s="637"/>
      <c r="QO46" s="637"/>
      <c r="QP46" s="637"/>
      <c r="QQ46" s="637"/>
      <c r="QR46" s="637"/>
      <c r="QS46" s="637"/>
      <c r="QT46" s="637"/>
      <c r="QU46" s="637"/>
      <c r="QV46" s="637"/>
      <c r="QW46" s="637"/>
      <c r="QX46" s="637"/>
      <c r="QY46" s="637"/>
      <c r="QZ46" s="637"/>
      <c r="RA46" s="637"/>
      <c r="RB46" s="637"/>
      <c r="RC46" s="637"/>
      <c r="RD46" s="637"/>
      <c r="RE46" s="637"/>
      <c r="RF46" s="637"/>
      <c r="RG46" s="637"/>
      <c r="RH46" s="637"/>
      <c r="RI46" s="637"/>
      <c r="RJ46" s="637"/>
      <c r="RK46" s="637"/>
      <c r="RL46" s="637"/>
      <c r="RM46" s="637"/>
      <c r="RN46" s="637"/>
      <c r="RO46" s="637"/>
      <c r="RP46" s="637"/>
      <c r="RQ46" s="637"/>
      <c r="RR46" s="637"/>
      <c r="RS46" s="637"/>
      <c r="RT46" s="637"/>
      <c r="RU46" s="637"/>
      <c r="RV46" s="637"/>
      <c r="RW46" s="637"/>
      <c r="RX46" s="637"/>
      <c r="RY46" s="637"/>
      <c r="RZ46" s="637"/>
      <c r="SA46" s="637"/>
      <c r="SB46" s="637"/>
      <c r="SC46" s="637"/>
      <c r="SD46" s="637"/>
      <c r="SE46" s="637"/>
      <c r="SF46" s="637"/>
      <c r="SG46" s="637"/>
      <c r="SH46" s="637"/>
      <c r="SI46" s="637"/>
      <c r="SJ46" s="637"/>
      <c r="SK46" s="637"/>
      <c r="SL46" s="637"/>
      <c r="SM46" s="637"/>
      <c r="SN46" s="637"/>
      <c r="SO46" s="637"/>
      <c r="SP46" s="637"/>
      <c r="SQ46" s="637"/>
      <c r="SR46" s="637"/>
      <c r="SS46" s="637"/>
      <c r="ST46" s="637"/>
      <c r="SU46" s="637"/>
      <c r="SV46" s="637"/>
      <c r="SW46" s="637"/>
      <c r="SX46" s="637"/>
      <c r="SY46" s="637"/>
      <c r="SZ46" s="637"/>
      <c r="TA46" s="637"/>
      <c r="TB46" s="637"/>
      <c r="TC46" s="637"/>
      <c r="TD46" s="637"/>
      <c r="TE46" s="637"/>
      <c r="TF46" s="637"/>
      <c r="TG46" s="637"/>
      <c r="TH46" s="637"/>
      <c r="TI46" s="637"/>
      <c r="TJ46" s="637"/>
      <c r="TK46" s="637"/>
      <c r="TL46" s="637"/>
      <c r="TM46" s="637"/>
      <c r="TN46" s="637"/>
      <c r="TO46" s="637"/>
      <c r="TP46" s="637"/>
      <c r="TQ46" s="637"/>
      <c r="TR46" s="637"/>
      <c r="TS46" s="637"/>
      <c r="TT46" s="637"/>
      <c r="TU46" s="637"/>
      <c r="TV46" s="637"/>
      <c r="TW46" s="637"/>
      <c r="TX46" s="637"/>
      <c r="TY46" s="637"/>
      <c r="TZ46" s="637"/>
      <c r="UA46" s="637"/>
      <c r="UB46" s="637"/>
      <c r="UC46" s="637"/>
      <c r="UD46" s="637"/>
      <c r="UE46" s="637"/>
      <c r="UF46" s="637"/>
      <c r="UG46" s="637"/>
      <c r="UH46" s="637"/>
      <c r="UI46" s="637"/>
      <c r="UJ46" s="637"/>
      <c r="UK46" s="637"/>
      <c r="UL46" s="637"/>
      <c r="UM46" s="637"/>
      <c r="UN46" s="637"/>
      <c r="UO46" s="637"/>
      <c r="UP46" s="637"/>
      <c r="UQ46" s="637"/>
      <c r="UR46" s="637"/>
      <c r="US46" s="637"/>
      <c r="UT46" s="637"/>
      <c r="UU46" s="637"/>
      <c r="UV46" s="637"/>
      <c r="UW46" s="637"/>
      <c r="UX46" s="637"/>
      <c r="UY46" s="637"/>
      <c r="UZ46" s="637"/>
      <c r="VA46" s="637"/>
      <c r="VB46" s="637"/>
      <c r="VC46" s="637"/>
      <c r="VD46" s="637"/>
      <c r="VE46" s="637"/>
      <c r="VF46" s="637"/>
      <c r="VG46" s="637"/>
      <c r="VH46" s="637"/>
      <c r="VI46" s="637"/>
      <c r="VJ46" s="637"/>
      <c r="VK46" s="637"/>
      <c r="VL46" s="637"/>
      <c r="VM46" s="637"/>
      <c r="VN46" s="637"/>
      <c r="VO46" s="637"/>
      <c r="VP46" s="637"/>
      <c r="VQ46" s="637"/>
      <c r="VR46" s="637"/>
      <c r="VS46" s="637"/>
      <c r="VT46" s="637"/>
      <c r="VU46" s="637"/>
      <c r="VV46" s="637"/>
      <c r="VW46" s="637"/>
      <c r="VX46" s="637"/>
      <c r="VY46" s="637"/>
      <c r="VZ46" s="637"/>
      <c r="WA46" s="637"/>
      <c r="WB46" s="637"/>
      <c r="WC46" s="637"/>
      <c r="WD46" s="637"/>
      <c r="WE46" s="637"/>
      <c r="WF46" s="637"/>
      <c r="WG46" s="637"/>
      <c r="WH46" s="637"/>
      <c r="WI46" s="637"/>
      <c r="WJ46" s="637"/>
      <c r="WK46" s="637"/>
      <c r="WL46" s="637"/>
      <c r="WM46" s="637"/>
      <c r="WN46" s="637"/>
      <c r="WO46" s="637"/>
      <c r="WP46" s="637"/>
      <c r="WQ46" s="637"/>
      <c r="WR46" s="637"/>
      <c r="WS46" s="637"/>
      <c r="WT46" s="637"/>
      <c r="WU46" s="637"/>
      <c r="WV46" s="637"/>
      <c r="WW46" s="637"/>
      <c r="WX46" s="637"/>
      <c r="WY46" s="637"/>
      <c r="WZ46" s="637"/>
      <c r="XA46" s="637"/>
      <c r="XB46" s="637"/>
      <c r="XC46" s="637"/>
      <c r="XD46" s="637"/>
      <c r="XE46" s="637"/>
      <c r="XF46" s="637"/>
      <c r="XG46" s="637"/>
      <c r="XH46" s="637"/>
      <c r="XI46" s="637"/>
      <c r="XJ46" s="637"/>
      <c r="XK46" s="637"/>
      <c r="XL46" s="637"/>
      <c r="XM46" s="637"/>
      <c r="XN46" s="637"/>
      <c r="XO46" s="637"/>
      <c r="XP46" s="637"/>
      <c r="XQ46" s="637"/>
      <c r="XR46" s="637"/>
      <c r="XS46" s="637"/>
      <c r="XT46" s="637"/>
      <c r="XU46" s="637"/>
      <c r="XV46" s="637"/>
      <c r="XW46" s="637"/>
      <c r="XX46" s="637"/>
      <c r="XY46" s="637"/>
      <c r="XZ46" s="637"/>
      <c r="YA46" s="637"/>
      <c r="YB46" s="637"/>
      <c r="YC46" s="637"/>
      <c r="YD46" s="637"/>
      <c r="YE46" s="637"/>
      <c r="YF46" s="637"/>
      <c r="YG46" s="637"/>
      <c r="YH46" s="637"/>
      <c r="YI46" s="637"/>
      <c r="YJ46" s="637"/>
      <c r="YK46" s="637"/>
      <c r="YL46" s="637"/>
      <c r="YM46" s="637"/>
      <c r="YN46" s="637"/>
      <c r="YO46" s="637"/>
      <c r="YP46" s="637"/>
      <c r="YQ46" s="637"/>
      <c r="YR46" s="637"/>
      <c r="YS46" s="637"/>
      <c r="YT46" s="637"/>
      <c r="YU46" s="637"/>
      <c r="YV46" s="637"/>
      <c r="YW46" s="637"/>
      <c r="YX46" s="637"/>
      <c r="YY46" s="637"/>
      <c r="YZ46" s="637"/>
      <c r="ZA46" s="637"/>
      <c r="ZB46" s="637"/>
      <c r="ZC46" s="637"/>
      <c r="ZD46" s="637"/>
      <c r="ZE46" s="637"/>
      <c r="ZF46" s="637"/>
      <c r="ZG46" s="637"/>
      <c r="ZH46" s="637"/>
      <c r="ZI46" s="637"/>
      <c r="ZJ46" s="637"/>
      <c r="ZK46" s="637"/>
      <c r="ZL46" s="637"/>
      <c r="ZM46" s="637"/>
      <c r="ZN46" s="637"/>
      <c r="ZO46" s="637"/>
      <c r="ZP46" s="637"/>
      <c r="ZQ46" s="637"/>
      <c r="ZR46" s="637"/>
      <c r="ZS46" s="637"/>
      <c r="ZT46" s="637"/>
      <c r="ZU46" s="637"/>
      <c r="ZV46" s="637"/>
      <c r="ZW46" s="637"/>
      <c r="ZX46" s="637"/>
      <c r="ZY46" s="637"/>
      <c r="ZZ46" s="637"/>
      <c r="AAA46" s="637"/>
      <c r="AAB46" s="637"/>
      <c r="AAC46" s="637"/>
      <c r="AAD46" s="637"/>
      <c r="AAE46" s="637"/>
      <c r="AAF46" s="637"/>
      <c r="AAG46" s="637"/>
      <c r="AAH46" s="637"/>
      <c r="AAI46" s="637"/>
      <c r="AAJ46" s="637"/>
      <c r="AAK46" s="637"/>
      <c r="AAL46" s="637"/>
      <c r="AAM46" s="637"/>
      <c r="AAN46" s="637"/>
      <c r="AAO46" s="637"/>
      <c r="AAP46" s="637"/>
      <c r="AAQ46" s="637"/>
      <c r="AAR46" s="637"/>
      <c r="AAS46" s="637"/>
      <c r="AAT46" s="637"/>
      <c r="AAU46" s="637"/>
      <c r="AAV46" s="637"/>
      <c r="AAW46" s="637"/>
      <c r="AAX46" s="637"/>
      <c r="AAY46" s="637"/>
      <c r="AAZ46" s="637"/>
      <c r="ABA46" s="637"/>
      <c r="ABB46" s="637"/>
      <c r="ABC46" s="637"/>
      <c r="ABD46" s="637"/>
      <c r="ABE46" s="637"/>
      <c r="ABF46" s="637"/>
      <c r="ABG46" s="637"/>
      <c r="ABH46" s="637"/>
      <c r="ABI46" s="637"/>
      <c r="ABJ46" s="637"/>
      <c r="ABK46" s="637"/>
      <c r="ABL46" s="637"/>
      <c r="ABM46" s="637"/>
      <c r="ABN46" s="637"/>
      <c r="ABO46" s="637"/>
      <c r="ABP46" s="637"/>
      <c r="ABQ46" s="637"/>
      <c r="ABR46" s="637"/>
      <c r="ABS46" s="637"/>
      <c r="ABT46" s="637"/>
      <c r="ABU46" s="637"/>
      <c r="ABV46" s="637"/>
      <c r="ABW46" s="637"/>
      <c r="ABX46" s="637"/>
      <c r="ABY46" s="637"/>
      <c r="ABZ46" s="637"/>
      <c r="ACA46" s="637"/>
      <c r="ACB46" s="637"/>
      <c r="ACC46" s="637"/>
      <c r="ACD46" s="637"/>
      <c r="ACE46" s="637"/>
      <c r="ACF46" s="637"/>
      <c r="ACG46" s="637"/>
      <c r="ACH46" s="637"/>
      <c r="ACI46" s="637"/>
      <c r="ACJ46" s="637"/>
      <c r="ACK46" s="637"/>
      <c r="ACL46" s="637"/>
      <c r="ACM46" s="637"/>
      <c r="ACN46" s="637"/>
      <c r="ACO46" s="637"/>
      <c r="ACP46" s="637"/>
      <c r="ACQ46" s="637"/>
      <c r="ACR46" s="637"/>
      <c r="ACS46" s="637"/>
      <c r="ACT46" s="637"/>
      <c r="ACU46" s="637"/>
      <c r="ACV46" s="637"/>
      <c r="ACW46" s="637"/>
      <c r="ACX46" s="637"/>
      <c r="ACY46" s="637"/>
      <c r="ACZ46" s="637"/>
      <c r="ADA46" s="637"/>
      <c r="ADB46" s="637"/>
      <c r="ADC46" s="637"/>
      <c r="ADD46" s="637"/>
      <c r="ADE46" s="637"/>
      <c r="ADF46" s="637"/>
      <c r="ADG46" s="637"/>
      <c r="ADH46" s="637"/>
      <c r="ADI46" s="637"/>
      <c r="ADJ46" s="637"/>
      <c r="ADK46" s="637"/>
      <c r="ADL46" s="637"/>
      <c r="ADM46" s="637"/>
      <c r="ADN46" s="637"/>
      <c r="ADO46" s="637"/>
      <c r="ADP46" s="637"/>
      <c r="ADQ46" s="637"/>
      <c r="ADR46" s="637"/>
      <c r="ADS46" s="637"/>
      <c r="ADT46" s="637"/>
      <c r="ADU46" s="637"/>
      <c r="ADV46" s="637"/>
      <c r="ADW46" s="637"/>
      <c r="ADX46" s="637"/>
      <c r="ADY46" s="637"/>
      <c r="ADZ46" s="637"/>
      <c r="AEA46" s="637"/>
      <c r="AEB46" s="637"/>
      <c r="AEC46" s="637"/>
      <c r="AED46" s="637"/>
      <c r="AEE46" s="637"/>
      <c r="AEF46" s="637"/>
      <c r="AEG46" s="637"/>
      <c r="AEH46" s="637"/>
      <c r="AEI46" s="637"/>
      <c r="AEJ46" s="637"/>
      <c r="AEK46" s="637"/>
      <c r="AEL46" s="637"/>
      <c r="AEM46" s="637"/>
      <c r="AEN46" s="637"/>
      <c r="AEO46" s="637"/>
      <c r="AEP46" s="637"/>
      <c r="AEQ46" s="637"/>
      <c r="AER46" s="637"/>
      <c r="AES46" s="637"/>
      <c r="AET46" s="637"/>
      <c r="AEU46" s="637"/>
      <c r="AEV46" s="637"/>
      <c r="AEW46" s="637"/>
      <c r="AEX46" s="637"/>
      <c r="AEY46" s="637"/>
      <c r="AEZ46" s="637"/>
      <c r="AFA46" s="637"/>
      <c r="AFB46" s="637"/>
      <c r="AFC46" s="637"/>
      <c r="AFD46" s="637"/>
      <c r="AFE46" s="637"/>
      <c r="AFF46" s="637"/>
      <c r="AFG46" s="637"/>
      <c r="AFH46" s="637"/>
      <c r="AFI46" s="637"/>
      <c r="AFJ46" s="637"/>
      <c r="AFK46" s="637"/>
      <c r="AFL46" s="637"/>
      <c r="AFM46" s="637"/>
      <c r="AFN46" s="637"/>
      <c r="AFO46" s="637"/>
      <c r="AFP46" s="637"/>
      <c r="AFQ46" s="637"/>
      <c r="AFR46" s="637"/>
      <c r="AFS46" s="637"/>
      <c r="AFT46" s="637"/>
      <c r="AFU46" s="637"/>
      <c r="AFV46" s="637"/>
      <c r="AFW46" s="637"/>
      <c r="AFX46" s="637"/>
      <c r="AFY46" s="637"/>
      <c r="AFZ46" s="637"/>
      <c r="AGA46" s="637"/>
      <c r="AGB46" s="637"/>
      <c r="AGC46" s="637"/>
      <c r="AGD46" s="637"/>
      <c r="AGE46" s="637"/>
      <c r="AGF46" s="637"/>
      <c r="AGG46" s="637"/>
      <c r="AGH46" s="637"/>
      <c r="AGI46" s="637"/>
      <c r="AGJ46" s="637"/>
      <c r="AGK46" s="637"/>
      <c r="AGL46" s="637"/>
      <c r="AGM46" s="637"/>
      <c r="AGN46" s="637"/>
      <c r="AGO46" s="637"/>
      <c r="AGP46" s="637"/>
      <c r="AGQ46" s="637"/>
      <c r="AGR46" s="637"/>
      <c r="AGS46" s="637"/>
      <c r="AGT46" s="637"/>
      <c r="AGU46" s="637"/>
      <c r="AGV46" s="637"/>
      <c r="AGW46" s="637"/>
      <c r="AGX46" s="637"/>
      <c r="AGY46" s="637"/>
      <c r="AGZ46" s="637"/>
      <c r="AHA46" s="637"/>
      <c r="AHB46" s="637"/>
      <c r="AHC46" s="637"/>
      <c r="AHD46" s="637"/>
      <c r="AHE46" s="637"/>
      <c r="AHF46" s="637"/>
      <c r="AHG46" s="637"/>
      <c r="AHH46" s="637"/>
      <c r="AHI46" s="637"/>
      <c r="AHJ46" s="637"/>
      <c r="AHK46" s="637"/>
      <c r="AHL46" s="637"/>
      <c r="AHM46" s="637"/>
      <c r="AHN46" s="637"/>
      <c r="AHO46" s="637"/>
      <c r="AHP46" s="637"/>
      <c r="AHQ46" s="637"/>
      <c r="AHR46" s="637"/>
      <c r="AHS46" s="637"/>
      <c r="AHT46" s="637"/>
      <c r="AHU46" s="637"/>
      <c r="AHV46" s="637"/>
      <c r="AHW46" s="637"/>
      <c r="AHX46" s="637"/>
      <c r="AHY46" s="637"/>
      <c r="AHZ46" s="637"/>
      <c r="AIA46" s="637"/>
      <c r="AIB46" s="637"/>
      <c r="AIC46" s="637"/>
      <c r="AID46" s="637"/>
      <c r="AIE46" s="637"/>
      <c r="AIF46" s="637"/>
      <c r="AIG46" s="637"/>
      <c r="AIH46" s="637"/>
      <c r="AII46" s="637"/>
      <c r="AIJ46" s="637"/>
      <c r="AIK46" s="637"/>
      <c r="AIL46" s="637"/>
      <c r="AIM46" s="637"/>
      <c r="AIN46" s="637"/>
      <c r="AIO46" s="637"/>
      <c r="AIP46" s="637"/>
      <c r="AIQ46" s="637"/>
      <c r="AIR46" s="637"/>
      <c r="AIS46" s="637"/>
      <c r="AIT46" s="637"/>
      <c r="AIU46" s="637"/>
      <c r="AIV46" s="637"/>
      <c r="AIW46" s="637"/>
      <c r="AIX46" s="637"/>
      <c r="AIY46" s="637"/>
      <c r="AIZ46" s="637"/>
      <c r="AJA46" s="637"/>
      <c r="AJB46" s="637"/>
      <c r="AJC46" s="637"/>
      <c r="AJD46" s="637"/>
      <c r="AJE46" s="637"/>
      <c r="AJF46" s="637"/>
      <c r="AJG46" s="637"/>
      <c r="AJH46" s="637"/>
      <c r="AJI46" s="637"/>
      <c r="AJJ46" s="637"/>
      <c r="AJK46" s="637"/>
      <c r="AJL46" s="637"/>
      <c r="AJM46" s="637"/>
      <c r="AJN46" s="637"/>
      <c r="AJO46" s="637"/>
      <c r="AJP46" s="637"/>
      <c r="AJQ46" s="637"/>
      <c r="AJR46" s="637"/>
      <c r="AJS46" s="637"/>
      <c r="AJT46" s="637"/>
      <c r="AJU46" s="637"/>
      <c r="AJV46" s="637"/>
      <c r="AJW46" s="637"/>
      <c r="AJX46" s="637"/>
      <c r="AJY46" s="637"/>
      <c r="AJZ46" s="637"/>
      <c r="AKA46" s="637"/>
      <c r="AKB46" s="637"/>
      <c r="AKC46" s="637"/>
      <c r="AKD46" s="637"/>
      <c r="AKE46" s="637"/>
      <c r="AKF46" s="637"/>
      <c r="AKG46" s="637"/>
      <c r="AKH46" s="637"/>
      <c r="AKI46" s="637"/>
      <c r="AKJ46" s="637"/>
      <c r="AKK46" s="637"/>
      <c r="AKL46" s="637"/>
      <c r="AKM46" s="637"/>
      <c r="AKN46" s="637"/>
      <c r="AKO46" s="637"/>
      <c r="AKP46" s="637"/>
      <c r="AKQ46" s="637"/>
      <c r="AKR46" s="637"/>
      <c r="AKS46" s="637"/>
      <c r="AKT46" s="637"/>
      <c r="AKU46" s="637"/>
      <c r="AKV46" s="637"/>
      <c r="AKW46" s="637"/>
      <c r="AKX46" s="637"/>
      <c r="AKY46" s="637"/>
      <c r="AKZ46" s="637"/>
      <c r="ALA46" s="637"/>
      <c r="ALB46" s="637"/>
      <c r="ALC46" s="637"/>
      <c r="ALD46" s="637"/>
      <c r="ALE46" s="637"/>
      <c r="ALF46" s="637"/>
      <c r="ALG46" s="637"/>
      <c r="ALH46" s="637"/>
      <c r="ALI46" s="637"/>
      <c r="ALJ46" s="637"/>
      <c r="ALK46" s="637"/>
      <c r="ALL46" s="637"/>
      <c r="ALM46" s="637"/>
      <c r="ALN46" s="637"/>
      <c r="ALO46" s="637"/>
      <c r="ALP46" s="637"/>
      <c r="ALQ46" s="637"/>
      <c r="ALR46" s="637"/>
      <c r="ALS46" s="637"/>
      <c r="ALT46" s="637"/>
      <c r="ALU46" s="637"/>
      <c r="ALV46" s="637"/>
      <c r="ALW46" s="637"/>
      <c r="ALX46" s="637"/>
      <c r="ALY46" s="637"/>
      <c r="ALZ46" s="637"/>
      <c r="AMA46" s="637"/>
      <c r="AMB46" s="637"/>
      <c r="AMC46" s="637"/>
      <c r="AMD46" s="637"/>
      <c r="AME46" s="637"/>
      <c r="AMF46" s="637"/>
      <c r="AMG46" s="637"/>
      <c r="AMH46" s="637"/>
      <c r="AMI46" s="637"/>
      <c r="AMJ46" s="637"/>
    </row>
    <row r="47" spans="1:1024" s="638" customFormat="1" ht="12.75" hidden="1">
      <c r="A47" s="984"/>
      <c r="B47" s="985"/>
      <c r="C47" s="986"/>
      <c r="D47" s="988"/>
      <c r="E47" s="989"/>
      <c r="F47" s="989"/>
      <c r="G47" s="993"/>
      <c r="H47" s="993"/>
      <c r="I47" s="993"/>
      <c r="J47" s="993"/>
      <c r="K47" s="993"/>
      <c r="L47" s="993"/>
      <c r="M47" s="993"/>
      <c r="N47" s="993"/>
      <c r="O47" s="993"/>
      <c r="P47" s="993"/>
      <c r="Q47" s="993"/>
      <c r="R47" s="991"/>
      <c r="S47" s="637"/>
      <c r="T47" s="637"/>
      <c r="U47" s="637"/>
      <c r="V47" s="637"/>
      <c r="W47" s="637"/>
      <c r="X47" s="637"/>
      <c r="Y47" s="637"/>
      <c r="Z47" s="637"/>
      <c r="AA47" s="637"/>
      <c r="AB47" s="637"/>
      <c r="AC47" s="637"/>
      <c r="AD47" s="637"/>
      <c r="AE47" s="637"/>
      <c r="AF47" s="637"/>
      <c r="AG47" s="637"/>
      <c r="AH47" s="637"/>
      <c r="AI47" s="637"/>
      <c r="AJ47" s="637"/>
      <c r="AK47" s="637"/>
      <c r="AL47" s="637"/>
      <c r="AM47" s="637"/>
      <c r="AN47" s="637"/>
      <c r="AO47" s="637"/>
      <c r="AP47" s="637"/>
      <c r="AQ47" s="637"/>
      <c r="AR47" s="637"/>
      <c r="AS47" s="637"/>
      <c r="AT47" s="637"/>
      <c r="AU47" s="637"/>
      <c r="AV47" s="637"/>
      <c r="AW47" s="637"/>
      <c r="AX47" s="637"/>
      <c r="AY47" s="637"/>
      <c r="AZ47" s="637"/>
      <c r="BA47" s="637"/>
      <c r="BB47" s="637"/>
      <c r="BC47" s="637"/>
      <c r="BD47" s="637"/>
      <c r="BE47" s="637"/>
      <c r="BF47" s="637"/>
      <c r="BG47" s="637"/>
      <c r="BH47" s="637"/>
      <c r="BI47" s="637"/>
      <c r="BJ47" s="637"/>
      <c r="BK47" s="637"/>
      <c r="BL47" s="637"/>
      <c r="BM47" s="637"/>
      <c r="BN47" s="637"/>
      <c r="BO47" s="637"/>
      <c r="BP47" s="637"/>
      <c r="BQ47" s="637"/>
      <c r="BR47" s="637"/>
      <c r="BS47" s="637"/>
      <c r="BT47" s="637"/>
      <c r="BU47" s="637"/>
      <c r="BV47" s="637"/>
      <c r="BW47" s="637"/>
      <c r="BX47" s="637"/>
      <c r="BY47" s="637"/>
      <c r="BZ47" s="637"/>
      <c r="CA47" s="637"/>
      <c r="CB47" s="637"/>
      <c r="CC47" s="637"/>
      <c r="CD47" s="637"/>
      <c r="CE47" s="637"/>
      <c r="CF47" s="637"/>
      <c r="CG47" s="637"/>
      <c r="CH47" s="637"/>
      <c r="CI47" s="637"/>
      <c r="CJ47" s="637"/>
      <c r="CK47" s="637"/>
      <c r="CL47" s="637"/>
      <c r="CM47" s="637"/>
      <c r="CN47" s="637"/>
      <c r="CO47" s="637"/>
      <c r="CP47" s="637"/>
      <c r="CQ47" s="637"/>
      <c r="CR47" s="637"/>
      <c r="CS47" s="637"/>
      <c r="CT47" s="637"/>
      <c r="CU47" s="637"/>
      <c r="CV47" s="637"/>
      <c r="CW47" s="637"/>
      <c r="CX47" s="637"/>
      <c r="CY47" s="637"/>
      <c r="CZ47" s="637"/>
      <c r="DA47" s="637"/>
      <c r="DB47" s="637"/>
      <c r="DC47" s="637"/>
      <c r="DD47" s="637"/>
      <c r="DE47" s="637"/>
      <c r="DF47" s="637"/>
      <c r="DG47" s="637"/>
      <c r="DH47" s="637"/>
      <c r="DI47" s="637"/>
      <c r="DJ47" s="637"/>
      <c r="DK47" s="637"/>
      <c r="DL47" s="637"/>
      <c r="DM47" s="637"/>
      <c r="DN47" s="637"/>
      <c r="DO47" s="637"/>
      <c r="DP47" s="637"/>
      <c r="DQ47" s="637"/>
      <c r="DR47" s="637"/>
      <c r="DS47" s="637"/>
      <c r="DT47" s="637"/>
      <c r="DU47" s="637"/>
      <c r="DV47" s="637"/>
      <c r="DW47" s="637"/>
      <c r="DX47" s="637"/>
      <c r="DY47" s="637"/>
      <c r="DZ47" s="637"/>
      <c r="EA47" s="637"/>
      <c r="EB47" s="637"/>
      <c r="EC47" s="637"/>
      <c r="ED47" s="637"/>
      <c r="EE47" s="637"/>
      <c r="EF47" s="637"/>
      <c r="EG47" s="637"/>
      <c r="EH47" s="637"/>
      <c r="EI47" s="637"/>
      <c r="EJ47" s="637"/>
      <c r="EK47" s="637"/>
      <c r="EL47" s="637"/>
      <c r="EM47" s="637"/>
      <c r="EN47" s="637"/>
      <c r="EO47" s="637"/>
      <c r="EP47" s="637"/>
      <c r="EQ47" s="637"/>
      <c r="ER47" s="637"/>
      <c r="ES47" s="637"/>
      <c r="ET47" s="637"/>
      <c r="EU47" s="637"/>
      <c r="EV47" s="637"/>
      <c r="EW47" s="637"/>
      <c r="EX47" s="637"/>
      <c r="EY47" s="637"/>
      <c r="EZ47" s="637"/>
      <c r="FA47" s="637"/>
      <c r="FB47" s="637"/>
      <c r="FC47" s="637"/>
      <c r="FD47" s="637"/>
      <c r="FE47" s="637"/>
      <c r="FF47" s="637"/>
      <c r="FG47" s="637"/>
      <c r="FH47" s="637"/>
      <c r="FI47" s="637"/>
      <c r="FJ47" s="637"/>
      <c r="FK47" s="637"/>
      <c r="FL47" s="637"/>
      <c r="FM47" s="637"/>
      <c r="FN47" s="637"/>
      <c r="FO47" s="637"/>
      <c r="FP47" s="637"/>
      <c r="FQ47" s="637"/>
      <c r="FR47" s="637"/>
      <c r="FS47" s="637"/>
      <c r="FT47" s="637"/>
      <c r="FU47" s="637"/>
      <c r="FV47" s="637"/>
      <c r="FW47" s="637"/>
      <c r="FX47" s="637"/>
      <c r="FY47" s="637"/>
      <c r="FZ47" s="637"/>
      <c r="GA47" s="637"/>
      <c r="GB47" s="637"/>
      <c r="GC47" s="637"/>
      <c r="GD47" s="637"/>
      <c r="GE47" s="637"/>
      <c r="GF47" s="637"/>
      <c r="GG47" s="637"/>
      <c r="GH47" s="637"/>
      <c r="GI47" s="637"/>
      <c r="GJ47" s="637"/>
      <c r="GK47" s="637"/>
      <c r="GL47" s="637"/>
      <c r="GM47" s="637"/>
      <c r="GN47" s="637"/>
      <c r="GO47" s="637"/>
      <c r="GP47" s="637"/>
      <c r="GQ47" s="637"/>
      <c r="GR47" s="637"/>
      <c r="GS47" s="637"/>
      <c r="GT47" s="637"/>
      <c r="GU47" s="637"/>
      <c r="GV47" s="637"/>
      <c r="GW47" s="637"/>
      <c r="GX47" s="637"/>
      <c r="GY47" s="637"/>
      <c r="GZ47" s="637"/>
      <c r="HA47" s="637"/>
      <c r="HB47" s="637"/>
      <c r="HC47" s="637"/>
      <c r="HD47" s="637"/>
      <c r="HE47" s="637"/>
      <c r="HF47" s="637"/>
      <c r="HG47" s="637"/>
      <c r="HH47" s="637"/>
      <c r="HI47" s="637"/>
      <c r="HJ47" s="637"/>
      <c r="HK47" s="637"/>
      <c r="HL47" s="637"/>
      <c r="HM47" s="637"/>
      <c r="HN47" s="637"/>
      <c r="HO47" s="637"/>
      <c r="HP47" s="637"/>
      <c r="HQ47" s="637"/>
      <c r="HR47" s="637"/>
      <c r="HS47" s="637"/>
      <c r="HT47" s="637"/>
      <c r="HU47" s="637"/>
      <c r="HV47" s="637"/>
      <c r="HW47" s="637"/>
      <c r="HX47" s="637"/>
      <c r="HY47" s="637"/>
      <c r="HZ47" s="637"/>
      <c r="IA47" s="637"/>
      <c r="IB47" s="637"/>
      <c r="IC47" s="637"/>
      <c r="ID47" s="637"/>
      <c r="IE47" s="637"/>
      <c r="IF47" s="637"/>
      <c r="IG47" s="637"/>
      <c r="IH47" s="637"/>
      <c r="II47" s="637"/>
      <c r="IJ47" s="637"/>
      <c r="IK47" s="637"/>
      <c r="IL47" s="637"/>
      <c r="IM47" s="637"/>
      <c r="IN47" s="637"/>
      <c r="IO47" s="637"/>
      <c r="IP47" s="637"/>
      <c r="IQ47" s="637"/>
      <c r="IR47" s="637"/>
      <c r="IS47" s="637"/>
      <c r="IT47" s="637"/>
      <c r="IU47" s="637"/>
      <c r="IV47" s="637"/>
      <c r="IW47" s="637"/>
      <c r="IX47" s="637"/>
      <c r="IY47" s="637"/>
      <c r="IZ47" s="637"/>
      <c r="JA47" s="637"/>
      <c r="JB47" s="637"/>
      <c r="JC47" s="637"/>
      <c r="JD47" s="637"/>
      <c r="JE47" s="637"/>
      <c r="JF47" s="637"/>
      <c r="JG47" s="637"/>
      <c r="JH47" s="637"/>
      <c r="JI47" s="637"/>
      <c r="JJ47" s="637"/>
      <c r="JK47" s="637"/>
      <c r="JL47" s="637"/>
      <c r="JM47" s="637"/>
      <c r="JN47" s="637"/>
      <c r="JO47" s="637"/>
      <c r="JP47" s="637"/>
      <c r="JQ47" s="637"/>
      <c r="JR47" s="637"/>
      <c r="JS47" s="637"/>
      <c r="JT47" s="637"/>
      <c r="JU47" s="637"/>
      <c r="JV47" s="637"/>
      <c r="JW47" s="637"/>
      <c r="JX47" s="637"/>
      <c r="JY47" s="637"/>
      <c r="JZ47" s="637"/>
      <c r="KA47" s="637"/>
      <c r="KB47" s="637"/>
      <c r="KC47" s="637"/>
      <c r="KD47" s="637"/>
      <c r="KE47" s="637"/>
      <c r="KF47" s="637"/>
      <c r="KG47" s="637"/>
      <c r="KH47" s="637"/>
      <c r="KI47" s="637"/>
      <c r="KJ47" s="637"/>
      <c r="KK47" s="637"/>
      <c r="KL47" s="637"/>
      <c r="KM47" s="637"/>
      <c r="KN47" s="637"/>
      <c r="KO47" s="637"/>
      <c r="KP47" s="637"/>
      <c r="KQ47" s="637"/>
      <c r="KR47" s="637"/>
      <c r="KS47" s="637"/>
      <c r="KT47" s="637"/>
      <c r="KU47" s="637"/>
      <c r="KV47" s="637"/>
      <c r="KW47" s="637"/>
      <c r="KX47" s="637"/>
      <c r="KY47" s="637"/>
      <c r="KZ47" s="637"/>
      <c r="LA47" s="637"/>
      <c r="LB47" s="637"/>
      <c r="LC47" s="637"/>
      <c r="LD47" s="637"/>
      <c r="LE47" s="637"/>
      <c r="LF47" s="637"/>
      <c r="LG47" s="637"/>
      <c r="LH47" s="637"/>
      <c r="LI47" s="637"/>
      <c r="LJ47" s="637"/>
      <c r="LK47" s="637"/>
      <c r="LL47" s="637"/>
      <c r="LM47" s="637"/>
      <c r="LN47" s="637"/>
      <c r="LO47" s="637"/>
      <c r="LP47" s="637"/>
      <c r="LQ47" s="637"/>
      <c r="LR47" s="637"/>
      <c r="LS47" s="637"/>
      <c r="LT47" s="637"/>
      <c r="LU47" s="637"/>
      <c r="LV47" s="637"/>
      <c r="LW47" s="637"/>
      <c r="LX47" s="637"/>
      <c r="LY47" s="637"/>
      <c r="LZ47" s="637"/>
      <c r="MA47" s="637"/>
      <c r="MB47" s="637"/>
      <c r="MC47" s="637"/>
      <c r="MD47" s="637"/>
      <c r="ME47" s="637"/>
      <c r="MF47" s="637"/>
      <c r="MG47" s="637"/>
      <c r="MH47" s="637"/>
      <c r="MI47" s="637"/>
      <c r="MJ47" s="637"/>
      <c r="MK47" s="637"/>
      <c r="ML47" s="637"/>
      <c r="MM47" s="637"/>
      <c r="MN47" s="637"/>
      <c r="MO47" s="637"/>
      <c r="MP47" s="637"/>
      <c r="MQ47" s="637"/>
      <c r="MR47" s="637"/>
      <c r="MS47" s="637"/>
      <c r="MT47" s="637"/>
      <c r="MU47" s="637"/>
      <c r="MV47" s="637"/>
      <c r="MW47" s="637"/>
      <c r="MX47" s="637"/>
      <c r="MY47" s="637"/>
      <c r="MZ47" s="637"/>
      <c r="NA47" s="637"/>
      <c r="NB47" s="637"/>
      <c r="NC47" s="637"/>
      <c r="ND47" s="637"/>
      <c r="NE47" s="637"/>
      <c r="NF47" s="637"/>
      <c r="NG47" s="637"/>
      <c r="NH47" s="637"/>
      <c r="NI47" s="637"/>
      <c r="NJ47" s="637"/>
      <c r="NK47" s="637"/>
      <c r="NL47" s="637"/>
      <c r="NM47" s="637"/>
      <c r="NN47" s="637"/>
      <c r="NO47" s="637"/>
      <c r="NP47" s="637"/>
      <c r="NQ47" s="637"/>
      <c r="NR47" s="637"/>
      <c r="NS47" s="637"/>
      <c r="NT47" s="637"/>
      <c r="NU47" s="637"/>
      <c r="NV47" s="637"/>
      <c r="NW47" s="637"/>
      <c r="NX47" s="637"/>
      <c r="NY47" s="637"/>
      <c r="NZ47" s="637"/>
      <c r="OA47" s="637"/>
      <c r="OB47" s="637"/>
      <c r="OC47" s="637"/>
      <c r="OD47" s="637"/>
      <c r="OE47" s="637"/>
      <c r="OF47" s="637"/>
      <c r="OG47" s="637"/>
      <c r="OH47" s="637"/>
      <c r="OI47" s="637"/>
      <c r="OJ47" s="637"/>
      <c r="OK47" s="637"/>
      <c r="OL47" s="637"/>
      <c r="OM47" s="637"/>
      <c r="ON47" s="637"/>
      <c r="OO47" s="637"/>
      <c r="OP47" s="637"/>
      <c r="OQ47" s="637"/>
      <c r="OR47" s="637"/>
      <c r="OS47" s="637"/>
      <c r="OT47" s="637"/>
      <c r="OU47" s="637"/>
      <c r="OV47" s="637"/>
      <c r="OW47" s="637"/>
      <c r="OX47" s="637"/>
      <c r="OY47" s="637"/>
      <c r="OZ47" s="637"/>
      <c r="PA47" s="637"/>
      <c r="PB47" s="637"/>
      <c r="PC47" s="637"/>
      <c r="PD47" s="637"/>
      <c r="PE47" s="637"/>
      <c r="PF47" s="637"/>
      <c r="PG47" s="637"/>
      <c r="PH47" s="637"/>
      <c r="PI47" s="637"/>
      <c r="PJ47" s="637"/>
      <c r="PK47" s="637"/>
      <c r="PL47" s="637"/>
      <c r="PM47" s="637"/>
      <c r="PN47" s="637"/>
      <c r="PO47" s="637"/>
      <c r="PP47" s="637"/>
      <c r="PQ47" s="637"/>
      <c r="PR47" s="637"/>
      <c r="PS47" s="637"/>
      <c r="PT47" s="637"/>
      <c r="PU47" s="637"/>
      <c r="PV47" s="637"/>
      <c r="PW47" s="637"/>
      <c r="PX47" s="637"/>
      <c r="PY47" s="637"/>
      <c r="PZ47" s="637"/>
      <c r="QA47" s="637"/>
      <c r="QB47" s="637"/>
      <c r="QC47" s="637"/>
      <c r="QD47" s="637"/>
      <c r="QE47" s="637"/>
      <c r="QF47" s="637"/>
      <c r="QG47" s="637"/>
      <c r="QH47" s="637"/>
      <c r="QI47" s="637"/>
      <c r="QJ47" s="637"/>
      <c r="QK47" s="637"/>
      <c r="QL47" s="637"/>
      <c r="QM47" s="637"/>
      <c r="QN47" s="637"/>
      <c r="QO47" s="637"/>
      <c r="QP47" s="637"/>
      <c r="QQ47" s="637"/>
      <c r="QR47" s="637"/>
      <c r="QS47" s="637"/>
      <c r="QT47" s="637"/>
      <c r="QU47" s="637"/>
      <c r="QV47" s="637"/>
      <c r="QW47" s="637"/>
      <c r="QX47" s="637"/>
      <c r="QY47" s="637"/>
      <c r="QZ47" s="637"/>
      <c r="RA47" s="637"/>
      <c r="RB47" s="637"/>
      <c r="RC47" s="637"/>
      <c r="RD47" s="637"/>
      <c r="RE47" s="637"/>
      <c r="RF47" s="637"/>
      <c r="RG47" s="637"/>
      <c r="RH47" s="637"/>
      <c r="RI47" s="637"/>
      <c r="RJ47" s="637"/>
      <c r="RK47" s="637"/>
      <c r="RL47" s="637"/>
      <c r="RM47" s="637"/>
      <c r="RN47" s="637"/>
      <c r="RO47" s="637"/>
      <c r="RP47" s="637"/>
      <c r="RQ47" s="637"/>
      <c r="RR47" s="637"/>
      <c r="RS47" s="637"/>
      <c r="RT47" s="637"/>
      <c r="RU47" s="637"/>
      <c r="RV47" s="637"/>
      <c r="RW47" s="637"/>
      <c r="RX47" s="637"/>
      <c r="RY47" s="637"/>
      <c r="RZ47" s="637"/>
      <c r="SA47" s="637"/>
      <c r="SB47" s="637"/>
      <c r="SC47" s="637"/>
      <c r="SD47" s="637"/>
      <c r="SE47" s="637"/>
      <c r="SF47" s="637"/>
      <c r="SG47" s="637"/>
      <c r="SH47" s="637"/>
      <c r="SI47" s="637"/>
      <c r="SJ47" s="637"/>
      <c r="SK47" s="637"/>
      <c r="SL47" s="637"/>
      <c r="SM47" s="637"/>
      <c r="SN47" s="637"/>
      <c r="SO47" s="637"/>
      <c r="SP47" s="637"/>
      <c r="SQ47" s="637"/>
      <c r="SR47" s="637"/>
      <c r="SS47" s="637"/>
      <c r="ST47" s="637"/>
      <c r="SU47" s="637"/>
      <c r="SV47" s="637"/>
      <c r="SW47" s="637"/>
      <c r="SX47" s="637"/>
      <c r="SY47" s="637"/>
      <c r="SZ47" s="637"/>
      <c r="TA47" s="637"/>
      <c r="TB47" s="637"/>
      <c r="TC47" s="637"/>
      <c r="TD47" s="637"/>
      <c r="TE47" s="637"/>
      <c r="TF47" s="637"/>
      <c r="TG47" s="637"/>
      <c r="TH47" s="637"/>
      <c r="TI47" s="637"/>
      <c r="TJ47" s="637"/>
      <c r="TK47" s="637"/>
      <c r="TL47" s="637"/>
      <c r="TM47" s="637"/>
      <c r="TN47" s="637"/>
      <c r="TO47" s="637"/>
      <c r="TP47" s="637"/>
      <c r="TQ47" s="637"/>
      <c r="TR47" s="637"/>
      <c r="TS47" s="637"/>
      <c r="TT47" s="637"/>
      <c r="TU47" s="637"/>
      <c r="TV47" s="637"/>
      <c r="TW47" s="637"/>
      <c r="TX47" s="637"/>
      <c r="TY47" s="637"/>
      <c r="TZ47" s="637"/>
      <c r="UA47" s="637"/>
      <c r="UB47" s="637"/>
      <c r="UC47" s="637"/>
      <c r="UD47" s="637"/>
      <c r="UE47" s="637"/>
      <c r="UF47" s="637"/>
      <c r="UG47" s="637"/>
      <c r="UH47" s="637"/>
      <c r="UI47" s="637"/>
      <c r="UJ47" s="637"/>
      <c r="UK47" s="637"/>
      <c r="UL47" s="637"/>
      <c r="UM47" s="637"/>
      <c r="UN47" s="637"/>
      <c r="UO47" s="637"/>
      <c r="UP47" s="637"/>
      <c r="UQ47" s="637"/>
      <c r="UR47" s="637"/>
      <c r="US47" s="637"/>
      <c r="UT47" s="637"/>
      <c r="UU47" s="637"/>
      <c r="UV47" s="637"/>
      <c r="UW47" s="637"/>
      <c r="UX47" s="637"/>
      <c r="UY47" s="637"/>
      <c r="UZ47" s="637"/>
      <c r="VA47" s="637"/>
      <c r="VB47" s="637"/>
      <c r="VC47" s="637"/>
      <c r="VD47" s="637"/>
      <c r="VE47" s="637"/>
      <c r="VF47" s="637"/>
      <c r="VG47" s="637"/>
      <c r="VH47" s="637"/>
      <c r="VI47" s="637"/>
      <c r="VJ47" s="637"/>
      <c r="VK47" s="637"/>
      <c r="VL47" s="637"/>
      <c r="VM47" s="637"/>
      <c r="VN47" s="637"/>
      <c r="VO47" s="637"/>
      <c r="VP47" s="637"/>
      <c r="VQ47" s="637"/>
      <c r="VR47" s="637"/>
      <c r="VS47" s="637"/>
      <c r="VT47" s="637"/>
      <c r="VU47" s="637"/>
      <c r="VV47" s="637"/>
      <c r="VW47" s="637"/>
      <c r="VX47" s="637"/>
      <c r="VY47" s="637"/>
      <c r="VZ47" s="637"/>
      <c r="WA47" s="637"/>
      <c r="WB47" s="637"/>
      <c r="WC47" s="637"/>
      <c r="WD47" s="637"/>
      <c r="WE47" s="637"/>
      <c r="WF47" s="637"/>
      <c r="WG47" s="637"/>
      <c r="WH47" s="637"/>
      <c r="WI47" s="637"/>
      <c r="WJ47" s="637"/>
      <c r="WK47" s="637"/>
      <c r="WL47" s="637"/>
      <c r="WM47" s="637"/>
      <c r="WN47" s="637"/>
      <c r="WO47" s="637"/>
      <c r="WP47" s="637"/>
      <c r="WQ47" s="637"/>
      <c r="WR47" s="637"/>
      <c r="WS47" s="637"/>
      <c r="WT47" s="637"/>
      <c r="WU47" s="637"/>
      <c r="WV47" s="637"/>
      <c r="WW47" s="637"/>
      <c r="WX47" s="637"/>
      <c r="WY47" s="637"/>
      <c r="WZ47" s="637"/>
      <c r="XA47" s="637"/>
      <c r="XB47" s="637"/>
      <c r="XC47" s="637"/>
      <c r="XD47" s="637"/>
      <c r="XE47" s="637"/>
      <c r="XF47" s="637"/>
      <c r="XG47" s="637"/>
      <c r="XH47" s="637"/>
      <c r="XI47" s="637"/>
      <c r="XJ47" s="637"/>
      <c r="XK47" s="637"/>
      <c r="XL47" s="637"/>
      <c r="XM47" s="637"/>
      <c r="XN47" s="637"/>
      <c r="XO47" s="637"/>
      <c r="XP47" s="637"/>
      <c r="XQ47" s="637"/>
      <c r="XR47" s="637"/>
      <c r="XS47" s="637"/>
      <c r="XT47" s="637"/>
      <c r="XU47" s="637"/>
      <c r="XV47" s="637"/>
      <c r="XW47" s="637"/>
      <c r="XX47" s="637"/>
      <c r="XY47" s="637"/>
      <c r="XZ47" s="637"/>
      <c r="YA47" s="637"/>
      <c r="YB47" s="637"/>
      <c r="YC47" s="637"/>
      <c r="YD47" s="637"/>
      <c r="YE47" s="637"/>
      <c r="YF47" s="637"/>
      <c r="YG47" s="637"/>
      <c r="YH47" s="637"/>
      <c r="YI47" s="637"/>
      <c r="YJ47" s="637"/>
      <c r="YK47" s="637"/>
      <c r="YL47" s="637"/>
      <c r="YM47" s="637"/>
      <c r="YN47" s="637"/>
      <c r="YO47" s="637"/>
      <c r="YP47" s="637"/>
      <c r="YQ47" s="637"/>
      <c r="YR47" s="637"/>
      <c r="YS47" s="637"/>
      <c r="YT47" s="637"/>
      <c r="YU47" s="637"/>
      <c r="YV47" s="637"/>
      <c r="YW47" s="637"/>
      <c r="YX47" s="637"/>
      <c r="YY47" s="637"/>
      <c r="YZ47" s="637"/>
      <c r="ZA47" s="637"/>
      <c r="ZB47" s="637"/>
      <c r="ZC47" s="637"/>
      <c r="ZD47" s="637"/>
      <c r="ZE47" s="637"/>
      <c r="ZF47" s="637"/>
      <c r="ZG47" s="637"/>
      <c r="ZH47" s="637"/>
      <c r="ZI47" s="637"/>
      <c r="ZJ47" s="637"/>
      <c r="ZK47" s="637"/>
      <c r="ZL47" s="637"/>
      <c r="ZM47" s="637"/>
      <c r="ZN47" s="637"/>
      <c r="ZO47" s="637"/>
      <c r="ZP47" s="637"/>
      <c r="ZQ47" s="637"/>
      <c r="ZR47" s="637"/>
      <c r="ZS47" s="637"/>
      <c r="ZT47" s="637"/>
      <c r="ZU47" s="637"/>
      <c r="ZV47" s="637"/>
      <c r="ZW47" s="637"/>
      <c r="ZX47" s="637"/>
      <c r="ZY47" s="637"/>
      <c r="ZZ47" s="637"/>
      <c r="AAA47" s="637"/>
      <c r="AAB47" s="637"/>
      <c r="AAC47" s="637"/>
      <c r="AAD47" s="637"/>
      <c r="AAE47" s="637"/>
      <c r="AAF47" s="637"/>
      <c r="AAG47" s="637"/>
      <c r="AAH47" s="637"/>
      <c r="AAI47" s="637"/>
      <c r="AAJ47" s="637"/>
      <c r="AAK47" s="637"/>
      <c r="AAL47" s="637"/>
      <c r="AAM47" s="637"/>
      <c r="AAN47" s="637"/>
      <c r="AAO47" s="637"/>
      <c r="AAP47" s="637"/>
      <c r="AAQ47" s="637"/>
      <c r="AAR47" s="637"/>
      <c r="AAS47" s="637"/>
      <c r="AAT47" s="637"/>
      <c r="AAU47" s="637"/>
      <c r="AAV47" s="637"/>
      <c r="AAW47" s="637"/>
      <c r="AAX47" s="637"/>
      <c r="AAY47" s="637"/>
      <c r="AAZ47" s="637"/>
      <c r="ABA47" s="637"/>
      <c r="ABB47" s="637"/>
      <c r="ABC47" s="637"/>
      <c r="ABD47" s="637"/>
      <c r="ABE47" s="637"/>
      <c r="ABF47" s="637"/>
      <c r="ABG47" s="637"/>
      <c r="ABH47" s="637"/>
      <c r="ABI47" s="637"/>
      <c r="ABJ47" s="637"/>
      <c r="ABK47" s="637"/>
      <c r="ABL47" s="637"/>
      <c r="ABM47" s="637"/>
      <c r="ABN47" s="637"/>
      <c r="ABO47" s="637"/>
      <c r="ABP47" s="637"/>
      <c r="ABQ47" s="637"/>
      <c r="ABR47" s="637"/>
      <c r="ABS47" s="637"/>
      <c r="ABT47" s="637"/>
      <c r="ABU47" s="637"/>
      <c r="ABV47" s="637"/>
      <c r="ABW47" s="637"/>
      <c r="ABX47" s="637"/>
      <c r="ABY47" s="637"/>
      <c r="ABZ47" s="637"/>
      <c r="ACA47" s="637"/>
      <c r="ACB47" s="637"/>
      <c r="ACC47" s="637"/>
      <c r="ACD47" s="637"/>
      <c r="ACE47" s="637"/>
      <c r="ACF47" s="637"/>
      <c r="ACG47" s="637"/>
      <c r="ACH47" s="637"/>
      <c r="ACI47" s="637"/>
      <c r="ACJ47" s="637"/>
      <c r="ACK47" s="637"/>
      <c r="ACL47" s="637"/>
      <c r="ACM47" s="637"/>
      <c r="ACN47" s="637"/>
      <c r="ACO47" s="637"/>
      <c r="ACP47" s="637"/>
      <c r="ACQ47" s="637"/>
      <c r="ACR47" s="637"/>
      <c r="ACS47" s="637"/>
      <c r="ACT47" s="637"/>
      <c r="ACU47" s="637"/>
      <c r="ACV47" s="637"/>
      <c r="ACW47" s="637"/>
      <c r="ACX47" s="637"/>
      <c r="ACY47" s="637"/>
      <c r="ACZ47" s="637"/>
      <c r="ADA47" s="637"/>
      <c r="ADB47" s="637"/>
      <c r="ADC47" s="637"/>
      <c r="ADD47" s="637"/>
      <c r="ADE47" s="637"/>
      <c r="ADF47" s="637"/>
      <c r="ADG47" s="637"/>
      <c r="ADH47" s="637"/>
      <c r="ADI47" s="637"/>
      <c r="ADJ47" s="637"/>
      <c r="ADK47" s="637"/>
      <c r="ADL47" s="637"/>
      <c r="ADM47" s="637"/>
      <c r="ADN47" s="637"/>
      <c r="ADO47" s="637"/>
      <c r="ADP47" s="637"/>
      <c r="ADQ47" s="637"/>
      <c r="ADR47" s="637"/>
      <c r="ADS47" s="637"/>
      <c r="ADT47" s="637"/>
      <c r="ADU47" s="637"/>
      <c r="ADV47" s="637"/>
      <c r="ADW47" s="637"/>
      <c r="ADX47" s="637"/>
      <c r="ADY47" s="637"/>
      <c r="ADZ47" s="637"/>
      <c r="AEA47" s="637"/>
      <c r="AEB47" s="637"/>
      <c r="AEC47" s="637"/>
      <c r="AED47" s="637"/>
      <c r="AEE47" s="637"/>
      <c r="AEF47" s="637"/>
      <c r="AEG47" s="637"/>
      <c r="AEH47" s="637"/>
      <c r="AEI47" s="637"/>
      <c r="AEJ47" s="637"/>
      <c r="AEK47" s="637"/>
      <c r="AEL47" s="637"/>
      <c r="AEM47" s="637"/>
      <c r="AEN47" s="637"/>
      <c r="AEO47" s="637"/>
      <c r="AEP47" s="637"/>
      <c r="AEQ47" s="637"/>
      <c r="AER47" s="637"/>
      <c r="AES47" s="637"/>
      <c r="AET47" s="637"/>
      <c r="AEU47" s="637"/>
      <c r="AEV47" s="637"/>
      <c r="AEW47" s="637"/>
      <c r="AEX47" s="637"/>
      <c r="AEY47" s="637"/>
      <c r="AEZ47" s="637"/>
      <c r="AFA47" s="637"/>
      <c r="AFB47" s="637"/>
      <c r="AFC47" s="637"/>
      <c r="AFD47" s="637"/>
      <c r="AFE47" s="637"/>
      <c r="AFF47" s="637"/>
      <c r="AFG47" s="637"/>
      <c r="AFH47" s="637"/>
      <c r="AFI47" s="637"/>
      <c r="AFJ47" s="637"/>
      <c r="AFK47" s="637"/>
      <c r="AFL47" s="637"/>
      <c r="AFM47" s="637"/>
      <c r="AFN47" s="637"/>
      <c r="AFO47" s="637"/>
      <c r="AFP47" s="637"/>
      <c r="AFQ47" s="637"/>
      <c r="AFR47" s="637"/>
      <c r="AFS47" s="637"/>
      <c r="AFT47" s="637"/>
      <c r="AFU47" s="637"/>
      <c r="AFV47" s="637"/>
      <c r="AFW47" s="637"/>
      <c r="AFX47" s="637"/>
      <c r="AFY47" s="637"/>
      <c r="AFZ47" s="637"/>
      <c r="AGA47" s="637"/>
      <c r="AGB47" s="637"/>
      <c r="AGC47" s="637"/>
      <c r="AGD47" s="637"/>
      <c r="AGE47" s="637"/>
      <c r="AGF47" s="637"/>
      <c r="AGG47" s="637"/>
      <c r="AGH47" s="637"/>
      <c r="AGI47" s="637"/>
      <c r="AGJ47" s="637"/>
      <c r="AGK47" s="637"/>
      <c r="AGL47" s="637"/>
      <c r="AGM47" s="637"/>
      <c r="AGN47" s="637"/>
      <c r="AGO47" s="637"/>
      <c r="AGP47" s="637"/>
      <c r="AGQ47" s="637"/>
      <c r="AGR47" s="637"/>
      <c r="AGS47" s="637"/>
      <c r="AGT47" s="637"/>
      <c r="AGU47" s="637"/>
      <c r="AGV47" s="637"/>
      <c r="AGW47" s="637"/>
      <c r="AGX47" s="637"/>
      <c r="AGY47" s="637"/>
      <c r="AGZ47" s="637"/>
      <c r="AHA47" s="637"/>
      <c r="AHB47" s="637"/>
      <c r="AHC47" s="637"/>
      <c r="AHD47" s="637"/>
      <c r="AHE47" s="637"/>
      <c r="AHF47" s="637"/>
      <c r="AHG47" s="637"/>
      <c r="AHH47" s="637"/>
      <c r="AHI47" s="637"/>
      <c r="AHJ47" s="637"/>
      <c r="AHK47" s="637"/>
      <c r="AHL47" s="637"/>
      <c r="AHM47" s="637"/>
      <c r="AHN47" s="637"/>
      <c r="AHO47" s="637"/>
      <c r="AHP47" s="637"/>
      <c r="AHQ47" s="637"/>
      <c r="AHR47" s="637"/>
      <c r="AHS47" s="637"/>
      <c r="AHT47" s="637"/>
      <c r="AHU47" s="637"/>
      <c r="AHV47" s="637"/>
      <c r="AHW47" s="637"/>
      <c r="AHX47" s="637"/>
      <c r="AHY47" s="637"/>
      <c r="AHZ47" s="637"/>
      <c r="AIA47" s="637"/>
      <c r="AIB47" s="637"/>
      <c r="AIC47" s="637"/>
      <c r="AID47" s="637"/>
      <c r="AIE47" s="637"/>
      <c r="AIF47" s="637"/>
      <c r="AIG47" s="637"/>
      <c r="AIH47" s="637"/>
      <c r="AII47" s="637"/>
      <c r="AIJ47" s="637"/>
      <c r="AIK47" s="637"/>
      <c r="AIL47" s="637"/>
      <c r="AIM47" s="637"/>
      <c r="AIN47" s="637"/>
      <c r="AIO47" s="637"/>
      <c r="AIP47" s="637"/>
      <c r="AIQ47" s="637"/>
      <c r="AIR47" s="637"/>
      <c r="AIS47" s="637"/>
      <c r="AIT47" s="637"/>
      <c r="AIU47" s="637"/>
      <c r="AIV47" s="637"/>
      <c r="AIW47" s="637"/>
      <c r="AIX47" s="637"/>
      <c r="AIY47" s="637"/>
      <c r="AIZ47" s="637"/>
      <c r="AJA47" s="637"/>
      <c r="AJB47" s="637"/>
      <c r="AJC47" s="637"/>
      <c r="AJD47" s="637"/>
      <c r="AJE47" s="637"/>
      <c r="AJF47" s="637"/>
      <c r="AJG47" s="637"/>
      <c r="AJH47" s="637"/>
      <c r="AJI47" s="637"/>
      <c r="AJJ47" s="637"/>
      <c r="AJK47" s="637"/>
      <c r="AJL47" s="637"/>
      <c r="AJM47" s="637"/>
      <c r="AJN47" s="637"/>
      <c r="AJO47" s="637"/>
      <c r="AJP47" s="637"/>
      <c r="AJQ47" s="637"/>
      <c r="AJR47" s="637"/>
      <c r="AJS47" s="637"/>
      <c r="AJT47" s="637"/>
      <c r="AJU47" s="637"/>
      <c r="AJV47" s="637"/>
      <c r="AJW47" s="637"/>
      <c r="AJX47" s="637"/>
      <c r="AJY47" s="637"/>
      <c r="AJZ47" s="637"/>
      <c r="AKA47" s="637"/>
      <c r="AKB47" s="637"/>
      <c r="AKC47" s="637"/>
      <c r="AKD47" s="637"/>
      <c r="AKE47" s="637"/>
      <c r="AKF47" s="637"/>
      <c r="AKG47" s="637"/>
      <c r="AKH47" s="637"/>
      <c r="AKI47" s="637"/>
      <c r="AKJ47" s="637"/>
      <c r="AKK47" s="637"/>
      <c r="AKL47" s="637"/>
      <c r="AKM47" s="637"/>
      <c r="AKN47" s="637"/>
      <c r="AKO47" s="637"/>
      <c r="AKP47" s="637"/>
      <c r="AKQ47" s="637"/>
      <c r="AKR47" s="637"/>
      <c r="AKS47" s="637"/>
      <c r="AKT47" s="637"/>
      <c r="AKU47" s="637"/>
      <c r="AKV47" s="637"/>
      <c r="AKW47" s="637"/>
      <c r="AKX47" s="637"/>
      <c r="AKY47" s="637"/>
      <c r="AKZ47" s="637"/>
      <c r="ALA47" s="637"/>
      <c r="ALB47" s="637"/>
      <c r="ALC47" s="637"/>
      <c r="ALD47" s="637"/>
      <c r="ALE47" s="637"/>
      <c r="ALF47" s="637"/>
      <c r="ALG47" s="637"/>
      <c r="ALH47" s="637"/>
      <c r="ALI47" s="637"/>
      <c r="ALJ47" s="637"/>
      <c r="ALK47" s="637"/>
      <c r="ALL47" s="637"/>
      <c r="ALM47" s="637"/>
      <c r="ALN47" s="637"/>
      <c r="ALO47" s="637"/>
      <c r="ALP47" s="637"/>
      <c r="ALQ47" s="637"/>
      <c r="ALR47" s="637"/>
      <c r="ALS47" s="637"/>
      <c r="ALT47" s="637"/>
      <c r="ALU47" s="637"/>
      <c r="ALV47" s="637"/>
      <c r="ALW47" s="637"/>
      <c r="ALX47" s="637"/>
      <c r="ALY47" s="637"/>
      <c r="ALZ47" s="637"/>
      <c r="AMA47" s="637"/>
      <c r="AMB47" s="637"/>
      <c r="AMC47" s="637"/>
      <c r="AMD47" s="637"/>
      <c r="AME47" s="637"/>
      <c r="AMF47" s="637"/>
      <c r="AMG47" s="637"/>
      <c r="AMH47" s="637"/>
      <c r="AMI47" s="637"/>
      <c r="AMJ47" s="637"/>
    </row>
    <row r="48" spans="1:1024" s="638" customFormat="1" ht="46.5">
      <c r="A48" s="984" t="s">
        <v>122</v>
      </c>
      <c r="B48" s="985" t="s">
        <v>147</v>
      </c>
      <c r="C48" s="986" t="s">
        <v>125</v>
      </c>
      <c r="D48" s="981" t="s">
        <v>4</v>
      </c>
      <c r="E48" s="982"/>
      <c r="F48" s="982">
        <f aca="true" t="shared" si="3" ref="F48:F61">SUM(G48:R48)</f>
        <v>715</v>
      </c>
      <c r="G48" s="987">
        <v>470</v>
      </c>
      <c r="H48" s="987">
        <v>245</v>
      </c>
      <c r="I48" s="987"/>
      <c r="J48" s="987"/>
      <c r="K48" s="987"/>
      <c r="L48" s="987"/>
      <c r="M48" s="987"/>
      <c r="N48" s="987"/>
      <c r="O48" s="987"/>
      <c r="P48" s="987"/>
      <c r="Q48" s="987"/>
      <c r="R48" s="984"/>
      <c r="S48" s="637"/>
      <c r="T48" s="637"/>
      <c r="U48" s="637"/>
      <c r="V48" s="637"/>
      <c r="W48" s="637"/>
      <c r="X48" s="637"/>
      <c r="Y48" s="637"/>
      <c r="Z48" s="637"/>
      <c r="AA48" s="637"/>
      <c r="AB48" s="637"/>
      <c r="AC48" s="637"/>
      <c r="AD48" s="637"/>
      <c r="AE48" s="637"/>
      <c r="AF48" s="637"/>
      <c r="AG48" s="637"/>
      <c r="AH48" s="637"/>
      <c r="AI48" s="637"/>
      <c r="AJ48" s="637"/>
      <c r="AK48" s="637"/>
      <c r="AL48" s="637"/>
      <c r="AM48" s="637"/>
      <c r="AN48" s="637"/>
      <c r="AO48" s="637"/>
      <c r="AP48" s="637"/>
      <c r="AQ48" s="637"/>
      <c r="AR48" s="637"/>
      <c r="AS48" s="637"/>
      <c r="AT48" s="637"/>
      <c r="AU48" s="637"/>
      <c r="AV48" s="637"/>
      <c r="AW48" s="637"/>
      <c r="AX48" s="637"/>
      <c r="AY48" s="637"/>
      <c r="AZ48" s="637"/>
      <c r="BA48" s="637"/>
      <c r="BB48" s="637"/>
      <c r="BC48" s="637"/>
      <c r="BD48" s="637"/>
      <c r="BE48" s="637"/>
      <c r="BF48" s="637"/>
      <c r="BG48" s="637"/>
      <c r="BH48" s="637"/>
      <c r="BI48" s="637"/>
      <c r="BJ48" s="637"/>
      <c r="BK48" s="637"/>
      <c r="BL48" s="637"/>
      <c r="BM48" s="637"/>
      <c r="BN48" s="637"/>
      <c r="BO48" s="637"/>
      <c r="BP48" s="637"/>
      <c r="BQ48" s="637"/>
      <c r="BR48" s="637"/>
      <c r="BS48" s="637"/>
      <c r="BT48" s="637"/>
      <c r="BU48" s="637"/>
      <c r="BV48" s="637"/>
      <c r="BW48" s="637"/>
      <c r="BX48" s="637"/>
      <c r="BY48" s="637"/>
      <c r="BZ48" s="637"/>
      <c r="CA48" s="637"/>
      <c r="CB48" s="637"/>
      <c r="CC48" s="637"/>
      <c r="CD48" s="637"/>
      <c r="CE48" s="637"/>
      <c r="CF48" s="637"/>
      <c r="CG48" s="637"/>
      <c r="CH48" s="637"/>
      <c r="CI48" s="637"/>
      <c r="CJ48" s="637"/>
      <c r="CK48" s="637"/>
      <c r="CL48" s="637"/>
      <c r="CM48" s="637"/>
      <c r="CN48" s="637"/>
      <c r="CO48" s="637"/>
      <c r="CP48" s="637"/>
      <c r="CQ48" s="637"/>
      <c r="CR48" s="637"/>
      <c r="CS48" s="637"/>
      <c r="CT48" s="637"/>
      <c r="CU48" s="637"/>
      <c r="CV48" s="637"/>
      <c r="CW48" s="637"/>
      <c r="CX48" s="637"/>
      <c r="CY48" s="637"/>
      <c r="CZ48" s="637"/>
      <c r="DA48" s="637"/>
      <c r="DB48" s="637"/>
      <c r="DC48" s="637"/>
      <c r="DD48" s="637"/>
      <c r="DE48" s="637"/>
      <c r="DF48" s="637"/>
      <c r="DG48" s="637"/>
      <c r="DH48" s="637"/>
      <c r="DI48" s="637"/>
      <c r="DJ48" s="637"/>
      <c r="DK48" s="637"/>
      <c r="DL48" s="637"/>
      <c r="DM48" s="637"/>
      <c r="DN48" s="637"/>
      <c r="DO48" s="637"/>
      <c r="DP48" s="637"/>
      <c r="DQ48" s="637"/>
      <c r="DR48" s="637"/>
      <c r="DS48" s="637"/>
      <c r="DT48" s="637"/>
      <c r="DU48" s="637"/>
      <c r="DV48" s="637"/>
      <c r="DW48" s="637"/>
      <c r="DX48" s="637"/>
      <c r="DY48" s="637"/>
      <c r="DZ48" s="637"/>
      <c r="EA48" s="637"/>
      <c r="EB48" s="637"/>
      <c r="EC48" s="637"/>
      <c r="ED48" s="637"/>
      <c r="EE48" s="637"/>
      <c r="EF48" s="637"/>
      <c r="EG48" s="637"/>
      <c r="EH48" s="637"/>
      <c r="EI48" s="637"/>
      <c r="EJ48" s="637"/>
      <c r="EK48" s="637"/>
      <c r="EL48" s="637"/>
      <c r="EM48" s="637"/>
      <c r="EN48" s="637"/>
      <c r="EO48" s="637"/>
      <c r="EP48" s="637"/>
      <c r="EQ48" s="637"/>
      <c r="ER48" s="637"/>
      <c r="ES48" s="637"/>
      <c r="ET48" s="637"/>
      <c r="EU48" s="637"/>
      <c r="EV48" s="637"/>
      <c r="EW48" s="637"/>
      <c r="EX48" s="637"/>
      <c r="EY48" s="637"/>
      <c r="EZ48" s="637"/>
      <c r="FA48" s="637"/>
      <c r="FB48" s="637"/>
      <c r="FC48" s="637"/>
      <c r="FD48" s="637"/>
      <c r="FE48" s="637"/>
      <c r="FF48" s="637"/>
      <c r="FG48" s="637"/>
      <c r="FH48" s="637"/>
      <c r="FI48" s="637"/>
      <c r="FJ48" s="637"/>
      <c r="FK48" s="637"/>
      <c r="FL48" s="637"/>
      <c r="FM48" s="637"/>
      <c r="FN48" s="637"/>
      <c r="FO48" s="637"/>
      <c r="FP48" s="637"/>
      <c r="FQ48" s="637"/>
      <c r="FR48" s="637"/>
      <c r="FS48" s="637"/>
      <c r="FT48" s="637"/>
      <c r="FU48" s="637"/>
      <c r="FV48" s="637"/>
      <c r="FW48" s="637"/>
      <c r="FX48" s="637"/>
      <c r="FY48" s="637"/>
      <c r="FZ48" s="637"/>
      <c r="GA48" s="637"/>
      <c r="GB48" s="637"/>
      <c r="GC48" s="637"/>
      <c r="GD48" s="637"/>
      <c r="GE48" s="637"/>
      <c r="GF48" s="637"/>
      <c r="GG48" s="637"/>
      <c r="GH48" s="637"/>
      <c r="GI48" s="637"/>
      <c r="GJ48" s="637"/>
      <c r="GK48" s="637"/>
      <c r="GL48" s="637"/>
      <c r="GM48" s="637"/>
      <c r="GN48" s="637"/>
      <c r="GO48" s="637"/>
      <c r="GP48" s="637"/>
      <c r="GQ48" s="637"/>
      <c r="GR48" s="637"/>
      <c r="GS48" s="637"/>
      <c r="GT48" s="637"/>
      <c r="GU48" s="637"/>
      <c r="GV48" s="637"/>
      <c r="GW48" s="637"/>
      <c r="GX48" s="637"/>
      <c r="GY48" s="637"/>
      <c r="GZ48" s="637"/>
      <c r="HA48" s="637"/>
      <c r="HB48" s="637"/>
      <c r="HC48" s="637"/>
      <c r="HD48" s="637"/>
      <c r="HE48" s="637"/>
      <c r="HF48" s="637"/>
      <c r="HG48" s="637"/>
      <c r="HH48" s="637"/>
      <c r="HI48" s="637"/>
      <c r="HJ48" s="637"/>
      <c r="HK48" s="637"/>
      <c r="HL48" s="637"/>
      <c r="HM48" s="637"/>
      <c r="HN48" s="637"/>
      <c r="HO48" s="637"/>
      <c r="HP48" s="637"/>
      <c r="HQ48" s="637"/>
      <c r="HR48" s="637"/>
      <c r="HS48" s="637"/>
      <c r="HT48" s="637"/>
      <c r="HU48" s="637"/>
      <c r="HV48" s="637"/>
      <c r="HW48" s="637"/>
      <c r="HX48" s="637"/>
      <c r="HY48" s="637"/>
      <c r="HZ48" s="637"/>
      <c r="IA48" s="637"/>
      <c r="IB48" s="637"/>
      <c r="IC48" s="637"/>
      <c r="ID48" s="637"/>
      <c r="IE48" s="637"/>
      <c r="IF48" s="637"/>
      <c r="IG48" s="637"/>
      <c r="IH48" s="637"/>
      <c r="II48" s="637"/>
      <c r="IJ48" s="637"/>
      <c r="IK48" s="637"/>
      <c r="IL48" s="637"/>
      <c r="IM48" s="637"/>
      <c r="IN48" s="637"/>
      <c r="IO48" s="637"/>
      <c r="IP48" s="637"/>
      <c r="IQ48" s="637"/>
      <c r="IR48" s="637"/>
      <c r="IS48" s="637"/>
      <c r="IT48" s="637"/>
      <c r="IU48" s="637"/>
      <c r="IV48" s="637"/>
      <c r="IW48" s="637"/>
      <c r="IX48" s="637"/>
      <c r="IY48" s="637"/>
      <c r="IZ48" s="637"/>
      <c r="JA48" s="637"/>
      <c r="JB48" s="637"/>
      <c r="JC48" s="637"/>
      <c r="JD48" s="637"/>
      <c r="JE48" s="637"/>
      <c r="JF48" s="637"/>
      <c r="JG48" s="637"/>
      <c r="JH48" s="637"/>
      <c r="JI48" s="637"/>
      <c r="JJ48" s="637"/>
      <c r="JK48" s="637"/>
      <c r="JL48" s="637"/>
      <c r="JM48" s="637"/>
      <c r="JN48" s="637"/>
      <c r="JO48" s="637"/>
      <c r="JP48" s="637"/>
      <c r="JQ48" s="637"/>
      <c r="JR48" s="637"/>
      <c r="JS48" s="637"/>
      <c r="JT48" s="637"/>
      <c r="JU48" s="637"/>
      <c r="JV48" s="637"/>
      <c r="JW48" s="637"/>
      <c r="JX48" s="637"/>
      <c r="JY48" s="637"/>
      <c r="JZ48" s="637"/>
      <c r="KA48" s="637"/>
      <c r="KB48" s="637"/>
      <c r="KC48" s="637"/>
      <c r="KD48" s="637"/>
      <c r="KE48" s="637"/>
      <c r="KF48" s="637"/>
      <c r="KG48" s="637"/>
      <c r="KH48" s="637"/>
      <c r="KI48" s="637"/>
      <c r="KJ48" s="637"/>
      <c r="KK48" s="637"/>
      <c r="KL48" s="637"/>
      <c r="KM48" s="637"/>
      <c r="KN48" s="637"/>
      <c r="KO48" s="637"/>
      <c r="KP48" s="637"/>
      <c r="KQ48" s="637"/>
      <c r="KR48" s="637"/>
      <c r="KS48" s="637"/>
      <c r="KT48" s="637"/>
      <c r="KU48" s="637"/>
      <c r="KV48" s="637"/>
      <c r="KW48" s="637"/>
      <c r="KX48" s="637"/>
      <c r="KY48" s="637"/>
      <c r="KZ48" s="637"/>
      <c r="LA48" s="637"/>
      <c r="LB48" s="637"/>
      <c r="LC48" s="637"/>
      <c r="LD48" s="637"/>
      <c r="LE48" s="637"/>
      <c r="LF48" s="637"/>
      <c r="LG48" s="637"/>
      <c r="LH48" s="637"/>
      <c r="LI48" s="637"/>
      <c r="LJ48" s="637"/>
      <c r="LK48" s="637"/>
      <c r="LL48" s="637"/>
      <c r="LM48" s="637"/>
      <c r="LN48" s="637"/>
      <c r="LO48" s="637"/>
      <c r="LP48" s="637"/>
      <c r="LQ48" s="637"/>
      <c r="LR48" s="637"/>
      <c r="LS48" s="637"/>
      <c r="LT48" s="637"/>
      <c r="LU48" s="637"/>
      <c r="LV48" s="637"/>
      <c r="LW48" s="637"/>
      <c r="LX48" s="637"/>
      <c r="LY48" s="637"/>
      <c r="LZ48" s="637"/>
      <c r="MA48" s="637"/>
      <c r="MB48" s="637"/>
      <c r="MC48" s="637"/>
      <c r="MD48" s="637"/>
      <c r="ME48" s="637"/>
      <c r="MF48" s="637"/>
      <c r="MG48" s="637"/>
      <c r="MH48" s="637"/>
      <c r="MI48" s="637"/>
      <c r="MJ48" s="637"/>
      <c r="MK48" s="637"/>
      <c r="ML48" s="637"/>
      <c r="MM48" s="637"/>
      <c r="MN48" s="637"/>
      <c r="MO48" s="637"/>
      <c r="MP48" s="637"/>
      <c r="MQ48" s="637"/>
      <c r="MR48" s="637"/>
      <c r="MS48" s="637"/>
      <c r="MT48" s="637"/>
      <c r="MU48" s="637"/>
      <c r="MV48" s="637"/>
      <c r="MW48" s="637"/>
      <c r="MX48" s="637"/>
      <c r="MY48" s="637"/>
      <c r="MZ48" s="637"/>
      <c r="NA48" s="637"/>
      <c r="NB48" s="637"/>
      <c r="NC48" s="637"/>
      <c r="ND48" s="637"/>
      <c r="NE48" s="637"/>
      <c r="NF48" s="637"/>
      <c r="NG48" s="637"/>
      <c r="NH48" s="637"/>
      <c r="NI48" s="637"/>
      <c r="NJ48" s="637"/>
      <c r="NK48" s="637"/>
      <c r="NL48" s="637"/>
      <c r="NM48" s="637"/>
      <c r="NN48" s="637"/>
      <c r="NO48" s="637"/>
      <c r="NP48" s="637"/>
      <c r="NQ48" s="637"/>
      <c r="NR48" s="637"/>
      <c r="NS48" s="637"/>
      <c r="NT48" s="637"/>
      <c r="NU48" s="637"/>
      <c r="NV48" s="637"/>
      <c r="NW48" s="637"/>
      <c r="NX48" s="637"/>
      <c r="NY48" s="637"/>
      <c r="NZ48" s="637"/>
      <c r="OA48" s="637"/>
      <c r="OB48" s="637"/>
      <c r="OC48" s="637"/>
      <c r="OD48" s="637"/>
      <c r="OE48" s="637"/>
      <c r="OF48" s="637"/>
      <c r="OG48" s="637"/>
      <c r="OH48" s="637"/>
      <c r="OI48" s="637"/>
      <c r="OJ48" s="637"/>
      <c r="OK48" s="637"/>
      <c r="OL48" s="637"/>
      <c r="OM48" s="637"/>
      <c r="ON48" s="637"/>
      <c r="OO48" s="637"/>
      <c r="OP48" s="637"/>
      <c r="OQ48" s="637"/>
      <c r="OR48" s="637"/>
      <c r="OS48" s="637"/>
      <c r="OT48" s="637"/>
      <c r="OU48" s="637"/>
      <c r="OV48" s="637"/>
      <c r="OW48" s="637"/>
      <c r="OX48" s="637"/>
      <c r="OY48" s="637"/>
      <c r="OZ48" s="637"/>
      <c r="PA48" s="637"/>
      <c r="PB48" s="637"/>
      <c r="PC48" s="637"/>
      <c r="PD48" s="637"/>
      <c r="PE48" s="637"/>
      <c r="PF48" s="637"/>
      <c r="PG48" s="637"/>
      <c r="PH48" s="637"/>
      <c r="PI48" s="637"/>
      <c r="PJ48" s="637"/>
      <c r="PK48" s="637"/>
      <c r="PL48" s="637"/>
      <c r="PM48" s="637"/>
      <c r="PN48" s="637"/>
      <c r="PO48" s="637"/>
      <c r="PP48" s="637"/>
      <c r="PQ48" s="637"/>
      <c r="PR48" s="637"/>
      <c r="PS48" s="637"/>
      <c r="PT48" s="637"/>
      <c r="PU48" s="637"/>
      <c r="PV48" s="637"/>
      <c r="PW48" s="637"/>
      <c r="PX48" s="637"/>
      <c r="PY48" s="637"/>
      <c r="PZ48" s="637"/>
      <c r="QA48" s="637"/>
      <c r="QB48" s="637"/>
      <c r="QC48" s="637"/>
      <c r="QD48" s="637"/>
      <c r="QE48" s="637"/>
      <c r="QF48" s="637"/>
      <c r="QG48" s="637"/>
      <c r="QH48" s="637"/>
      <c r="QI48" s="637"/>
      <c r="QJ48" s="637"/>
      <c r="QK48" s="637"/>
      <c r="QL48" s="637"/>
      <c r="QM48" s="637"/>
      <c r="QN48" s="637"/>
      <c r="QO48" s="637"/>
      <c r="QP48" s="637"/>
      <c r="QQ48" s="637"/>
      <c r="QR48" s="637"/>
      <c r="QS48" s="637"/>
      <c r="QT48" s="637"/>
      <c r="QU48" s="637"/>
      <c r="QV48" s="637"/>
      <c r="QW48" s="637"/>
      <c r="QX48" s="637"/>
      <c r="QY48" s="637"/>
      <c r="QZ48" s="637"/>
      <c r="RA48" s="637"/>
      <c r="RB48" s="637"/>
      <c r="RC48" s="637"/>
      <c r="RD48" s="637"/>
      <c r="RE48" s="637"/>
      <c r="RF48" s="637"/>
      <c r="RG48" s="637"/>
      <c r="RH48" s="637"/>
      <c r="RI48" s="637"/>
      <c r="RJ48" s="637"/>
      <c r="RK48" s="637"/>
      <c r="RL48" s="637"/>
      <c r="RM48" s="637"/>
      <c r="RN48" s="637"/>
      <c r="RO48" s="637"/>
      <c r="RP48" s="637"/>
      <c r="RQ48" s="637"/>
      <c r="RR48" s="637"/>
      <c r="RS48" s="637"/>
      <c r="RT48" s="637"/>
      <c r="RU48" s="637"/>
      <c r="RV48" s="637"/>
      <c r="RW48" s="637"/>
      <c r="RX48" s="637"/>
      <c r="RY48" s="637"/>
      <c r="RZ48" s="637"/>
      <c r="SA48" s="637"/>
      <c r="SB48" s="637"/>
      <c r="SC48" s="637"/>
      <c r="SD48" s="637"/>
      <c r="SE48" s="637"/>
      <c r="SF48" s="637"/>
      <c r="SG48" s="637"/>
      <c r="SH48" s="637"/>
      <c r="SI48" s="637"/>
      <c r="SJ48" s="637"/>
      <c r="SK48" s="637"/>
      <c r="SL48" s="637"/>
      <c r="SM48" s="637"/>
      <c r="SN48" s="637"/>
      <c r="SO48" s="637"/>
      <c r="SP48" s="637"/>
      <c r="SQ48" s="637"/>
      <c r="SR48" s="637"/>
      <c r="SS48" s="637"/>
      <c r="ST48" s="637"/>
      <c r="SU48" s="637"/>
      <c r="SV48" s="637"/>
      <c r="SW48" s="637"/>
      <c r="SX48" s="637"/>
      <c r="SY48" s="637"/>
      <c r="SZ48" s="637"/>
      <c r="TA48" s="637"/>
      <c r="TB48" s="637"/>
      <c r="TC48" s="637"/>
      <c r="TD48" s="637"/>
      <c r="TE48" s="637"/>
      <c r="TF48" s="637"/>
      <c r="TG48" s="637"/>
      <c r="TH48" s="637"/>
      <c r="TI48" s="637"/>
      <c r="TJ48" s="637"/>
      <c r="TK48" s="637"/>
      <c r="TL48" s="637"/>
      <c r="TM48" s="637"/>
      <c r="TN48" s="637"/>
      <c r="TO48" s="637"/>
      <c r="TP48" s="637"/>
      <c r="TQ48" s="637"/>
      <c r="TR48" s="637"/>
      <c r="TS48" s="637"/>
      <c r="TT48" s="637"/>
      <c r="TU48" s="637"/>
      <c r="TV48" s="637"/>
      <c r="TW48" s="637"/>
      <c r="TX48" s="637"/>
      <c r="TY48" s="637"/>
      <c r="TZ48" s="637"/>
      <c r="UA48" s="637"/>
      <c r="UB48" s="637"/>
      <c r="UC48" s="637"/>
      <c r="UD48" s="637"/>
      <c r="UE48" s="637"/>
      <c r="UF48" s="637"/>
      <c r="UG48" s="637"/>
      <c r="UH48" s="637"/>
      <c r="UI48" s="637"/>
      <c r="UJ48" s="637"/>
      <c r="UK48" s="637"/>
      <c r="UL48" s="637"/>
      <c r="UM48" s="637"/>
      <c r="UN48" s="637"/>
      <c r="UO48" s="637"/>
      <c r="UP48" s="637"/>
      <c r="UQ48" s="637"/>
      <c r="UR48" s="637"/>
      <c r="US48" s="637"/>
      <c r="UT48" s="637"/>
      <c r="UU48" s="637"/>
      <c r="UV48" s="637"/>
      <c r="UW48" s="637"/>
      <c r="UX48" s="637"/>
      <c r="UY48" s="637"/>
      <c r="UZ48" s="637"/>
      <c r="VA48" s="637"/>
      <c r="VB48" s="637"/>
      <c r="VC48" s="637"/>
      <c r="VD48" s="637"/>
      <c r="VE48" s="637"/>
      <c r="VF48" s="637"/>
      <c r="VG48" s="637"/>
      <c r="VH48" s="637"/>
      <c r="VI48" s="637"/>
      <c r="VJ48" s="637"/>
      <c r="VK48" s="637"/>
      <c r="VL48" s="637"/>
      <c r="VM48" s="637"/>
      <c r="VN48" s="637"/>
      <c r="VO48" s="637"/>
      <c r="VP48" s="637"/>
      <c r="VQ48" s="637"/>
      <c r="VR48" s="637"/>
      <c r="VS48" s="637"/>
      <c r="VT48" s="637"/>
      <c r="VU48" s="637"/>
      <c r="VV48" s="637"/>
      <c r="VW48" s="637"/>
      <c r="VX48" s="637"/>
      <c r="VY48" s="637"/>
      <c r="VZ48" s="637"/>
      <c r="WA48" s="637"/>
      <c r="WB48" s="637"/>
      <c r="WC48" s="637"/>
      <c r="WD48" s="637"/>
      <c r="WE48" s="637"/>
      <c r="WF48" s="637"/>
      <c r="WG48" s="637"/>
      <c r="WH48" s="637"/>
      <c r="WI48" s="637"/>
      <c r="WJ48" s="637"/>
      <c r="WK48" s="637"/>
      <c r="WL48" s="637"/>
      <c r="WM48" s="637"/>
      <c r="WN48" s="637"/>
      <c r="WO48" s="637"/>
      <c r="WP48" s="637"/>
      <c r="WQ48" s="637"/>
      <c r="WR48" s="637"/>
      <c r="WS48" s="637"/>
      <c r="WT48" s="637"/>
      <c r="WU48" s="637"/>
      <c r="WV48" s="637"/>
      <c r="WW48" s="637"/>
      <c r="WX48" s="637"/>
      <c r="WY48" s="637"/>
      <c r="WZ48" s="637"/>
      <c r="XA48" s="637"/>
      <c r="XB48" s="637"/>
      <c r="XC48" s="637"/>
      <c r="XD48" s="637"/>
      <c r="XE48" s="637"/>
      <c r="XF48" s="637"/>
      <c r="XG48" s="637"/>
      <c r="XH48" s="637"/>
      <c r="XI48" s="637"/>
      <c r="XJ48" s="637"/>
      <c r="XK48" s="637"/>
      <c r="XL48" s="637"/>
      <c r="XM48" s="637"/>
      <c r="XN48" s="637"/>
      <c r="XO48" s="637"/>
      <c r="XP48" s="637"/>
      <c r="XQ48" s="637"/>
      <c r="XR48" s="637"/>
      <c r="XS48" s="637"/>
      <c r="XT48" s="637"/>
      <c r="XU48" s="637"/>
      <c r="XV48" s="637"/>
      <c r="XW48" s="637"/>
      <c r="XX48" s="637"/>
      <c r="XY48" s="637"/>
      <c r="XZ48" s="637"/>
      <c r="YA48" s="637"/>
      <c r="YB48" s="637"/>
      <c r="YC48" s="637"/>
      <c r="YD48" s="637"/>
      <c r="YE48" s="637"/>
      <c r="YF48" s="637"/>
      <c r="YG48" s="637"/>
      <c r="YH48" s="637"/>
      <c r="YI48" s="637"/>
      <c r="YJ48" s="637"/>
      <c r="YK48" s="637"/>
      <c r="YL48" s="637"/>
      <c r="YM48" s="637"/>
      <c r="YN48" s="637"/>
      <c r="YO48" s="637"/>
      <c r="YP48" s="637"/>
      <c r="YQ48" s="637"/>
      <c r="YR48" s="637"/>
      <c r="YS48" s="637"/>
      <c r="YT48" s="637"/>
      <c r="YU48" s="637"/>
      <c r="YV48" s="637"/>
      <c r="YW48" s="637"/>
      <c r="YX48" s="637"/>
      <c r="YY48" s="637"/>
      <c r="YZ48" s="637"/>
      <c r="ZA48" s="637"/>
      <c r="ZB48" s="637"/>
      <c r="ZC48" s="637"/>
      <c r="ZD48" s="637"/>
      <c r="ZE48" s="637"/>
      <c r="ZF48" s="637"/>
      <c r="ZG48" s="637"/>
      <c r="ZH48" s="637"/>
      <c r="ZI48" s="637"/>
      <c r="ZJ48" s="637"/>
      <c r="ZK48" s="637"/>
      <c r="ZL48" s="637"/>
      <c r="ZM48" s="637"/>
      <c r="ZN48" s="637"/>
      <c r="ZO48" s="637"/>
      <c r="ZP48" s="637"/>
      <c r="ZQ48" s="637"/>
      <c r="ZR48" s="637"/>
      <c r="ZS48" s="637"/>
      <c r="ZT48" s="637"/>
      <c r="ZU48" s="637"/>
      <c r="ZV48" s="637"/>
      <c r="ZW48" s="637"/>
      <c r="ZX48" s="637"/>
      <c r="ZY48" s="637"/>
      <c r="ZZ48" s="637"/>
      <c r="AAA48" s="637"/>
      <c r="AAB48" s="637"/>
      <c r="AAC48" s="637"/>
      <c r="AAD48" s="637"/>
      <c r="AAE48" s="637"/>
      <c r="AAF48" s="637"/>
      <c r="AAG48" s="637"/>
      <c r="AAH48" s="637"/>
      <c r="AAI48" s="637"/>
      <c r="AAJ48" s="637"/>
      <c r="AAK48" s="637"/>
      <c r="AAL48" s="637"/>
      <c r="AAM48" s="637"/>
      <c r="AAN48" s="637"/>
      <c r="AAO48" s="637"/>
      <c r="AAP48" s="637"/>
      <c r="AAQ48" s="637"/>
      <c r="AAR48" s="637"/>
      <c r="AAS48" s="637"/>
      <c r="AAT48" s="637"/>
      <c r="AAU48" s="637"/>
      <c r="AAV48" s="637"/>
      <c r="AAW48" s="637"/>
      <c r="AAX48" s="637"/>
      <c r="AAY48" s="637"/>
      <c r="AAZ48" s="637"/>
      <c r="ABA48" s="637"/>
      <c r="ABB48" s="637"/>
      <c r="ABC48" s="637"/>
      <c r="ABD48" s="637"/>
      <c r="ABE48" s="637"/>
      <c r="ABF48" s="637"/>
      <c r="ABG48" s="637"/>
      <c r="ABH48" s="637"/>
      <c r="ABI48" s="637"/>
      <c r="ABJ48" s="637"/>
      <c r="ABK48" s="637"/>
      <c r="ABL48" s="637"/>
      <c r="ABM48" s="637"/>
      <c r="ABN48" s="637"/>
      <c r="ABO48" s="637"/>
      <c r="ABP48" s="637"/>
      <c r="ABQ48" s="637"/>
      <c r="ABR48" s="637"/>
      <c r="ABS48" s="637"/>
      <c r="ABT48" s="637"/>
      <c r="ABU48" s="637"/>
      <c r="ABV48" s="637"/>
      <c r="ABW48" s="637"/>
      <c r="ABX48" s="637"/>
      <c r="ABY48" s="637"/>
      <c r="ABZ48" s="637"/>
      <c r="ACA48" s="637"/>
      <c r="ACB48" s="637"/>
      <c r="ACC48" s="637"/>
      <c r="ACD48" s="637"/>
      <c r="ACE48" s="637"/>
      <c r="ACF48" s="637"/>
      <c r="ACG48" s="637"/>
      <c r="ACH48" s="637"/>
      <c r="ACI48" s="637"/>
      <c r="ACJ48" s="637"/>
      <c r="ACK48" s="637"/>
      <c r="ACL48" s="637"/>
      <c r="ACM48" s="637"/>
      <c r="ACN48" s="637"/>
      <c r="ACO48" s="637"/>
      <c r="ACP48" s="637"/>
      <c r="ACQ48" s="637"/>
      <c r="ACR48" s="637"/>
      <c r="ACS48" s="637"/>
      <c r="ACT48" s="637"/>
      <c r="ACU48" s="637"/>
      <c r="ACV48" s="637"/>
      <c r="ACW48" s="637"/>
      <c r="ACX48" s="637"/>
      <c r="ACY48" s="637"/>
      <c r="ACZ48" s="637"/>
      <c r="ADA48" s="637"/>
      <c r="ADB48" s="637"/>
      <c r="ADC48" s="637"/>
      <c r="ADD48" s="637"/>
      <c r="ADE48" s="637"/>
      <c r="ADF48" s="637"/>
      <c r="ADG48" s="637"/>
      <c r="ADH48" s="637"/>
      <c r="ADI48" s="637"/>
      <c r="ADJ48" s="637"/>
      <c r="ADK48" s="637"/>
      <c r="ADL48" s="637"/>
      <c r="ADM48" s="637"/>
      <c r="ADN48" s="637"/>
      <c r="ADO48" s="637"/>
      <c r="ADP48" s="637"/>
      <c r="ADQ48" s="637"/>
      <c r="ADR48" s="637"/>
      <c r="ADS48" s="637"/>
      <c r="ADT48" s="637"/>
      <c r="ADU48" s="637"/>
      <c r="ADV48" s="637"/>
      <c r="ADW48" s="637"/>
      <c r="ADX48" s="637"/>
      <c r="ADY48" s="637"/>
      <c r="ADZ48" s="637"/>
      <c r="AEA48" s="637"/>
      <c r="AEB48" s="637"/>
      <c r="AEC48" s="637"/>
      <c r="AED48" s="637"/>
      <c r="AEE48" s="637"/>
      <c r="AEF48" s="637"/>
      <c r="AEG48" s="637"/>
      <c r="AEH48" s="637"/>
      <c r="AEI48" s="637"/>
      <c r="AEJ48" s="637"/>
      <c r="AEK48" s="637"/>
      <c r="AEL48" s="637"/>
      <c r="AEM48" s="637"/>
      <c r="AEN48" s="637"/>
      <c r="AEO48" s="637"/>
      <c r="AEP48" s="637"/>
      <c r="AEQ48" s="637"/>
      <c r="AER48" s="637"/>
      <c r="AES48" s="637"/>
      <c r="AET48" s="637"/>
      <c r="AEU48" s="637"/>
      <c r="AEV48" s="637"/>
      <c r="AEW48" s="637"/>
      <c r="AEX48" s="637"/>
      <c r="AEY48" s="637"/>
      <c r="AEZ48" s="637"/>
      <c r="AFA48" s="637"/>
      <c r="AFB48" s="637"/>
      <c r="AFC48" s="637"/>
      <c r="AFD48" s="637"/>
      <c r="AFE48" s="637"/>
      <c r="AFF48" s="637"/>
      <c r="AFG48" s="637"/>
      <c r="AFH48" s="637"/>
      <c r="AFI48" s="637"/>
      <c r="AFJ48" s="637"/>
      <c r="AFK48" s="637"/>
      <c r="AFL48" s="637"/>
      <c r="AFM48" s="637"/>
      <c r="AFN48" s="637"/>
      <c r="AFO48" s="637"/>
      <c r="AFP48" s="637"/>
      <c r="AFQ48" s="637"/>
      <c r="AFR48" s="637"/>
      <c r="AFS48" s="637"/>
      <c r="AFT48" s="637"/>
      <c r="AFU48" s="637"/>
      <c r="AFV48" s="637"/>
      <c r="AFW48" s="637"/>
      <c r="AFX48" s="637"/>
      <c r="AFY48" s="637"/>
      <c r="AFZ48" s="637"/>
      <c r="AGA48" s="637"/>
      <c r="AGB48" s="637"/>
      <c r="AGC48" s="637"/>
      <c r="AGD48" s="637"/>
      <c r="AGE48" s="637"/>
      <c r="AGF48" s="637"/>
      <c r="AGG48" s="637"/>
      <c r="AGH48" s="637"/>
      <c r="AGI48" s="637"/>
      <c r="AGJ48" s="637"/>
      <c r="AGK48" s="637"/>
      <c r="AGL48" s="637"/>
      <c r="AGM48" s="637"/>
      <c r="AGN48" s="637"/>
      <c r="AGO48" s="637"/>
      <c r="AGP48" s="637"/>
      <c r="AGQ48" s="637"/>
      <c r="AGR48" s="637"/>
      <c r="AGS48" s="637"/>
      <c r="AGT48" s="637"/>
      <c r="AGU48" s="637"/>
      <c r="AGV48" s="637"/>
      <c r="AGW48" s="637"/>
      <c r="AGX48" s="637"/>
      <c r="AGY48" s="637"/>
      <c r="AGZ48" s="637"/>
      <c r="AHA48" s="637"/>
      <c r="AHB48" s="637"/>
      <c r="AHC48" s="637"/>
      <c r="AHD48" s="637"/>
      <c r="AHE48" s="637"/>
      <c r="AHF48" s="637"/>
      <c r="AHG48" s="637"/>
      <c r="AHH48" s="637"/>
      <c r="AHI48" s="637"/>
      <c r="AHJ48" s="637"/>
      <c r="AHK48" s="637"/>
      <c r="AHL48" s="637"/>
      <c r="AHM48" s="637"/>
      <c r="AHN48" s="637"/>
      <c r="AHO48" s="637"/>
      <c r="AHP48" s="637"/>
      <c r="AHQ48" s="637"/>
      <c r="AHR48" s="637"/>
      <c r="AHS48" s="637"/>
      <c r="AHT48" s="637"/>
      <c r="AHU48" s="637"/>
      <c r="AHV48" s="637"/>
      <c r="AHW48" s="637"/>
      <c r="AHX48" s="637"/>
      <c r="AHY48" s="637"/>
      <c r="AHZ48" s="637"/>
      <c r="AIA48" s="637"/>
      <c r="AIB48" s="637"/>
      <c r="AIC48" s="637"/>
      <c r="AID48" s="637"/>
      <c r="AIE48" s="637"/>
      <c r="AIF48" s="637"/>
      <c r="AIG48" s="637"/>
      <c r="AIH48" s="637"/>
      <c r="AII48" s="637"/>
      <c r="AIJ48" s="637"/>
      <c r="AIK48" s="637"/>
      <c r="AIL48" s="637"/>
      <c r="AIM48" s="637"/>
      <c r="AIN48" s="637"/>
      <c r="AIO48" s="637"/>
      <c r="AIP48" s="637"/>
      <c r="AIQ48" s="637"/>
      <c r="AIR48" s="637"/>
      <c r="AIS48" s="637"/>
      <c r="AIT48" s="637"/>
      <c r="AIU48" s="637"/>
      <c r="AIV48" s="637"/>
      <c r="AIW48" s="637"/>
      <c r="AIX48" s="637"/>
      <c r="AIY48" s="637"/>
      <c r="AIZ48" s="637"/>
      <c r="AJA48" s="637"/>
      <c r="AJB48" s="637"/>
      <c r="AJC48" s="637"/>
      <c r="AJD48" s="637"/>
      <c r="AJE48" s="637"/>
      <c r="AJF48" s="637"/>
      <c r="AJG48" s="637"/>
      <c r="AJH48" s="637"/>
      <c r="AJI48" s="637"/>
      <c r="AJJ48" s="637"/>
      <c r="AJK48" s="637"/>
      <c r="AJL48" s="637"/>
      <c r="AJM48" s="637"/>
      <c r="AJN48" s="637"/>
      <c r="AJO48" s="637"/>
      <c r="AJP48" s="637"/>
      <c r="AJQ48" s="637"/>
      <c r="AJR48" s="637"/>
      <c r="AJS48" s="637"/>
      <c r="AJT48" s="637"/>
      <c r="AJU48" s="637"/>
      <c r="AJV48" s="637"/>
      <c r="AJW48" s="637"/>
      <c r="AJX48" s="637"/>
      <c r="AJY48" s="637"/>
      <c r="AJZ48" s="637"/>
      <c r="AKA48" s="637"/>
      <c r="AKB48" s="637"/>
      <c r="AKC48" s="637"/>
      <c r="AKD48" s="637"/>
      <c r="AKE48" s="637"/>
      <c r="AKF48" s="637"/>
      <c r="AKG48" s="637"/>
      <c r="AKH48" s="637"/>
      <c r="AKI48" s="637"/>
      <c r="AKJ48" s="637"/>
      <c r="AKK48" s="637"/>
      <c r="AKL48" s="637"/>
      <c r="AKM48" s="637"/>
      <c r="AKN48" s="637"/>
      <c r="AKO48" s="637"/>
      <c r="AKP48" s="637"/>
      <c r="AKQ48" s="637"/>
      <c r="AKR48" s="637"/>
      <c r="AKS48" s="637"/>
      <c r="AKT48" s="637"/>
      <c r="AKU48" s="637"/>
      <c r="AKV48" s="637"/>
      <c r="AKW48" s="637"/>
      <c r="AKX48" s="637"/>
      <c r="AKY48" s="637"/>
      <c r="AKZ48" s="637"/>
      <c r="ALA48" s="637"/>
      <c r="ALB48" s="637"/>
      <c r="ALC48" s="637"/>
      <c r="ALD48" s="637"/>
      <c r="ALE48" s="637"/>
      <c r="ALF48" s="637"/>
      <c r="ALG48" s="637"/>
      <c r="ALH48" s="637"/>
      <c r="ALI48" s="637"/>
      <c r="ALJ48" s="637"/>
      <c r="ALK48" s="637"/>
      <c r="ALL48" s="637"/>
      <c r="ALM48" s="637"/>
      <c r="ALN48" s="637"/>
      <c r="ALO48" s="637"/>
      <c r="ALP48" s="637"/>
      <c r="ALQ48" s="637"/>
      <c r="ALR48" s="637"/>
      <c r="ALS48" s="637"/>
      <c r="ALT48" s="637"/>
      <c r="ALU48" s="637"/>
      <c r="ALV48" s="637"/>
      <c r="ALW48" s="637"/>
      <c r="ALX48" s="637"/>
      <c r="ALY48" s="637"/>
      <c r="ALZ48" s="637"/>
      <c r="AMA48" s="637"/>
      <c r="AMB48" s="637"/>
      <c r="AMC48" s="637"/>
      <c r="AMD48" s="637"/>
      <c r="AME48" s="637"/>
      <c r="AMF48" s="637"/>
      <c r="AMG48" s="637"/>
      <c r="AMH48" s="637"/>
      <c r="AMI48" s="637"/>
      <c r="AMJ48" s="637"/>
    </row>
    <row r="49" spans="1:1024" s="638" customFormat="1" ht="12.75">
      <c r="A49" s="984"/>
      <c r="B49" s="985"/>
      <c r="C49" s="986"/>
      <c r="D49" s="981" t="s">
        <v>861</v>
      </c>
      <c r="E49" s="982"/>
      <c r="F49" s="982">
        <f t="shared" si="3"/>
        <v>715</v>
      </c>
      <c r="G49" s="987">
        <v>470</v>
      </c>
      <c r="H49" s="987">
        <v>245</v>
      </c>
      <c r="I49" s="987"/>
      <c r="J49" s="987"/>
      <c r="K49" s="987"/>
      <c r="L49" s="987"/>
      <c r="M49" s="987"/>
      <c r="N49" s="987"/>
      <c r="O49" s="987"/>
      <c r="P49" s="987"/>
      <c r="Q49" s="987"/>
      <c r="R49" s="984"/>
      <c r="S49" s="637"/>
      <c r="T49" s="637"/>
      <c r="U49" s="637"/>
      <c r="V49" s="637"/>
      <c r="W49" s="637"/>
      <c r="X49" s="637"/>
      <c r="Y49" s="637"/>
      <c r="Z49" s="637"/>
      <c r="AA49" s="637"/>
      <c r="AB49" s="637"/>
      <c r="AC49" s="637"/>
      <c r="AD49" s="637"/>
      <c r="AE49" s="637"/>
      <c r="AF49" s="637"/>
      <c r="AG49" s="637"/>
      <c r="AH49" s="637"/>
      <c r="AI49" s="637"/>
      <c r="AJ49" s="637"/>
      <c r="AK49" s="637"/>
      <c r="AL49" s="637"/>
      <c r="AM49" s="637"/>
      <c r="AN49" s="637"/>
      <c r="AO49" s="637"/>
      <c r="AP49" s="637"/>
      <c r="AQ49" s="637"/>
      <c r="AR49" s="637"/>
      <c r="AS49" s="637"/>
      <c r="AT49" s="637"/>
      <c r="AU49" s="637"/>
      <c r="AV49" s="637"/>
      <c r="AW49" s="637"/>
      <c r="AX49" s="637"/>
      <c r="AY49" s="637"/>
      <c r="AZ49" s="637"/>
      <c r="BA49" s="637"/>
      <c r="BB49" s="637"/>
      <c r="BC49" s="637"/>
      <c r="BD49" s="637"/>
      <c r="BE49" s="637"/>
      <c r="BF49" s="637"/>
      <c r="BG49" s="637"/>
      <c r="BH49" s="637"/>
      <c r="BI49" s="637"/>
      <c r="BJ49" s="637"/>
      <c r="BK49" s="637"/>
      <c r="BL49" s="637"/>
      <c r="BM49" s="637"/>
      <c r="BN49" s="637"/>
      <c r="BO49" s="637"/>
      <c r="BP49" s="637"/>
      <c r="BQ49" s="637"/>
      <c r="BR49" s="637"/>
      <c r="BS49" s="637"/>
      <c r="BT49" s="637"/>
      <c r="BU49" s="637"/>
      <c r="BV49" s="637"/>
      <c r="BW49" s="637"/>
      <c r="BX49" s="637"/>
      <c r="BY49" s="637"/>
      <c r="BZ49" s="637"/>
      <c r="CA49" s="637"/>
      <c r="CB49" s="637"/>
      <c r="CC49" s="637"/>
      <c r="CD49" s="637"/>
      <c r="CE49" s="637"/>
      <c r="CF49" s="637"/>
      <c r="CG49" s="637"/>
      <c r="CH49" s="637"/>
      <c r="CI49" s="637"/>
      <c r="CJ49" s="637"/>
      <c r="CK49" s="637"/>
      <c r="CL49" s="637"/>
      <c r="CM49" s="637"/>
      <c r="CN49" s="637"/>
      <c r="CO49" s="637"/>
      <c r="CP49" s="637"/>
      <c r="CQ49" s="637"/>
      <c r="CR49" s="637"/>
      <c r="CS49" s="637"/>
      <c r="CT49" s="637"/>
      <c r="CU49" s="637"/>
      <c r="CV49" s="637"/>
      <c r="CW49" s="637"/>
      <c r="CX49" s="637"/>
      <c r="CY49" s="637"/>
      <c r="CZ49" s="637"/>
      <c r="DA49" s="637"/>
      <c r="DB49" s="637"/>
      <c r="DC49" s="637"/>
      <c r="DD49" s="637"/>
      <c r="DE49" s="637"/>
      <c r="DF49" s="637"/>
      <c r="DG49" s="637"/>
      <c r="DH49" s="637"/>
      <c r="DI49" s="637"/>
      <c r="DJ49" s="637"/>
      <c r="DK49" s="637"/>
      <c r="DL49" s="637"/>
      <c r="DM49" s="637"/>
      <c r="DN49" s="637"/>
      <c r="DO49" s="637"/>
      <c r="DP49" s="637"/>
      <c r="DQ49" s="637"/>
      <c r="DR49" s="637"/>
      <c r="DS49" s="637"/>
      <c r="DT49" s="637"/>
      <c r="DU49" s="637"/>
      <c r="DV49" s="637"/>
      <c r="DW49" s="637"/>
      <c r="DX49" s="637"/>
      <c r="DY49" s="637"/>
      <c r="DZ49" s="637"/>
      <c r="EA49" s="637"/>
      <c r="EB49" s="637"/>
      <c r="EC49" s="637"/>
      <c r="ED49" s="637"/>
      <c r="EE49" s="637"/>
      <c r="EF49" s="637"/>
      <c r="EG49" s="637"/>
      <c r="EH49" s="637"/>
      <c r="EI49" s="637"/>
      <c r="EJ49" s="637"/>
      <c r="EK49" s="637"/>
      <c r="EL49" s="637"/>
      <c r="EM49" s="637"/>
      <c r="EN49" s="637"/>
      <c r="EO49" s="637"/>
      <c r="EP49" s="637"/>
      <c r="EQ49" s="637"/>
      <c r="ER49" s="637"/>
      <c r="ES49" s="637"/>
      <c r="ET49" s="637"/>
      <c r="EU49" s="637"/>
      <c r="EV49" s="637"/>
      <c r="EW49" s="637"/>
      <c r="EX49" s="637"/>
      <c r="EY49" s="637"/>
      <c r="EZ49" s="637"/>
      <c r="FA49" s="637"/>
      <c r="FB49" s="637"/>
      <c r="FC49" s="637"/>
      <c r="FD49" s="637"/>
      <c r="FE49" s="637"/>
      <c r="FF49" s="637"/>
      <c r="FG49" s="637"/>
      <c r="FH49" s="637"/>
      <c r="FI49" s="637"/>
      <c r="FJ49" s="637"/>
      <c r="FK49" s="637"/>
      <c r="FL49" s="637"/>
      <c r="FM49" s="637"/>
      <c r="FN49" s="637"/>
      <c r="FO49" s="637"/>
      <c r="FP49" s="637"/>
      <c r="FQ49" s="637"/>
      <c r="FR49" s="637"/>
      <c r="FS49" s="637"/>
      <c r="FT49" s="637"/>
      <c r="FU49" s="637"/>
      <c r="FV49" s="637"/>
      <c r="FW49" s="637"/>
      <c r="FX49" s="637"/>
      <c r="FY49" s="637"/>
      <c r="FZ49" s="637"/>
      <c r="GA49" s="637"/>
      <c r="GB49" s="637"/>
      <c r="GC49" s="637"/>
      <c r="GD49" s="637"/>
      <c r="GE49" s="637"/>
      <c r="GF49" s="637"/>
      <c r="GG49" s="637"/>
      <c r="GH49" s="637"/>
      <c r="GI49" s="637"/>
      <c r="GJ49" s="637"/>
      <c r="GK49" s="637"/>
      <c r="GL49" s="637"/>
      <c r="GM49" s="637"/>
      <c r="GN49" s="637"/>
      <c r="GO49" s="637"/>
      <c r="GP49" s="637"/>
      <c r="GQ49" s="637"/>
      <c r="GR49" s="637"/>
      <c r="GS49" s="637"/>
      <c r="GT49" s="637"/>
      <c r="GU49" s="637"/>
      <c r="GV49" s="637"/>
      <c r="GW49" s="637"/>
      <c r="GX49" s="637"/>
      <c r="GY49" s="637"/>
      <c r="GZ49" s="637"/>
      <c r="HA49" s="637"/>
      <c r="HB49" s="637"/>
      <c r="HC49" s="637"/>
      <c r="HD49" s="637"/>
      <c r="HE49" s="637"/>
      <c r="HF49" s="637"/>
      <c r="HG49" s="637"/>
      <c r="HH49" s="637"/>
      <c r="HI49" s="637"/>
      <c r="HJ49" s="637"/>
      <c r="HK49" s="637"/>
      <c r="HL49" s="637"/>
      <c r="HM49" s="637"/>
      <c r="HN49" s="637"/>
      <c r="HO49" s="637"/>
      <c r="HP49" s="637"/>
      <c r="HQ49" s="637"/>
      <c r="HR49" s="637"/>
      <c r="HS49" s="637"/>
      <c r="HT49" s="637"/>
      <c r="HU49" s="637"/>
      <c r="HV49" s="637"/>
      <c r="HW49" s="637"/>
      <c r="HX49" s="637"/>
      <c r="HY49" s="637"/>
      <c r="HZ49" s="637"/>
      <c r="IA49" s="637"/>
      <c r="IB49" s="637"/>
      <c r="IC49" s="637"/>
      <c r="ID49" s="637"/>
      <c r="IE49" s="637"/>
      <c r="IF49" s="637"/>
      <c r="IG49" s="637"/>
      <c r="IH49" s="637"/>
      <c r="II49" s="637"/>
      <c r="IJ49" s="637"/>
      <c r="IK49" s="637"/>
      <c r="IL49" s="637"/>
      <c r="IM49" s="637"/>
      <c r="IN49" s="637"/>
      <c r="IO49" s="637"/>
      <c r="IP49" s="637"/>
      <c r="IQ49" s="637"/>
      <c r="IR49" s="637"/>
      <c r="IS49" s="637"/>
      <c r="IT49" s="637"/>
      <c r="IU49" s="637"/>
      <c r="IV49" s="637"/>
      <c r="IW49" s="637"/>
      <c r="IX49" s="637"/>
      <c r="IY49" s="637"/>
      <c r="IZ49" s="637"/>
      <c r="JA49" s="637"/>
      <c r="JB49" s="637"/>
      <c r="JC49" s="637"/>
      <c r="JD49" s="637"/>
      <c r="JE49" s="637"/>
      <c r="JF49" s="637"/>
      <c r="JG49" s="637"/>
      <c r="JH49" s="637"/>
      <c r="JI49" s="637"/>
      <c r="JJ49" s="637"/>
      <c r="JK49" s="637"/>
      <c r="JL49" s="637"/>
      <c r="JM49" s="637"/>
      <c r="JN49" s="637"/>
      <c r="JO49" s="637"/>
      <c r="JP49" s="637"/>
      <c r="JQ49" s="637"/>
      <c r="JR49" s="637"/>
      <c r="JS49" s="637"/>
      <c r="JT49" s="637"/>
      <c r="JU49" s="637"/>
      <c r="JV49" s="637"/>
      <c r="JW49" s="637"/>
      <c r="JX49" s="637"/>
      <c r="JY49" s="637"/>
      <c r="JZ49" s="637"/>
      <c r="KA49" s="637"/>
      <c r="KB49" s="637"/>
      <c r="KC49" s="637"/>
      <c r="KD49" s="637"/>
      <c r="KE49" s="637"/>
      <c r="KF49" s="637"/>
      <c r="KG49" s="637"/>
      <c r="KH49" s="637"/>
      <c r="KI49" s="637"/>
      <c r="KJ49" s="637"/>
      <c r="KK49" s="637"/>
      <c r="KL49" s="637"/>
      <c r="KM49" s="637"/>
      <c r="KN49" s="637"/>
      <c r="KO49" s="637"/>
      <c r="KP49" s="637"/>
      <c r="KQ49" s="637"/>
      <c r="KR49" s="637"/>
      <c r="KS49" s="637"/>
      <c r="KT49" s="637"/>
      <c r="KU49" s="637"/>
      <c r="KV49" s="637"/>
      <c r="KW49" s="637"/>
      <c r="KX49" s="637"/>
      <c r="KY49" s="637"/>
      <c r="KZ49" s="637"/>
      <c r="LA49" s="637"/>
      <c r="LB49" s="637"/>
      <c r="LC49" s="637"/>
      <c r="LD49" s="637"/>
      <c r="LE49" s="637"/>
      <c r="LF49" s="637"/>
      <c r="LG49" s="637"/>
      <c r="LH49" s="637"/>
      <c r="LI49" s="637"/>
      <c r="LJ49" s="637"/>
      <c r="LK49" s="637"/>
      <c r="LL49" s="637"/>
      <c r="LM49" s="637"/>
      <c r="LN49" s="637"/>
      <c r="LO49" s="637"/>
      <c r="LP49" s="637"/>
      <c r="LQ49" s="637"/>
      <c r="LR49" s="637"/>
      <c r="LS49" s="637"/>
      <c r="LT49" s="637"/>
      <c r="LU49" s="637"/>
      <c r="LV49" s="637"/>
      <c r="LW49" s="637"/>
      <c r="LX49" s="637"/>
      <c r="LY49" s="637"/>
      <c r="LZ49" s="637"/>
      <c r="MA49" s="637"/>
      <c r="MB49" s="637"/>
      <c r="MC49" s="637"/>
      <c r="MD49" s="637"/>
      <c r="ME49" s="637"/>
      <c r="MF49" s="637"/>
      <c r="MG49" s="637"/>
      <c r="MH49" s="637"/>
      <c r="MI49" s="637"/>
      <c r="MJ49" s="637"/>
      <c r="MK49" s="637"/>
      <c r="ML49" s="637"/>
      <c r="MM49" s="637"/>
      <c r="MN49" s="637"/>
      <c r="MO49" s="637"/>
      <c r="MP49" s="637"/>
      <c r="MQ49" s="637"/>
      <c r="MR49" s="637"/>
      <c r="MS49" s="637"/>
      <c r="MT49" s="637"/>
      <c r="MU49" s="637"/>
      <c r="MV49" s="637"/>
      <c r="MW49" s="637"/>
      <c r="MX49" s="637"/>
      <c r="MY49" s="637"/>
      <c r="MZ49" s="637"/>
      <c r="NA49" s="637"/>
      <c r="NB49" s="637"/>
      <c r="NC49" s="637"/>
      <c r="ND49" s="637"/>
      <c r="NE49" s="637"/>
      <c r="NF49" s="637"/>
      <c r="NG49" s="637"/>
      <c r="NH49" s="637"/>
      <c r="NI49" s="637"/>
      <c r="NJ49" s="637"/>
      <c r="NK49" s="637"/>
      <c r="NL49" s="637"/>
      <c r="NM49" s="637"/>
      <c r="NN49" s="637"/>
      <c r="NO49" s="637"/>
      <c r="NP49" s="637"/>
      <c r="NQ49" s="637"/>
      <c r="NR49" s="637"/>
      <c r="NS49" s="637"/>
      <c r="NT49" s="637"/>
      <c r="NU49" s="637"/>
      <c r="NV49" s="637"/>
      <c r="NW49" s="637"/>
      <c r="NX49" s="637"/>
      <c r="NY49" s="637"/>
      <c r="NZ49" s="637"/>
      <c r="OA49" s="637"/>
      <c r="OB49" s="637"/>
      <c r="OC49" s="637"/>
      <c r="OD49" s="637"/>
      <c r="OE49" s="637"/>
      <c r="OF49" s="637"/>
      <c r="OG49" s="637"/>
      <c r="OH49" s="637"/>
      <c r="OI49" s="637"/>
      <c r="OJ49" s="637"/>
      <c r="OK49" s="637"/>
      <c r="OL49" s="637"/>
      <c r="OM49" s="637"/>
      <c r="ON49" s="637"/>
      <c r="OO49" s="637"/>
      <c r="OP49" s="637"/>
      <c r="OQ49" s="637"/>
      <c r="OR49" s="637"/>
      <c r="OS49" s="637"/>
      <c r="OT49" s="637"/>
      <c r="OU49" s="637"/>
      <c r="OV49" s="637"/>
      <c r="OW49" s="637"/>
      <c r="OX49" s="637"/>
      <c r="OY49" s="637"/>
      <c r="OZ49" s="637"/>
      <c r="PA49" s="637"/>
      <c r="PB49" s="637"/>
      <c r="PC49" s="637"/>
      <c r="PD49" s="637"/>
      <c r="PE49" s="637"/>
      <c r="PF49" s="637"/>
      <c r="PG49" s="637"/>
      <c r="PH49" s="637"/>
      <c r="PI49" s="637"/>
      <c r="PJ49" s="637"/>
      <c r="PK49" s="637"/>
      <c r="PL49" s="637"/>
      <c r="PM49" s="637"/>
      <c r="PN49" s="637"/>
      <c r="PO49" s="637"/>
      <c r="PP49" s="637"/>
      <c r="PQ49" s="637"/>
      <c r="PR49" s="637"/>
      <c r="PS49" s="637"/>
      <c r="PT49" s="637"/>
      <c r="PU49" s="637"/>
      <c r="PV49" s="637"/>
      <c r="PW49" s="637"/>
      <c r="PX49" s="637"/>
      <c r="PY49" s="637"/>
      <c r="PZ49" s="637"/>
      <c r="QA49" s="637"/>
      <c r="QB49" s="637"/>
      <c r="QC49" s="637"/>
      <c r="QD49" s="637"/>
      <c r="QE49" s="637"/>
      <c r="QF49" s="637"/>
      <c r="QG49" s="637"/>
      <c r="QH49" s="637"/>
      <c r="QI49" s="637"/>
      <c r="QJ49" s="637"/>
      <c r="QK49" s="637"/>
      <c r="QL49" s="637"/>
      <c r="QM49" s="637"/>
      <c r="QN49" s="637"/>
      <c r="QO49" s="637"/>
      <c r="QP49" s="637"/>
      <c r="QQ49" s="637"/>
      <c r="QR49" s="637"/>
      <c r="QS49" s="637"/>
      <c r="QT49" s="637"/>
      <c r="QU49" s="637"/>
      <c r="QV49" s="637"/>
      <c r="QW49" s="637"/>
      <c r="QX49" s="637"/>
      <c r="QY49" s="637"/>
      <c r="QZ49" s="637"/>
      <c r="RA49" s="637"/>
      <c r="RB49" s="637"/>
      <c r="RC49" s="637"/>
      <c r="RD49" s="637"/>
      <c r="RE49" s="637"/>
      <c r="RF49" s="637"/>
      <c r="RG49" s="637"/>
      <c r="RH49" s="637"/>
      <c r="RI49" s="637"/>
      <c r="RJ49" s="637"/>
      <c r="RK49" s="637"/>
      <c r="RL49" s="637"/>
      <c r="RM49" s="637"/>
      <c r="RN49" s="637"/>
      <c r="RO49" s="637"/>
      <c r="RP49" s="637"/>
      <c r="RQ49" s="637"/>
      <c r="RR49" s="637"/>
      <c r="RS49" s="637"/>
      <c r="RT49" s="637"/>
      <c r="RU49" s="637"/>
      <c r="RV49" s="637"/>
      <c r="RW49" s="637"/>
      <c r="RX49" s="637"/>
      <c r="RY49" s="637"/>
      <c r="RZ49" s="637"/>
      <c r="SA49" s="637"/>
      <c r="SB49" s="637"/>
      <c r="SC49" s="637"/>
      <c r="SD49" s="637"/>
      <c r="SE49" s="637"/>
      <c r="SF49" s="637"/>
      <c r="SG49" s="637"/>
      <c r="SH49" s="637"/>
      <c r="SI49" s="637"/>
      <c r="SJ49" s="637"/>
      <c r="SK49" s="637"/>
      <c r="SL49" s="637"/>
      <c r="SM49" s="637"/>
      <c r="SN49" s="637"/>
      <c r="SO49" s="637"/>
      <c r="SP49" s="637"/>
      <c r="SQ49" s="637"/>
      <c r="SR49" s="637"/>
      <c r="SS49" s="637"/>
      <c r="ST49" s="637"/>
      <c r="SU49" s="637"/>
      <c r="SV49" s="637"/>
      <c r="SW49" s="637"/>
      <c r="SX49" s="637"/>
      <c r="SY49" s="637"/>
      <c r="SZ49" s="637"/>
      <c r="TA49" s="637"/>
      <c r="TB49" s="637"/>
      <c r="TC49" s="637"/>
      <c r="TD49" s="637"/>
      <c r="TE49" s="637"/>
      <c r="TF49" s="637"/>
      <c r="TG49" s="637"/>
      <c r="TH49" s="637"/>
      <c r="TI49" s="637"/>
      <c r="TJ49" s="637"/>
      <c r="TK49" s="637"/>
      <c r="TL49" s="637"/>
      <c r="TM49" s="637"/>
      <c r="TN49" s="637"/>
      <c r="TO49" s="637"/>
      <c r="TP49" s="637"/>
      <c r="TQ49" s="637"/>
      <c r="TR49" s="637"/>
      <c r="TS49" s="637"/>
      <c r="TT49" s="637"/>
      <c r="TU49" s="637"/>
      <c r="TV49" s="637"/>
      <c r="TW49" s="637"/>
      <c r="TX49" s="637"/>
      <c r="TY49" s="637"/>
      <c r="TZ49" s="637"/>
      <c r="UA49" s="637"/>
      <c r="UB49" s="637"/>
      <c r="UC49" s="637"/>
      <c r="UD49" s="637"/>
      <c r="UE49" s="637"/>
      <c r="UF49" s="637"/>
      <c r="UG49" s="637"/>
      <c r="UH49" s="637"/>
      <c r="UI49" s="637"/>
      <c r="UJ49" s="637"/>
      <c r="UK49" s="637"/>
      <c r="UL49" s="637"/>
      <c r="UM49" s="637"/>
      <c r="UN49" s="637"/>
      <c r="UO49" s="637"/>
      <c r="UP49" s="637"/>
      <c r="UQ49" s="637"/>
      <c r="UR49" s="637"/>
      <c r="US49" s="637"/>
      <c r="UT49" s="637"/>
      <c r="UU49" s="637"/>
      <c r="UV49" s="637"/>
      <c r="UW49" s="637"/>
      <c r="UX49" s="637"/>
      <c r="UY49" s="637"/>
      <c r="UZ49" s="637"/>
      <c r="VA49" s="637"/>
      <c r="VB49" s="637"/>
      <c r="VC49" s="637"/>
      <c r="VD49" s="637"/>
      <c r="VE49" s="637"/>
      <c r="VF49" s="637"/>
      <c r="VG49" s="637"/>
      <c r="VH49" s="637"/>
      <c r="VI49" s="637"/>
      <c r="VJ49" s="637"/>
      <c r="VK49" s="637"/>
      <c r="VL49" s="637"/>
      <c r="VM49" s="637"/>
      <c r="VN49" s="637"/>
      <c r="VO49" s="637"/>
      <c r="VP49" s="637"/>
      <c r="VQ49" s="637"/>
      <c r="VR49" s="637"/>
      <c r="VS49" s="637"/>
      <c r="VT49" s="637"/>
      <c r="VU49" s="637"/>
      <c r="VV49" s="637"/>
      <c r="VW49" s="637"/>
      <c r="VX49" s="637"/>
      <c r="VY49" s="637"/>
      <c r="VZ49" s="637"/>
      <c r="WA49" s="637"/>
      <c r="WB49" s="637"/>
      <c r="WC49" s="637"/>
      <c r="WD49" s="637"/>
      <c r="WE49" s="637"/>
      <c r="WF49" s="637"/>
      <c r="WG49" s="637"/>
      <c r="WH49" s="637"/>
      <c r="WI49" s="637"/>
      <c r="WJ49" s="637"/>
      <c r="WK49" s="637"/>
      <c r="WL49" s="637"/>
      <c r="WM49" s="637"/>
      <c r="WN49" s="637"/>
      <c r="WO49" s="637"/>
      <c r="WP49" s="637"/>
      <c r="WQ49" s="637"/>
      <c r="WR49" s="637"/>
      <c r="WS49" s="637"/>
      <c r="WT49" s="637"/>
      <c r="WU49" s="637"/>
      <c r="WV49" s="637"/>
      <c r="WW49" s="637"/>
      <c r="WX49" s="637"/>
      <c r="WY49" s="637"/>
      <c r="WZ49" s="637"/>
      <c r="XA49" s="637"/>
      <c r="XB49" s="637"/>
      <c r="XC49" s="637"/>
      <c r="XD49" s="637"/>
      <c r="XE49" s="637"/>
      <c r="XF49" s="637"/>
      <c r="XG49" s="637"/>
      <c r="XH49" s="637"/>
      <c r="XI49" s="637"/>
      <c r="XJ49" s="637"/>
      <c r="XK49" s="637"/>
      <c r="XL49" s="637"/>
      <c r="XM49" s="637"/>
      <c r="XN49" s="637"/>
      <c r="XO49" s="637"/>
      <c r="XP49" s="637"/>
      <c r="XQ49" s="637"/>
      <c r="XR49" s="637"/>
      <c r="XS49" s="637"/>
      <c r="XT49" s="637"/>
      <c r="XU49" s="637"/>
      <c r="XV49" s="637"/>
      <c r="XW49" s="637"/>
      <c r="XX49" s="637"/>
      <c r="XY49" s="637"/>
      <c r="XZ49" s="637"/>
      <c r="YA49" s="637"/>
      <c r="YB49" s="637"/>
      <c r="YC49" s="637"/>
      <c r="YD49" s="637"/>
      <c r="YE49" s="637"/>
      <c r="YF49" s="637"/>
      <c r="YG49" s="637"/>
      <c r="YH49" s="637"/>
      <c r="YI49" s="637"/>
      <c r="YJ49" s="637"/>
      <c r="YK49" s="637"/>
      <c r="YL49" s="637"/>
      <c r="YM49" s="637"/>
      <c r="YN49" s="637"/>
      <c r="YO49" s="637"/>
      <c r="YP49" s="637"/>
      <c r="YQ49" s="637"/>
      <c r="YR49" s="637"/>
      <c r="YS49" s="637"/>
      <c r="YT49" s="637"/>
      <c r="YU49" s="637"/>
      <c r="YV49" s="637"/>
      <c r="YW49" s="637"/>
      <c r="YX49" s="637"/>
      <c r="YY49" s="637"/>
      <c r="YZ49" s="637"/>
      <c r="ZA49" s="637"/>
      <c r="ZB49" s="637"/>
      <c r="ZC49" s="637"/>
      <c r="ZD49" s="637"/>
      <c r="ZE49" s="637"/>
      <c r="ZF49" s="637"/>
      <c r="ZG49" s="637"/>
      <c r="ZH49" s="637"/>
      <c r="ZI49" s="637"/>
      <c r="ZJ49" s="637"/>
      <c r="ZK49" s="637"/>
      <c r="ZL49" s="637"/>
      <c r="ZM49" s="637"/>
      <c r="ZN49" s="637"/>
      <c r="ZO49" s="637"/>
      <c r="ZP49" s="637"/>
      <c r="ZQ49" s="637"/>
      <c r="ZR49" s="637"/>
      <c r="ZS49" s="637"/>
      <c r="ZT49" s="637"/>
      <c r="ZU49" s="637"/>
      <c r="ZV49" s="637"/>
      <c r="ZW49" s="637"/>
      <c r="ZX49" s="637"/>
      <c r="ZY49" s="637"/>
      <c r="ZZ49" s="637"/>
      <c r="AAA49" s="637"/>
      <c r="AAB49" s="637"/>
      <c r="AAC49" s="637"/>
      <c r="AAD49" s="637"/>
      <c r="AAE49" s="637"/>
      <c r="AAF49" s="637"/>
      <c r="AAG49" s="637"/>
      <c r="AAH49" s="637"/>
      <c r="AAI49" s="637"/>
      <c r="AAJ49" s="637"/>
      <c r="AAK49" s="637"/>
      <c r="AAL49" s="637"/>
      <c r="AAM49" s="637"/>
      <c r="AAN49" s="637"/>
      <c r="AAO49" s="637"/>
      <c r="AAP49" s="637"/>
      <c r="AAQ49" s="637"/>
      <c r="AAR49" s="637"/>
      <c r="AAS49" s="637"/>
      <c r="AAT49" s="637"/>
      <c r="AAU49" s="637"/>
      <c r="AAV49" s="637"/>
      <c r="AAW49" s="637"/>
      <c r="AAX49" s="637"/>
      <c r="AAY49" s="637"/>
      <c r="AAZ49" s="637"/>
      <c r="ABA49" s="637"/>
      <c r="ABB49" s="637"/>
      <c r="ABC49" s="637"/>
      <c r="ABD49" s="637"/>
      <c r="ABE49" s="637"/>
      <c r="ABF49" s="637"/>
      <c r="ABG49" s="637"/>
      <c r="ABH49" s="637"/>
      <c r="ABI49" s="637"/>
      <c r="ABJ49" s="637"/>
      <c r="ABK49" s="637"/>
      <c r="ABL49" s="637"/>
      <c r="ABM49" s="637"/>
      <c r="ABN49" s="637"/>
      <c r="ABO49" s="637"/>
      <c r="ABP49" s="637"/>
      <c r="ABQ49" s="637"/>
      <c r="ABR49" s="637"/>
      <c r="ABS49" s="637"/>
      <c r="ABT49" s="637"/>
      <c r="ABU49" s="637"/>
      <c r="ABV49" s="637"/>
      <c r="ABW49" s="637"/>
      <c r="ABX49" s="637"/>
      <c r="ABY49" s="637"/>
      <c r="ABZ49" s="637"/>
      <c r="ACA49" s="637"/>
      <c r="ACB49" s="637"/>
      <c r="ACC49" s="637"/>
      <c r="ACD49" s="637"/>
      <c r="ACE49" s="637"/>
      <c r="ACF49" s="637"/>
      <c r="ACG49" s="637"/>
      <c r="ACH49" s="637"/>
      <c r="ACI49" s="637"/>
      <c r="ACJ49" s="637"/>
      <c r="ACK49" s="637"/>
      <c r="ACL49" s="637"/>
      <c r="ACM49" s="637"/>
      <c r="ACN49" s="637"/>
      <c r="ACO49" s="637"/>
      <c r="ACP49" s="637"/>
      <c r="ACQ49" s="637"/>
      <c r="ACR49" s="637"/>
      <c r="ACS49" s="637"/>
      <c r="ACT49" s="637"/>
      <c r="ACU49" s="637"/>
      <c r="ACV49" s="637"/>
      <c r="ACW49" s="637"/>
      <c r="ACX49" s="637"/>
      <c r="ACY49" s="637"/>
      <c r="ACZ49" s="637"/>
      <c r="ADA49" s="637"/>
      <c r="ADB49" s="637"/>
      <c r="ADC49" s="637"/>
      <c r="ADD49" s="637"/>
      <c r="ADE49" s="637"/>
      <c r="ADF49" s="637"/>
      <c r="ADG49" s="637"/>
      <c r="ADH49" s="637"/>
      <c r="ADI49" s="637"/>
      <c r="ADJ49" s="637"/>
      <c r="ADK49" s="637"/>
      <c r="ADL49" s="637"/>
      <c r="ADM49" s="637"/>
      <c r="ADN49" s="637"/>
      <c r="ADO49" s="637"/>
      <c r="ADP49" s="637"/>
      <c r="ADQ49" s="637"/>
      <c r="ADR49" s="637"/>
      <c r="ADS49" s="637"/>
      <c r="ADT49" s="637"/>
      <c r="ADU49" s="637"/>
      <c r="ADV49" s="637"/>
      <c r="ADW49" s="637"/>
      <c r="ADX49" s="637"/>
      <c r="ADY49" s="637"/>
      <c r="ADZ49" s="637"/>
      <c r="AEA49" s="637"/>
      <c r="AEB49" s="637"/>
      <c r="AEC49" s="637"/>
      <c r="AED49" s="637"/>
      <c r="AEE49" s="637"/>
      <c r="AEF49" s="637"/>
      <c r="AEG49" s="637"/>
      <c r="AEH49" s="637"/>
      <c r="AEI49" s="637"/>
      <c r="AEJ49" s="637"/>
      <c r="AEK49" s="637"/>
      <c r="AEL49" s="637"/>
      <c r="AEM49" s="637"/>
      <c r="AEN49" s="637"/>
      <c r="AEO49" s="637"/>
      <c r="AEP49" s="637"/>
      <c r="AEQ49" s="637"/>
      <c r="AER49" s="637"/>
      <c r="AES49" s="637"/>
      <c r="AET49" s="637"/>
      <c r="AEU49" s="637"/>
      <c r="AEV49" s="637"/>
      <c r="AEW49" s="637"/>
      <c r="AEX49" s="637"/>
      <c r="AEY49" s="637"/>
      <c r="AEZ49" s="637"/>
      <c r="AFA49" s="637"/>
      <c r="AFB49" s="637"/>
      <c r="AFC49" s="637"/>
      <c r="AFD49" s="637"/>
      <c r="AFE49" s="637"/>
      <c r="AFF49" s="637"/>
      <c r="AFG49" s="637"/>
      <c r="AFH49" s="637"/>
      <c r="AFI49" s="637"/>
      <c r="AFJ49" s="637"/>
      <c r="AFK49" s="637"/>
      <c r="AFL49" s="637"/>
      <c r="AFM49" s="637"/>
      <c r="AFN49" s="637"/>
      <c r="AFO49" s="637"/>
      <c r="AFP49" s="637"/>
      <c r="AFQ49" s="637"/>
      <c r="AFR49" s="637"/>
      <c r="AFS49" s="637"/>
      <c r="AFT49" s="637"/>
      <c r="AFU49" s="637"/>
      <c r="AFV49" s="637"/>
      <c r="AFW49" s="637"/>
      <c r="AFX49" s="637"/>
      <c r="AFY49" s="637"/>
      <c r="AFZ49" s="637"/>
      <c r="AGA49" s="637"/>
      <c r="AGB49" s="637"/>
      <c r="AGC49" s="637"/>
      <c r="AGD49" s="637"/>
      <c r="AGE49" s="637"/>
      <c r="AGF49" s="637"/>
      <c r="AGG49" s="637"/>
      <c r="AGH49" s="637"/>
      <c r="AGI49" s="637"/>
      <c r="AGJ49" s="637"/>
      <c r="AGK49" s="637"/>
      <c r="AGL49" s="637"/>
      <c r="AGM49" s="637"/>
      <c r="AGN49" s="637"/>
      <c r="AGO49" s="637"/>
      <c r="AGP49" s="637"/>
      <c r="AGQ49" s="637"/>
      <c r="AGR49" s="637"/>
      <c r="AGS49" s="637"/>
      <c r="AGT49" s="637"/>
      <c r="AGU49" s="637"/>
      <c r="AGV49" s="637"/>
      <c r="AGW49" s="637"/>
      <c r="AGX49" s="637"/>
      <c r="AGY49" s="637"/>
      <c r="AGZ49" s="637"/>
      <c r="AHA49" s="637"/>
      <c r="AHB49" s="637"/>
      <c r="AHC49" s="637"/>
      <c r="AHD49" s="637"/>
      <c r="AHE49" s="637"/>
      <c r="AHF49" s="637"/>
      <c r="AHG49" s="637"/>
      <c r="AHH49" s="637"/>
      <c r="AHI49" s="637"/>
      <c r="AHJ49" s="637"/>
      <c r="AHK49" s="637"/>
      <c r="AHL49" s="637"/>
      <c r="AHM49" s="637"/>
      <c r="AHN49" s="637"/>
      <c r="AHO49" s="637"/>
      <c r="AHP49" s="637"/>
      <c r="AHQ49" s="637"/>
      <c r="AHR49" s="637"/>
      <c r="AHS49" s="637"/>
      <c r="AHT49" s="637"/>
      <c r="AHU49" s="637"/>
      <c r="AHV49" s="637"/>
      <c r="AHW49" s="637"/>
      <c r="AHX49" s="637"/>
      <c r="AHY49" s="637"/>
      <c r="AHZ49" s="637"/>
      <c r="AIA49" s="637"/>
      <c r="AIB49" s="637"/>
      <c r="AIC49" s="637"/>
      <c r="AID49" s="637"/>
      <c r="AIE49" s="637"/>
      <c r="AIF49" s="637"/>
      <c r="AIG49" s="637"/>
      <c r="AIH49" s="637"/>
      <c r="AII49" s="637"/>
      <c r="AIJ49" s="637"/>
      <c r="AIK49" s="637"/>
      <c r="AIL49" s="637"/>
      <c r="AIM49" s="637"/>
      <c r="AIN49" s="637"/>
      <c r="AIO49" s="637"/>
      <c r="AIP49" s="637"/>
      <c r="AIQ49" s="637"/>
      <c r="AIR49" s="637"/>
      <c r="AIS49" s="637"/>
      <c r="AIT49" s="637"/>
      <c r="AIU49" s="637"/>
      <c r="AIV49" s="637"/>
      <c r="AIW49" s="637"/>
      <c r="AIX49" s="637"/>
      <c r="AIY49" s="637"/>
      <c r="AIZ49" s="637"/>
      <c r="AJA49" s="637"/>
      <c r="AJB49" s="637"/>
      <c r="AJC49" s="637"/>
      <c r="AJD49" s="637"/>
      <c r="AJE49" s="637"/>
      <c r="AJF49" s="637"/>
      <c r="AJG49" s="637"/>
      <c r="AJH49" s="637"/>
      <c r="AJI49" s="637"/>
      <c r="AJJ49" s="637"/>
      <c r="AJK49" s="637"/>
      <c r="AJL49" s="637"/>
      <c r="AJM49" s="637"/>
      <c r="AJN49" s="637"/>
      <c r="AJO49" s="637"/>
      <c r="AJP49" s="637"/>
      <c r="AJQ49" s="637"/>
      <c r="AJR49" s="637"/>
      <c r="AJS49" s="637"/>
      <c r="AJT49" s="637"/>
      <c r="AJU49" s="637"/>
      <c r="AJV49" s="637"/>
      <c r="AJW49" s="637"/>
      <c r="AJX49" s="637"/>
      <c r="AJY49" s="637"/>
      <c r="AJZ49" s="637"/>
      <c r="AKA49" s="637"/>
      <c r="AKB49" s="637"/>
      <c r="AKC49" s="637"/>
      <c r="AKD49" s="637"/>
      <c r="AKE49" s="637"/>
      <c r="AKF49" s="637"/>
      <c r="AKG49" s="637"/>
      <c r="AKH49" s="637"/>
      <c r="AKI49" s="637"/>
      <c r="AKJ49" s="637"/>
      <c r="AKK49" s="637"/>
      <c r="AKL49" s="637"/>
      <c r="AKM49" s="637"/>
      <c r="AKN49" s="637"/>
      <c r="AKO49" s="637"/>
      <c r="AKP49" s="637"/>
      <c r="AKQ49" s="637"/>
      <c r="AKR49" s="637"/>
      <c r="AKS49" s="637"/>
      <c r="AKT49" s="637"/>
      <c r="AKU49" s="637"/>
      <c r="AKV49" s="637"/>
      <c r="AKW49" s="637"/>
      <c r="AKX49" s="637"/>
      <c r="AKY49" s="637"/>
      <c r="AKZ49" s="637"/>
      <c r="ALA49" s="637"/>
      <c r="ALB49" s="637"/>
      <c r="ALC49" s="637"/>
      <c r="ALD49" s="637"/>
      <c r="ALE49" s="637"/>
      <c r="ALF49" s="637"/>
      <c r="ALG49" s="637"/>
      <c r="ALH49" s="637"/>
      <c r="ALI49" s="637"/>
      <c r="ALJ49" s="637"/>
      <c r="ALK49" s="637"/>
      <c r="ALL49" s="637"/>
      <c r="ALM49" s="637"/>
      <c r="ALN49" s="637"/>
      <c r="ALO49" s="637"/>
      <c r="ALP49" s="637"/>
      <c r="ALQ49" s="637"/>
      <c r="ALR49" s="637"/>
      <c r="ALS49" s="637"/>
      <c r="ALT49" s="637"/>
      <c r="ALU49" s="637"/>
      <c r="ALV49" s="637"/>
      <c r="ALW49" s="637"/>
      <c r="ALX49" s="637"/>
      <c r="ALY49" s="637"/>
      <c r="ALZ49" s="637"/>
      <c r="AMA49" s="637"/>
      <c r="AMB49" s="637"/>
      <c r="AMC49" s="637"/>
      <c r="AMD49" s="637"/>
      <c r="AME49" s="637"/>
      <c r="AMF49" s="637"/>
      <c r="AMG49" s="637"/>
      <c r="AMH49" s="637"/>
      <c r="AMI49" s="637"/>
      <c r="AMJ49" s="637"/>
    </row>
    <row r="50" spans="1:1024" s="638" customFormat="1" ht="12.75">
      <c r="A50" s="984"/>
      <c r="B50" s="985"/>
      <c r="C50" s="986"/>
      <c r="D50" s="981" t="s">
        <v>1041</v>
      </c>
      <c r="E50" s="982"/>
      <c r="F50" s="994">
        <f t="shared" si="3"/>
        <v>475</v>
      </c>
      <c r="G50" s="987">
        <v>470</v>
      </c>
      <c r="H50" s="987">
        <f>245-240</f>
        <v>5</v>
      </c>
      <c r="I50" s="987"/>
      <c r="J50" s="987"/>
      <c r="K50" s="987"/>
      <c r="L50" s="987"/>
      <c r="M50" s="987"/>
      <c r="N50" s="987"/>
      <c r="O50" s="987"/>
      <c r="P50" s="987"/>
      <c r="Q50" s="987"/>
      <c r="R50" s="984"/>
      <c r="S50" s="637"/>
      <c r="T50" s="637"/>
      <c r="U50" s="637"/>
      <c r="V50" s="637"/>
      <c r="W50" s="637"/>
      <c r="X50" s="637"/>
      <c r="Y50" s="637"/>
      <c r="Z50" s="637"/>
      <c r="AA50" s="637"/>
      <c r="AB50" s="637"/>
      <c r="AC50" s="637"/>
      <c r="AD50" s="637"/>
      <c r="AE50" s="637"/>
      <c r="AF50" s="637"/>
      <c r="AG50" s="637"/>
      <c r="AH50" s="637"/>
      <c r="AI50" s="637"/>
      <c r="AJ50" s="637"/>
      <c r="AK50" s="637"/>
      <c r="AL50" s="637"/>
      <c r="AM50" s="637"/>
      <c r="AN50" s="637"/>
      <c r="AO50" s="637"/>
      <c r="AP50" s="637"/>
      <c r="AQ50" s="637"/>
      <c r="AR50" s="637"/>
      <c r="AS50" s="637"/>
      <c r="AT50" s="637"/>
      <c r="AU50" s="637"/>
      <c r="AV50" s="637"/>
      <c r="AW50" s="637"/>
      <c r="AX50" s="637"/>
      <c r="AY50" s="637"/>
      <c r="AZ50" s="637"/>
      <c r="BA50" s="637"/>
      <c r="BB50" s="637"/>
      <c r="BC50" s="637"/>
      <c r="BD50" s="637"/>
      <c r="BE50" s="637"/>
      <c r="BF50" s="637"/>
      <c r="BG50" s="637"/>
      <c r="BH50" s="637"/>
      <c r="BI50" s="637"/>
      <c r="BJ50" s="637"/>
      <c r="BK50" s="637"/>
      <c r="BL50" s="637"/>
      <c r="BM50" s="637"/>
      <c r="BN50" s="637"/>
      <c r="BO50" s="637"/>
      <c r="BP50" s="637"/>
      <c r="BQ50" s="637"/>
      <c r="BR50" s="637"/>
      <c r="BS50" s="637"/>
      <c r="BT50" s="637"/>
      <c r="BU50" s="637"/>
      <c r="BV50" s="637"/>
      <c r="BW50" s="637"/>
      <c r="BX50" s="637"/>
      <c r="BY50" s="637"/>
      <c r="BZ50" s="637"/>
      <c r="CA50" s="637"/>
      <c r="CB50" s="637"/>
      <c r="CC50" s="637"/>
      <c r="CD50" s="637"/>
      <c r="CE50" s="637"/>
      <c r="CF50" s="637"/>
      <c r="CG50" s="637"/>
      <c r="CH50" s="637"/>
      <c r="CI50" s="637"/>
      <c r="CJ50" s="637"/>
      <c r="CK50" s="637"/>
      <c r="CL50" s="637"/>
      <c r="CM50" s="637"/>
      <c r="CN50" s="637"/>
      <c r="CO50" s="637"/>
      <c r="CP50" s="637"/>
      <c r="CQ50" s="637"/>
      <c r="CR50" s="637"/>
      <c r="CS50" s="637"/>
      <c r="CT50" s="637"/>
      <c r="CU50" s="637"/>
      <c r="CV50" s="637"/>
      <c r="CW50" s="637"/>
      <c r="CX50" s="637"/>
      <c r="CY50" s="637"/>
      <c r="CZ50" s="637"/>
      <c r="DA50" s="637"/>
      <c r="DB50" s="637"/>
      <c r="DC50" s="637"/>
      <c r="DD50" s="637"/>
      <c r="DE50" s="637"/>
      <c r="DF50" s="637"/>
      <c r="DG50" s="637"/>
      <c r="DH50" s="637"/>
      <c r="DI50" s="637"/>
      <c r="DJ50" s="637"/>
      <c r="DK50" s="637"/>
      <c r="DL50" s="637"/>
      <c r="DM50" s="637"/>
      <c r="DN50" s="637"/>
      <c r="DO50" s="637"/>
      <c r="DP50" s="637"/>
      <c r="DQ50" s="637"/>
      <c r="DR50" s="637"/>
      <c r="DS50" s="637"/>
      <c r="DT50" s="637"/>
      <c r="DU50" s="637"/>
      <c r="DV50" s="637"/>
      <c r="DW50" s="637"/>
      <c r="DX50" s="637"/>
      <c r="DY50" s="637"/>
      <c r="DZ50" s="637"/>
      <c r="EA50" s="637"/>
      <c r="EB50" s="637"/>
      <c r="EC50" s="637"/>
      <c r="ED50" s="637"/>
      <c r="EE50" s="637"/>
      <c r="EF50" s="637"/>
      <c r="EG50" s="637"/>
      <c r="EH50" s="637"/>
      <c r="EI50" s="637"/>
      <c r="EJ50" s="637"/>
      <c r="EK50" s="637"/>
      <c r="EL50" s="637"/>
      <c r="EM50" s="637"/>
      <c r="EN50" s="637"/>
      <c r="EO50" s="637"/>
      <c r="EP50" s="637"/>
      <c r="EQ50" s="637"/>
      <c r="ER50" s="637"/>
      <c r="ES50" s="637"/>
      <c r="ET50" s="637"/>
      <c r="EU50" s="637"/>
      <c r="EV50" s="637"/>
      <c r="EW50" s="637"/>
      <c r="EX50" s="637"/>
      <c r="EY50" s="637"/>
      <c r="EZ50" s="637"/>
      <c r="FA50" s="637"/>
      <c r="FB50" s="637"/>
      <c r="FC50" s="637"/>
      <c r="FD50" s="637"/>
      <c r="FE50" s="637"/>
      <c r="FF50" s="637"/>
      <c r="FG50" s="637"/>
      <c r="FH50" s="637"/>
      <c r="FI50" s="637"/>
      <c r="FJ50" s="637"/>
      <c r="FK50" s="637"/>
      <c r="FL50" s="637"/>
      <c r="FM50" s="637"/>
      <c r="FN50" s="637"/>
      <c r="FO50" s="637"/>
      <c r="FP50" s="637"/>
      <c r="FQ50" s="637"/>
      <c r="FR50" s="637"/>
      <c r="FS50" s="637"/>
      <c r="FT50" s="637"/>
      <c r="FU50" s="637"/>
      <c r="FV50" s="637"/>
      <c r="FW50" s="637"/>
      <c r="FX50" s="637"/>
      <c r="FY50" s="637"/>
      <c r="FZ50" s="637"/>
      <c r="GA50" s="637"/>
      <c r="GB50" s="637"/>
      <c r="GC50" s="637"/>
      <c r="GD50" s="637"/>
      <c r="GE50" s="637"/>
      <c r="GF50" s="637"/>
      <c r="GG50" s="637"/>
      <c r="GH50" s="637"/>
      <c r="GI50" s="637"/>
      <c r="GJ50" s="637"/>
      <c r="GK50" s="637"/>
      <c r="GL50" s="637"/>
      <c r="GM50" s="637"/>
      <c r="GN50" s="637"/>
      <c r="GO50" s="637"/>
      <c r="GP50" s="637"/>
      <c r="GQ50" s="637"/>
      <c r="GR50" s="637"/>
      <c r="GS50" s="637"/>
      <c r="GT50" s="637"/>
      <c r="GU50" s="637"/>
      <c r="GV50" s="637"/>
      <c r="GW50" s="637"/>
      <c r="GX50" s="637"/>
      <c r="GY50" s="637"/>
      <c r="GZ50" s="637"/>
      <c r="HA50" s="637"/>
      <c r="HB50" s="637"/>
      <c r="HC50" s="637"/>
      <c r="HD50" s="637"/>
      <c r="HE50" s="637"/>
      <c r="HF50" s="637"/>
      <c r="HG50" s="637"/>
      <c r="HH50" s="637"/>
      <c r="HI50" s="637"/>
      <c r="HJ50" s="637"/>
      <c r="HK50" s="637"/>
      <c r="HL50" s="637"/>
      <c r="HM50" s="637"/>
      <c r="HN50" s="637"/>
      <c r="HO50" s="637"/>
      <c r="HP50" s="637"/>
      <c r="HQ50" s="637"/>
      <c r="HR50" s="637"/>
      <c r="HS50" s="637"/>
      <c r="HT50" s="637"/>
      <c r="HU50" s="637"/>
      <c r="HV50" s="637"/>
      <c r="HW50" s="637"/>
      <c r="HX50" s="637"/>
      <c r="HY50" s="637"/>
      <c r="HZ50" s="637"/>
      <c r="IA50" s="637"/>
      <c r="IB50" s="637"/>
      <c r="IC50" s="637"/>
      <c r="ID50" s="637"/>
      <c r="IE50" s="637"/>
      <c r="IF50" s="637"/>
      <c r="IG50" s="637"/>
      <c r="IH50" s="637"/>
      <c r="II50" s="637"/>
      <c r="IJ50" s="637"/>
      <c r="IK50" s="637"/>
      <c r="IL50" s="637"/>
      <c r="IM50" s="637"/>
      <c r="IN50" s="637"/>
      <c r="IO50" s="637"/>
      <c r="IP50" s="637"/>
      <c r="IQ50" s="637"/>
      <c r="IR50" s="637"/>
      <c r="IS50" s="637"/>
      <c r="IT50" s="637"/>
      <c r="IU50" s="637"/>
      <c r="IV50" s="637"/>
      <c r="IW50" s="637"/>
      <c r="IX50" s="637"/>
      <c r="IY50" s="637"/>
      <c r="IZ50" s="637"/>
      <c r="JA50" s="637"/>
      <c r="JB50" s="637"/>
      <c r="JC50" s="637"/>
      <c r="JD50" s="637"/>
      <c r="JE50" s="637"/>
      <c r="JF50" s="637"/>
      <c r="JG50" s="637"/>
      <c r="JH50" s="637"/>
      <c r="JI50" s="637"/>
      <c r="JJ50" s="637"/>
      <c r="JK50" s="637"/>
      <c r="JL50" s="637"/>
      <c r="JM50" s="637"/>
      <c r="JN50" s="637"/>
      <c r="JO50" s="637"/>
      <c r="JP50" s="637"/>
      <c r="JQ50" s="637"/>
      <c r="JR50" s="637"/>
      <c r="JS50" s="637"/>
      <c r="JT50" s="637"/>
      <c r="JU50" s="637"/>
      <c r="JV50" s="637"/>
      <c r="JW50" s="637"/>
      <c r="JX50" s="637"/>
      <c r="JY50" s="637"/>
      <c r="JZ50" s="637"/>
      <c r="KA50" s="637"/>
      <c r="KB50" s="637"/>
      <c r="KC50" s="637"/>
      <c r="KD50" s="637"/>
      <c r="KE50" s="637"/>
      <c r="KF50" s="637"/>
      <c r="KG50" s="637"/>
      <c r="KH50" s="637"/>
      <c r="KI50" s="637"/>
      <c r="KJ50" s="637"/>
      <c r="KK50" s="637"/>
      <c r="KL50" s="637"/>
      <c r="KM50" s="637"/>
      <c r="KN50" s="637"/>
      <c r="KO50" s="637"/>
      <c r="KP50" s="637"/>
      <c r="KQ50" s="637"/>
      <c r="KR50" s="637"/>
      <c r="KS50" s="637"/>
      <c r="KT50" s="637"/>
      <c r="KU50" s="637"/>
      <c r="KV50" s="637"/>
      <c r="KW50" s="637"/>
      <c r="KX50" s="637"/>
      <c r="KY50" s="637"/>
      <c r="KZ50" s="637"/>
      <c r="LA50" s="637"/>
      <c r="LB50" s="637"/>
      <c r="LC50" s="637"/>
      <c r="LD50" s="637"/>
      <c r="LE50" s="637"/>
      <c r="LF50" s="637"/>
      <c r="LG50" s="637"/>
      <c r="LH50" s="637"/>
      <c r="LI50" s="637"/>
      <c r="LJ50" s="637"/>
      <c r="LK50" s="637"/>
      <c r="LL50" s="637"/>
      <c r="LM50" s="637"/>
      <c r="LN50" s="637"/>
      <c r="LO50" s="637"/>
      <c r="LP50" s="637"/>
      <c r="LQ50" s="637"/>
      <c r="LR50" s="637"/>
      <c r="LS50" s="637"/>
      <c r="LT50" s="637"/>
      <c r="LU50" s="637"/>
      <c r="LV50" s="637"/>
      <c r="LW50" s="637"/>
      <c r="LX50" s="637"/>
      <c r="LY50" s="637"/>
      <c r="LZ50" s="637"/>
      <c r="MA50" s="637"/>
      <c r="MB50" s="637"/>
      <c r="MC50" s="637"/>
      <c r="MD50" s="637"/>
      <c r="ME50" s="637"/>
      <c r="MF50" s="637"/>
      <c r="MG50" s="637"/>
      <c r="MH50" s="637"/>
      <c r="MI50" s="637"/>
      <c r="MJ50" s="637"/>
      <c r="MK50" s="637"/>
      <c r="ML50" s="637"/>
      <c r="MM50" s="637"/>
      <c r="MN50" s="637"/>
      <c r="MO50" s="637"/>
      <c r="MP50" s="637"/>
      <c r="MQ50" s="637"/>
      <c r="MR50" s="637"/>
      <c r="MS50" s="637"/>
      <c r="MT50" s="637"/>
      <c r="MU50" s="637"/>
      <c r="MV50" s="637"/>
      <c r="MW50" s="637"/>
      <c r="MX50" s="637"/>
      <c r="MY50" s="637"/>
      <c r="MZ50" s="637"/>
      <c r="NA50" s="637"/>
      <c r="NB50" s="637"/>
      <c r="NC50" s="637"/>
      <c r="ND50" s="637"/>
      <c r="NE50" s="637"/>
      <c r="NF50" s="637"/>
      <c r="NG50" s="637"/>
      <c r="NH50" s="637"/>
      <c r="NI50" s="637"/>
      <c r="NJ50" s="637"/>
      <c r="NK50" s="637"/>
      <c r="NL50" s="637"/>
      <c r="NM50" s="637"/>
      <c r="NN50" s="637"/>
      <c r="NO50" s="637"/>
      <c r="NP50" s="637"/>
      <c r="NQ50" s="637"/>
      <c r="NR50" s="637"/>
      <c r="NS50" s="637"/>
      <c r="NT50" s="637"/>
      <c r="NU50" s="637"/>
      <c r="NV50" s="637"/>
      <c r="NW50" s="637"/>
      <c r="NX50" s="637"/>
      <c r="NY50" s="637"/>
      <c r="NZ50" s="637"/>
      <c r="OA50" s="637"/>
      <c r="OB50" s="637"/>
      <c r="OC50" s="637"/>
      <c r="OD50" s="637"/>
      <c r="OE50" s="637"/>
      <c r="OF50" s="637"/>
      <c r="OG50" s="637"/>
      <c r="OH50" s="637"/>
      <c r="OI50" s="637"/>
      <c r="OJ50" s="637"/>
      <c r="OK50" s="637"/>
      <c r="OL50" s="637"/>
      <c r="OM50" s="637"/>
      <c r="ON50" s="637"/>
      <c r="OO50" s="637"/>
      <c r="OP50" s="637"/>
      <c r="OQ50" s="637"/>
      <c r="OR50" s="637"/>
      <c r="OS50" s="637"/>
      <c r="OT50" s="637"/>
      <c r="OU50" s="637"/>
      <c r="OV50" s="637"/>
      <c r="OW50" s="637"/>
      <c r="OX50" s="637"/>
      <c r="OY50" s="637"/>
      <c r="OZ50" s="637"/>
      <c r="PA50" s="637"/>
      <c r="PB50" s="637"/>
      <c r="PC50" s="637"/>
      <c r="PD50" s="637"/>
      <c r="PE50" s="637"/>
      <c r="PF50" s="637"/>
      <c r="PG50" s="637"/>
      <c r="PH50" s="637"/>
      <c r="PI50" s="637"/>
      <c r="PJ50" s="637"/>
      <c r="PK50" s="637"/>
      <c r="PL50" s="637"/>
      <c r="PM50" s="637"/>
      <c r="PN50" s="637"/>
      <c r="PO50" s="637"/>
      <c r="PP50" s="637"/>
      <c r="PQ50" s="637"/>
      <c r="PR50" s="637"/>
      <c r="PS50" s="637"/>
      <c r="PT50" s="637"/>
      <c r="PU50" s="637"/>
      <c r="PV50" s="637"/>
      <c r="PW50" s="637"/>
      <c r="PX50" s="637"/>
      <c r="PY50" s="637"/>
      <c r="PZ50" s="637"/>
      <c r="QA50" s="637"/>
      <c r="QB50" s="637"/>
      <c r="QC50" s="637"/>
      <c r="QD50" s="637"/>
      <c r="QE50" s="637"/>
      <c r="QF50" s="637"/>
      <c r="QG50" s="637"/>
      <c r="QH50" s="637"/>
      <c r="QI50" s="637"/>
      <c r="QJ50" s="637"/>
      <c r="QK50" s="637"/>
      <c r="QL50" s="637"/>
      <c r="QM50" s="637"/>
      <c r="QN50" s="637"/>
      <c r="QO50" s="637"/>
      <c r="QP50" s="637"/>
      <c r="QQ50" s="637"/>
      <c r="QR50" s="637"/>
      <c r="QS50" s="637"/>
      <c r="QT50" s="637"/>
      <c r="QU50" s="637"/>
      <c r="QV50" s="637"/>
      <c r="QW50" s="637"/>
      <c r="QX50" s="637"/>
      <c r="QY50" s="637"/>
      <c r="QZ50" s="637"/>
      <c r="RA50" s="637"/>
      <c r="RB50" s="637"/>
      <c r="RC50" s="637"/>
      <c r="RD50" s="637"/>
      <c r="RE50" s="637"/>
      <c r="RF50" s="637"/>
      <c r="RG50" s="637"/>
      <c r="RH50" s="637"/>
      <c r="RI50" s="637"/>
      <c r="RJ50" s="637"/>
      <c r="RK50" s="637"/>
      <c r="RL50" s="637"/>
      <c r="RM50" s="637"/>
      <c r="RN50" s="637"/>
      <c r="RO50" s="637"/>
      <c r="RP50" s="637"/>
      <c r="RQ50" s="637"/>
      <c r="RR50" s="637"/>
      <c r="RS50" s="637"/>
      <c r="RT50" s="637"/>
      <c r="RU50" s="637"/>
      <c r="RV50" s="637"/>
      <c r="RW50" s="637"/>
      <c r="RX50" s="637"/>
      <c r="RY50" s="637"/>
      <c r="RZ50" s="637"/>
      <c r="SA50" s="637"/>
      <c r="SB50" s="637"/>
      <c r="SC50" s="637"/>
      <c r="SD50" s="637"/>
      <c r="SE50" s="637"/>
      <c r="SF50" s="637"/>
      <c r="SG50" s="637"/>
      <c r="SH50" s="637"/>
      <c r="SI50" s="637"/>
      <c r="SJ50" s="637"/>
      <c r="SK50" s="637"/>
      <c r="SL50" s="637"/>
      <c r="SM50" s="637"/>
      <c r="SN50" s="637"/>
      <c r="SO50" s="637"/>
      <c r="SP50" s="637"/>
      <c r="SQ50" s="637"/>
      <c r="SR50" s="637"/>
      <c r="SS50" s="637"/>
      <c r="ST50" s="637"/>
      <c r="SU50" s="637"/>
      <c r="SV50" s="637"/>
      <c r="SW50" s="637"/>
      <c r="SX50" s="637"/>
      <c r="SY50" s="637"/>
      <c r="SZ50" s="637"/>
      <c r="TA50" s="637"/>
      <c r="TB50" s="637"/>
      <c r="TC50" s="637"/>
      <c r="TD50" s="637"/>
      <c r="TE50" s="637"/>
      <c r="TF50" s="637"/>
      <c r="TG50" s="637"/>
      <c r="TH50" s="637"/>
      <c r="TI50" s="637"/>
      <c r="TJ50" s="637"/>
      <c r="TK50" s="637"/>
      <c r="TL50" s="637"/>
      <c r="TM50" s="637"/>
      <c r="TN50" s="637"/>
      <c r="TO50" s="637"/>
      <c r="TP50" s="637"/>
      <c r="TQ50" s="637"/>
      <c r="TR50" s="637"/>
      <c r="TS50" s="637"/>
      <c r="TT50" s="637"/>
      <c r="TU50" s="637"/>
      <c r="TV50" s="637"/>
      <c r="TW50" s="637"/>
      <c r="TX50" s="637"/>
      <c r="TY50" s="637"/>
      <c r="TZ50" s="637"/>
      <c r="UA50" s="637"/>
      <c r="UB50" s="637"/>
      <c r="UC50" s="637"/>
      <c r="UD50" s="637"/>
      <c r="UE50" s="637"/>
      <c r="UF50" s="637"/>
      <c r="UG50" s="637"/>
      <c r="UH50" s="637"/>
      <c r="UI50" s="637"/>
      <c r="UJ50" s="637"/>
      <c r="UK50" s="637"/>
      <c r="UL50" s="637"/>
      <c r="UM50" s="637"/>
      <c r="UN50" s="637"/>
      <c r="UO50" s="637"/>
      <c r="UP50" s="637"/>
      <c r="UQ50" s="637"/>
      <c r="UR50" s="637"/>
      <c r="US50" s="637"/>
      <c r="UT50" s="637"/>
      <c r="UU50" s="637"/>
      <c r="UV50" s="637"/>
      <c r="UW50" s="637"/>
      <c r="UX50" s="637"/>
      <c r="UY50" s="637"/>
      <c r="UZ50" s="637"/>
      <c r="VA50" s="637"/>
      <c r="VB50" s="637"/>
      <c r="VC50" s="637"/>
      <c r="VD50" s="637"/>
      <c r="VE50" s="637"/>
      <c r="VF50" s="637"/>
      <c r="VG50" s="637"/>
      <c r="VH50" s="637"/>
      <c r="VI50" s="637"/>
      <c r="VJ50" s="637"/>
      <c r="VK50" s="637"/>
      <c r="VL50" s="637"/>
      <c r="VM50" s="637"/>
      <c r="VN50" s="637"/>
      <c r="VO50" s="637"/>
      <c r="VP50" s="637"/>
      <c r="VQ50" s="637"/>
      <c r="VR50" s="637"/>
      <c r="VS50" s="637"/>
      <c r="VT50" s="637"/>
      <c r="VU50" s="637"/>
      <c r="VV50" s="637"/>
      <c r="VW50" s="637"/>
      <c r="VX50" s="637"/>
      <c r="VY50" s="637"/>
      <c r="VZ50" s="637"/>
      <c r="WA50" s="637"/>
      <c r="WB50" s="637"/>
      <c r="WC50" s="637"/>
      <c r="WD50" s="637"/>
      <c r="WE50" s="637"/>
      <c r="WF50" s="637"/>
      <c r="WG50" s="637"/>
      <c r="WH50" s="637"/>
      <c r="WI50" s="637"/>
      <c r="WJ50" s="637"/>
      <c r="WK50" s="637"/>
      <c r="WL50" s="637"/>
      <c r="WM50" s="637"/>
      <c r="WN50" s="637"/>
      <c r="WO50" s="637"/>
      <c r="WP50" s="637"/>
      <c r="WQ50" s="637"/>
      <c r="WR50" s="637"/>
      <c r="WS50" s="637"/>
      <c r="WT50" s="637"/>
      <c r="WU50" s="637"/>
      <c r="WV50" s="637"/>
      <c r="WW50" s="637"/>
      <c r="WX50" s="637"/>
      <c r="WY50" s="637"/>
      <c r="WZ50" s="637"/>
      <c r="XA50" s="637"/>
      <c r="XB50" s="637"/>
      <c r="XC50" s="637"/>
      <c r="XD50" s="637"/>
      <c r="XE50" s="637"/>
      <c r="XF50" s="637"/>
      <c r="XG50" s="637"/>
      <c r="XH50" s="637"/>
      <c r="XI50" s="637"/>
      <c r="XJ50" s="637"/>
      <c r="XK50" s="637"/>
      <c r="XL50" s="637"/>
      <c r="XM50" s="637"/>
      <c r="XN50" s="637"/>
      <c r="XO50" s="637"/>
      <c r="XP50" s="637"/>
      <c r="XQ50" s="637"/>
      <c r="XR50" s="637"/>
      <c r="XS50" s="637"/>
      <c r="XT50" s="637"/>
      <c r="XU50" s="637"/>
      <c r="XV50" s="637"/>
      <c r="XW50" s="637"/>
      <c r="XX50" s="637"/>
      <c r="XY50" s="637"/>
      <c r="XZ50" s="637"/>
      <c r="YA50" s="637"/>
      <c r="YB50" s="637"/>
      <c r="YC50" s="637"/>
      <c r="YD50" s="637"/>
      <c r="YE50" s="637"/>
      <c r="YF50" s="637"/>
      <c r="YG50" s="637"/>
      <c r="YH50" s="637"/>
      <c r="YI50" s="637"/>
      <c r="YJ50" s="637"/>
      <c r="YK50" s="637"/>
      <c r="YL50" s="637"/>
      <c r="YM50" s="637"/>
      <c r="YN50" s="637"/>
      <c r="YO50" s="637"/>
      <c r="YP50" s="637"/>
      <c r="YQ50" s="637"/>
      <c r="YR50" s="637"/>
      <c r="YS50" s="637"/>
      <c r="YT50" s="637"/>
      <c r="YU50" s="637"/>
      <c r="YV50" s="637"/>
      <c r="YW50" s="637"/>
      <c r="YX50" s="637"/>
      <c r="YY50" s="637"/>
      <c r="YZ50" s="637"/>
      <c r="ZA50" s="637"/>
      <c r="ZB50" s="637"/>
      <c r="ZC50" s="637"/>
      <c r="ZD50" s="637"/>
      <c r="ZE50" s="637"/>
      <c r="ZF50" s="637"/>
      <c r="ZG50" s="637"/>
      <c r="ZH50" s="637"/>
      <c r="ZI50" s="637"/>
      <c r="ZJ50" s="637"/>
      <c r="ZK50" s="637"/>
      <c r="ZL50" s="637"/>
      <c r="ZM50" s="637"/>
      <c r="ZN50" s="637"/>
      <c r="ZO50" s="637"/>
      <c r="ZP50" s="637"/>
      <c r="ZQ50" s="637"/>
      <c r="ZR50" s="637"/>
      <c r="ZS50" s="637"/>
      <c r="ZT50" s="637"/>
      <c r="ZU50" s="637"/>
      <c r="ZV50" s="637"/>
      <c r="ZW50" s="637"/>
      <c r="ZX50" s="637"/>
      <c r="ZY50" s="637"/>
      <c r="ZZ50" s="637"/>
      <c r="AAA50" s="637"/>
      <c r="AAB50" s="637"/>
      <c r="AAC50" s="637"/>
      <c r="AAD50" s="637"/>
      <c r="AAE50" s="637"/>
      <c r="AAF50" s="637"/>
      <c r="AAG50" s="637"/>
      <c r="AAH50" s="637"/>
      <c r="AAI50" s="637"/>
      <c r="AAJ50" s="637"/>
      <c r="AAK50" s="637"/>
      <c r="AAL50" s="637"/>
      <c r="AAM50" s="637"/>
      <c r="AAN50" s="637"/>
      <c r="AAO50" s="637"/>
      <c r="AAP50" s="637"/>
      <c r="AAQ50" s="637"/>
      <c r="AAR50" s="637"/>
      <c r="AAS50" s="637"/>
      <c r="AAT50" s="637"/>
      <c r="AAU50" s="637"/>
      <c r="AAV50" s="637"/>
      <c r="AAW50" s="637"/>
      <c r="AAX50" s="637"/>
      <c r="AAY50" s="637"/>
      <c r="AAZ50" s="637"/>
      <c r="ABA50" s="637"/>
      <c r="ABB50" s="637"/>
      <c r="ABC50" s="637"/>
      <c r="ABD50" s="637"/>
      <c r="ABE50" s="637"/>
      <c r="ABF50" s="637"/>
      <c r="ABG50" s="637"/>
      <c r="ABH50" s="637"/>
      <c r="ABI50" s="637"/>
      <c r="ABJ50" s="637"/>
      <c r="ABK50" s="637"/>
      <c r="ABL50" s="637"/>
      <c r="ABM50" s="637"/>
      <c r="ABN50" s="637"/>
      <c r="ABO50" s="637"/>
      <c r="ABP50" s="637"/>
      <c r="ABQ50" s="637"/>
      <c r="ABR50" s="637"/>
      <c r="ABS50" s="637"/>
      <c r="ABT50" s="637"/>
      <c r="ABU50" s="637"/>
      <c r="ABV50" s="637"/>
      <c r="ABW50" s="637"/>
      <c r="ABX50" s="637"/>
      <c r="ABY50" s="637"/>
      <c r="ABZ50" s="637"/>
      <c r="ACA50" s="637"/>
      <c r="ACB50" s="637"/>
      <c r="ACC50" s="637"/>
      <c r="ACD50" s="637"/>
      <c r="ACE50" s="637"/>
      <c r="ACF50" s="637"/>
      <c r="ACG50" s="637"/>
      <c r="ACH50" s="637"/>
      <c r="ACI50" s="637"/>
      <c r="ACJ50" s="637"/>
      <c r="ACK50" s="637"/>
      <c r="ACL50" s="637"/>
      <c r="ACM50" s="637"/>
      <c r="ACN50" s="637"/>
      <c r="ACO50" s="637"/>
      <c r="ACP50" s="637"/>
      <c r="ACQ50" s="637"/>
      <c r="ACR50" s="637"/>
      <c r="ACS50" s="637"/>
      <c r="ACT50" s="637"/>
      <c r="ACU50" s="637"/>
      <c r="ACV50" s="637"/>
      <c r="ACW50" s="637"/>
      <c r="ACX50" s="637"/>
      <c r="ACY50" s="637"/>
      <c r="ACZ50" s="637"/>
      <c r="ADA50" s="637"/>
      <c r="ADB50" s="637"/>
      <c r="ADC50" s="637"/>
      <c r="ADD50" s="637"/>
      <c r="ADE50" s="637"/>
      <c r="ADF50" s="637"/>
      <c r="ADG50" s="637"/>
      <c r="ADH50" s="637"/>
      <c r="ADI50" s="637"/>
      <c r="ADJ50" s="637"/>
      <c r="ADK50" s="637"/>
      <c r="ADL50" s="637"/>
      <c r="ADM50" s="637"/>
      <c r="ADN50" s="637"/>
      <c r="ADO50" s="637"/>
      <c r="ADP50" s="637"/>
      <c r="ADQ50" s="637"/>
      <c r="ADR50" s="637"/>
      <c r="ADS50" s="637"/>
      <c r="ADT50" s="637"/>
      <c r="ADU50" s="637"/>
      <c r="ADV50" s="637"/>
      <c r="ADW50" s="637"/>
      <c r="ADX50" s="637"/>
      <c r="ADY50" s="637"/>
      <c r="ADZ50" s="637"/>
      <c r="AEA50" s="637"/>
      <c r="AEB50" s="637"/>
      <c r="AEC50" s="637"/>
      <c r="AED50" s="637"/>
      <c r="AEE50" s="637"/>
      <c r="AEF50" s="637"/>
      <c r="AEG50" s="637"/>
      <c r="AEH50" s="637"/>
      <c r="AEI50" s="637"/>
      <c r="AEJ50" s="637"/>
      <c r="AEK50" s="637"/>
      <c r="AEL50" s="637"/>
      <c r="AEM50" s="637"/>
      <c r="AEN50" s="637"/>
      <c r="AEO50" s="637"/>
      <c r="AEP50" s="637"/>
      <c r="AEQ50" s="637"/>
      <c r="AER50" s="637"/>
      <c r="AES50" s="637"/>
      <c r="AET50" s="637"/>
      <c r="AEU50" s="637"/>
      <c r="AEV50" s="637"/>
      <c r="AEW50" s="637"/>
      <c r="AEX50" s="637"/>
      <c r="AEY50" s="637"/>
      <c r="AEZ50" s="637"/>
      <c r="AFA50" s="637"/>
      <c r="AFB50" s="637"/>
      <c r="AFC50" s="637"/>
      <c r="AFD50" s="637"/>
      <c r="AFE50" s="637"/>
      <c r="AFF50" s="637"/>
      <c r="AFG50" s="637"/>
      <c r="AFH50" s="637"/>
      <c r="AFI50" s="637"/>
      <c r="AFJ50" s="637"/>
      <c r="AFK50" s="637"/>
      <c r="AFL50" s="637"/>
      <c r="AFM50" s="637"/>
      <c r="AFN50" s="637"/>
      <c r="AFO50" s="637"/>
      <c r="AFP50" s="637"/>
      <c r="AFQ50" s="637"/>
      <c r="AFR50" s="637"/>
      <c r="AFS50" s="637"/>
      <c r="AFT50" s="637"/>
      <c r="AFU50" s="637"/>
      <c r="AFV50" s="637"/>
      <c r="AFW50" s="637"/>
      <c r="AFX50" s="637"/>
      <c r="AFY50" s="637"/>
      <c r="AFZ50" s="637"/>
      <c r="AGA50" s="637"/>
      <c r="AGB50" s="637"/>
      <c r="AGC50" s="637"/>
      <c r="AGD50" s="637"/>
      <c r="AGE50" s="637"/>
      <c r="AGF50" s="637"/>
      <c r="AGG50" s="637"/>
      <c r="AGH50" s="637"/>
      <c r="AGI50" s="637"/>
      <c r="AGJ50" s="637"/>
      <c r="AGK50" s="637"/>
      <c r="AGL50" s="637"/>
      <c r="AGM50" s="637"/>
      <c r="AGN50" s="637"/>
      <c r="AGO50" s="637"/>
      <c r="AGP50" s="637"/>
      <c r="AGQ50" s="637"/>
      <c r="AGR50" s="637"/>
      <c r="AGS50" s="637"/>
      <c r="AGT50" s="637"/>
      <c r="AGU50" s="637"/>
      <c r="AGV50" s="637"/>
      <c r="AGW50" s="637"/>
      <c r="AGX50" s="637"/>
      <c r="AGY50" s="637"/>
      <c r="AGZ50" s="637"/>
      <c r="AHA50" s="637"/>
      <c r="AHB50" s="637"/>
      <c r="AHC50" s="637"/>
      <c r="AHD50" s="637"/>
      <c r="AHE50" s="637"/>
      <c r="AHF50" s="637"/>
      <c r="AHG50" s="637"/>
      <c r="AHH50" s="637"/>
      <c r="AHI50" s="637"/>
      <c r="AHJ50" s="637"/>
      <c r="AHK50" s="637"/>
      <c r="AHL50" s="637"/>
      <c r="AHM50" s="637"/>
      <c r="AHN50" s="637"/>
      <c r="AHO50" s="637"/>
      <c r="AHP50" s="637"/>
      <c r="AHQ50" s="637"/>
      <c r="AHR50" s="637"/>
      <c r="AHS50" s="637"/>
      <c r="AHT50" s="637"/>
      <c r="AHU50" s="637"/>
      <c r="AHV50" s="637"/>
      <c r="AHW50" s="637"/>
      <c r="AHX50" s="637"/>
      <c r="AHY50" s="637"/>
      <c r="AHZ50" s="637"/>
      <c r="AIA50" s="637"/>
      <c r="AIB50" s="637"/>
      <c r="AIC50" s="637"/>
      <c r="AID50" s="637"/>
      <c r="AIE50" s="637"/>
      <c r="AIF50" s="637"/>
      <c r="AIG50" s="637"/>
      <c r="AIH50" s="637"/>
      <c r="AII50" s="637"/>
      <c r="AIJ50" s="637"/>
      <c r="AIK50" s="637"/>
      <c r="AIL50" s="637"/>
      <c r="AIM50" s="637"/>
      <c r="AIN50" s="637"/>
      <c r="AIO50" s="637"/>
      <c r="AIP50" s="637"/>
      <c r="AIQ50" s="637"/>
      <c r="AIR50" s="637"/>
      <c r="AIS50" s="637"/>
      <c r="AIT50" s="637"/>
      <c r="AIU50" s="637"/>
      <c r="AIV50" s="637"/>
      <c r="AIW50" s="637"/>
      <c r="AIX50" s="637"/>
      <c r="AIY50" s="637"/>
      <c r="AIZ50" s="637"/>
      <c r="AJA50" s="637"/>
      <c r="AJB50" s="637"/>
      <c r="AJC50" s="637"/>
      <c r="AJD50" s="637"/>
      <c r="AJE50" s="637"/>
      <c r="AJF50" s="637"/>
      <c r="AJG50" s="637"/>
      <c r="AJH50" s="637"/>
      <c r="AJI50" s="637"/>
      <c r="AJJ50" s="637"/>
      <c r="AJK50" s="637"/>
      <c r="AJL50" s="637"/>
      <c r="AJM50" s="637"/>
      <c r="AJN50" s="637"/>
      <c r="AJO50" s="637"/>
      <c r="AJP50" s="637"/>
      <c r="AJQ50" s="637"/>
      <c r="AJR50" s="637"/>
      <c r="AJS50" s="637"/>
      <c r="AJT50" s="637"/>
      <c r="AJU50" s="637"/>
      <c r="AJV50" s="637"/>
      <c r="AJW50" s="637"/>
      <c r="AJX50" s="637"/>
      <c r="AJY50" s="637"/>
      <c r="AJZ50" s="637"/>
      <c r="AKA50" s="637"/>
      <c r="AKB50" s="637"/>
      <c r="AKC50" s="637"/>
      <c r="AKD50" s="637"/>
      <c r="AKE50" s="637"/>
      <c r="AKF50" s="637"/>
      <c r="AKG50" s="637"/>
      <c r="AKH50" s="637"/>
      <c r="AKI50" s="637"/>
      <c r="AKJ50" s="637"/>
      <c r="AKK50" s="637"/>
      <c r="AKL50" s="637"/>
      <c r="AKM50" s="637"/>
      <c r="AKN50" s="637"/>
      <c r="AKO50" s="637"/>
      <c r="AKP50" s="637"/>
      <c r="AKQ50" s="637"/>
      <c r="AKR50" s="637"/>
      <c r="AKS50" s="637"/>
      <c r="AKT50" s="637"/>
      <c r="AKU50" s="637"/>
      <c r="AKV50" s="637"/>
      <c r="AKW50" s="637"/>
      <c r="AKX50" s="637"/>
      <c r="AKY50" s="637"/>
      <c r="AKZ50" s="637"/>
      <c r="ALA50" s="637"/>
      <c r="ALB50" s="637"/>
      <c r="ALC50" s="637"/>
      <c r="ALD50" s="637"/>
      <c r="ALE50" s="637"/>
      <c r="ALF50" s="637"/>
      <c r="ALG50" s="637"/>
      <c r="ALH50" s="637"/>
      <c r="ALI50" s="637"/>
      <c r="ALJ50" s="637"/>
      <c r="ALK50" s="637"/>
      <c r="ALL50" s="637"/>
      <c r="ALM50" s="637"/>
      <c r="ALN50" s="637"/>
      <c r="ALO50" s="637"/>
      <c r="ALP50" s="637"/>
      <c r="ALQ50" s="637"/>
      <c r="ALR50" s="637"/>
      <c r="ALS50" s="637"/>
      <c r="ALT50" s="637"/>
      <c r="ALU50" s="637"/>
      <c r="ALV50" s="637"/>
      <c r="ALW50" s="637"/>
      <c r="ALX50" s="637"/>
      <c r="ALY50" s="637"/>
      <c r="ALZ50" s="637"/>
      <c r="AMA50" s="637"/>
      <c r="AMB50" s="637"/>
      <c r="AMC50" s="637"/>
      <c r="AMD50" s="637"/>
      <c r="AME50" s="637"/>
      <c r="AMF50" s="637"/>
      <c r="AMG50" s="637"/>
      <c r="AMH50" s="637"/>
      <c r="AMI50" s="637"/>
      <c r="AMJ50" s="637"/>
    </row>
    <row r="51" spans="1:1024" s="638" customFormat="1" ht="12.75" hidden="1">
      <c r="A51" s="984"/>
      <c r="B51" s="985"/>
      <c r="C51" s="986"/>
      <c r="D51" s="988"/>
      <c r="E51" s="989"/>
      <c r="F51" s="989">
        <f t="shared" si="3"/>
        <v>232</v>
      </c>
      <c r="G51" s="990">
        <v>232</v>
      </c>
      <c r="H51" s="995">
        <v>0</v>
      </c>
      <c r="I51" s="990"/>
      <c r="J51" s="990"/>
      <c r="K51" s="990"/>
      <c r="L51" s="990"/>
      <c r="M51" s="990"/>
      <c r="N51" s="990"/>
      <c r="O51" s="990"/>
      <c r="P51" s="990"/>
      <c r="Q51" s="990"/>
      <c r="R51" s="991"/>
      <c r="S51" s="637"/>
      <c r="T51" s="637"/>
      <c r="U51" s="637"/>
      <c r="V51" s="637"/>
      <c r="W51" s="637"/>
      <c r="X51" s="637"/>
      <c r="Y51" s="637"/>
      <c r="Z51" s="637"/>
      <c r="AA51" s="637"/>
      <c r="AB51" s="637"/>
      <c r="AC51" s="637"/>
      <c r="AD51" s="637"/>
      <c r="AE51" s="637"/>
      <c r="AF51" s="637"/>
      <c r="AG51" s="637"/>
      <c r="AH51" s="637"/>
      <c r="AI51" s="637"/>
      <c r="AJ51" s="637"/>
      <c r="AK51" s="637"/>
      <c r="AL51" s="637"/>
      <c r="AM51" s="637"/>
      <c r="AN51" s="637"/>
      <c r="AO51" s="637"/>
      <c r="AP51" s="637"/>
      <c r="AQ51" s="637"/>
      <c r="AR51" s="637"/>
      <c r="AS51" s="637"/>
      <c r="AT51" s="637"/>
      <c r="AU51" s="637"/>
      <c r="AV51" s="637"/>
      <c r="AW51" s="637"/>
      <c r="AX51" s="637"/>
      <c r="AY51" s="637"/>
      <c r="AZ51" s="637"/>
      <c r="BA51" s="637"/>
      <c r="BB51" s="637"/>
      <c r="BC51" s="637"/>
      <c r="BD51" s="637"/>
      <c r="BE51" s="637"/>
      <c r="BF51" s="637"/>
      <c r="BG51" s="637"/>
      <c r="BH51" s="637"/>
      <c r="BI51" s="637"/>
      <c r="BJ51" s="637"/>
      <c r="BK51" s="637"/>
      <c r="BL51" s="637"/>
      <c r="BM51" s="637"/>
      <c r="BN51" s="637"/>
      <c r="BO51" s="637"/>
      <c r="BP51" s="637"/>
      <c r="BQ51" s="637"/>
      <c r="BR51" s="637"/>
      <c r="BS51" s="637"/>
      <c r="BT51" s="637"/>
      <c r="BU51" s="637"/>
      <c r="BV51" s="637"/>
      <c r="BW51" s="637"/>
      <c r="BX51" s="637"/>
      <c r="BY51" s="637"/>
      <c r="BZ51" s="637"/>
      <c r="CA51" s="637"/>
      <c r="CB51" s="637"/>
      <c r="CC51" s="637"/>
      <c r="CD51" s="637"/>
      <c r="CE51" s="637"/>
      <c r="CF51" s="637"/>
      <c r="CG51" s="637"/>
      <c r="CH51" s="637"/>
      <c r="CI51" s="637"/>
      <c r="CJ51" s="637"/>
      <c r="CK51" s="637"/>
      <c r="CL51" s="637"/>
      <c r="CM51" s="637"/>
      <c r="CN51" s="637"/>
      <c r="CO51" s="637"/>
      <c r="CP51" s="637"/>
      <c r="CQ51" s="637"/>
      <c r="CR51" s="637"/>
      <c r="CS51" s="637"/>
      <c r="CT51" s="637"/>
      <c r="CU51" s="637"/>
      <c r="CV51" s="637"/>
      <c r="CW51" s="637"/>
      <c r="CX51" s="637"/>
      <c r="CY51" s="637"/>
      <c r="CZ51" s="637"/>
      <c r="DA51" s="637"/>
      <c r="DB51" s="637"/>
      <c r="DC51" s="637"/>
      <c r="DD51" s="637"/>
      <c r="DE51" s="637"/>
      <c r="DF51" s="637"/>
      <c r="DG51" s="637"/>
      <c r="DH51" s="637"/>
      <c r="DI51" s="637"/>
      <c r="DJ51" s="637"/>
      <c r="DK51" s="637"/>
      <c r="DL51" s="637"/>
      <c r="DM51" s="637"/>
      <c r="DN51" s="637"/>
      <c r="DO51" s="637"/>
      <c r="DP51" s="637"/>
      <c r="DQ51" s="637"/>
      <c r="DR51" s="637"/>
      <c r="DS51" s="637"/>
      <c r="DT51" s="637"/>
      <c r="DU51" s="637"/>
      <c r="DV51" s="637"/>
      <c r="DW51" s="637"/>
      <c r="DX51" s="637"/>
      <c r="DY51" s="637"/>
      <c r="DZ51" s="637"/>
      <c r="EA51" s="637"/>
      <c r="EB51" s="637"/>
      <c r="EC51" s="637"/>
      <c r="ED51" s="637"/>
      <c r="EE51" s="637"/>
      <c r="EF51" s="637"/>
      <c r="EG51" s="637"/>
      <c r="EH51" s="637"/>
      <c r="EI51" s="637"/>
      <c r="EJ51" s="637"/>
      <c r="EK51" s="637"/>
      <c r="EL51" s="637"/>
      <c r="EM51" s="637"/>
      <c r="EN51" s="637"/>
      <c r="EO51" s="637"/>
      <c r="EP51" s="637"/>
      <c r="EQ51" s="637"/>
      <c r="ER51" s="637"/>
      <c r="ES51" s="637"/>
      <c r="ET51" s="637"/>
      <c r="EU51" s="637"/>
      <c r="EV51" s="637"/>
      <c r="EW51" s="637"/>
      <c r="EX51" s="637"/>
      <c r="EY51" s="637"/>
      <c r="EZ51" s="637"/>
      <c r="FA51" s="637"/>
      <c r="FB51" s="637"/>
      <c r="FC51" s="637"/>
      <c r="FD51" s="637"/>
      <c r="FE51" s="637"/>
      <c r="FF51" s="637"/>
      <c r="FG51" s="637"/>
      <c r="FH51" s="637"/>
      <c r="FI51" s="637"/>
      <c r="FJ51" s="637"/>
      <c r="FK51" s="637"/>
      <c r="FL51" s="637"/>
      <c r="FM51" s="637"/>
      <c r="FN51" s="637"/>
      <c r="FO51" s="637"/>
      <c r="FP51" s="637"/>
      <c r="FQ51" s="637"/>
      <c r="FR51" s="637"/>
      <c r="FS51" s="637"/>
      <c r="FT51" s="637"/>
      <c r="FU51" s="637"/>
      <c r="FV51" s="637"/>
      <c r="FW51" s="637"/>
      <c r="FX51" s="637"/>
      <c r="FY51" s="637"/>
      <c r="FZ51" s="637"/>
      <c r="GA51" s="637"/>
      <c r="GB51" s="637"/>
      <c r="GC51" s="637"/>
      <c r="GD51" s="637"/>
      <c r="GE51" s="637"/>
      <c r="GF51" s="637"/>
      <c r="GG51" s="637"/>
      <c r="GH51" s="637"/>
      <c r="GI51" s="637"/>
      <c r="GJ51" s="637"/>
      <c r="GK51" s="637"/>
      <c r="GL51" s="637"/>
      <c r="GM51" s="637"/>
      <c r="GN51" s="637"/>
      <c r="GO51" s="637"/>
      <c r="GP51" s="637"/>
      <c r="GQ51" s="637"/>
      <c r="GR51" s="637"/>
      <c r="GS51" s="637"/>
      <c r="GT51" s="637"/>
      <c r="GU51" s="637"/>
      <c r="GV51" s="637"/>
      <c r="GW51" s="637"/>
      <c r="GX51" s="637"/>
      <c r="GY51" s="637"/>
      <c r="GZ51" s="637"/>
      <c r="HA51" s="637"/>
      <c r="HB51" s="637"/>
      <c r="HC51" s="637"/>
      <c r="HD51" s="637"/>
      <c r="HE51" s="637"/>
      <c r="HF51" s="637"/>
      <c r="HG51" s="637"/>
      <c r="HH51" s="637"/>
      <c r="HI51" s="637"/>
      <c r="HJ51" s="637"/>
      <c r="HK51" s="637"/>
      <c r="HL51" s="637"/>
      <c r="HM51" s="637"/>
      <c r="HN51" s="637"/>
      <c r="HO51" s="637"/>
      <c r="HP51" s="637"/>
      <c r="HQ51" s="637"/>
      <c r="HR51" s="637"/>
      <c r="HS51" s="637"/>
      <c r="HT51" s="637"/>
      <c r="HU51" s="637"/>
      <c r="HV51" s="637"/>
      <c r="HW51" s="637"/>
      <c r="HX51" s="637"/>
      <c r="HY51" s="637"/>
      <c r="HZ51" s="637"/>
      <c r="IA51" s="637"/>
      <c r="IB51" s="637"/>
      <c r="IC51" s="637"/>
      <c r="ID51" s="637"/>
      <c r="IE51" s="637"/>
      <c r="IF51" s="637"/>
      <c r="IG51" s="637"/>
      <c r="IH51" s="637"/>
      <c r="II51" s="637"/>
      <c r="IJ51" s="637"/>
      <c r="IK51" s="637"/>
      <c r="IL51" s="637"/>
      <c r="IM51" s="637"/>
      <c r="IN51" s="637"/>
      <c r="IO51" s="637"/>
      <c r="IP51" s="637"/>
      <c r="IQ51" s="637"/>
      <c r="IR51" s="637"/>
      <c r="IS51" s="637"/>
      <c r="IT51" s="637"/>
      <c r="IU51" s="637"/>
      <c r="IV51" s="637"/>
      <c r="IW51" s="637"/>
      <c r="IX51" s="637"/>
      <c r="IY51" s="637"/>
      <c r="IZ51" s="637"/>
      <c r="JA51" s="637"/>
      <c r="JB51" s="637"/>
      <c r="JC51" s="637"/>
      <c r="JD51" s="637"/>
      <c r="JE51" s="637"/>
      <c r="JF51" s="637"/>
      <c r="JG51" s="637"/>
      <c r="JH51" s="637"/>
      <c r="JI51" s="637"/>
      <c r="JJ51" s="637"/>
      <c r="JK51" s="637"/>
      <c r="JL51" s="637"/>
      <c r="JM51" s="637"/>
      <c r="JN51" s="637"/>
      <c r="JO51" s="637"/>
      <c r="JP51" s="637"/>
      <c r="JQ51" s="637"/>
      <c r="JR51" s="637"/>
      <c r="JS51" s="637"/>
      <c r="JT51" s="637"/>
      <c r="JU51" s="637"/>
      <c r="JV51" s="637"/>
      <c r="JW51" s="637"/>
      <c r="JX51" s="637"/>
      <c r="JY51" s="637"/>
      <c r="JZ51" s="637"/>
      <c r="KA51" s="637"/>
      <c r="KB51" s="637"/>
      <c r="KC51" s="637"/>
      <c r="KD51" s="637"/>
      <c r="KE51" s="637"/>
      <c r="KF51" s="637"/>
      <c r="KG51" s="637"/>
      <c r="KH51" s="637"/>
      <c r="KI51" s="637"/>
      <c r="KJ51" s="637"/>
      <c r="KK51" s="637"/>
      <c r="KL51" s="637"/>
      <c r="KM51" s="637"/>
      <c r="KN51" s="637"/>
      <c r="KO51" s="637"/>
      <c r="KP51" s="637"/>
      <c r="KQ51" s="637"/>
      <c r="KR51" s="637"/>
      <c r="KS51" s="637"/>
      <c r="KT51" s="637"/>
      <c r="KU51" s="637"/>
      <c r="KV51" s="637"/>
      <c r="KW51" s="637"/>
      <c r="KX51" s="637"/>
      <c r="KY51" s="637"/>
      <c r="KZ51" s="637"/>
      <c r="LA51" s="637"/>
      <c r="LB51" s="637"/>
      <c r="LC51" s="637"/>
      <c r="LD51" s="637"/>
      <c r="LE51" s="637"/>
      <c r="LF51" s="637"/>
      <c r="LG51" s="637"/>
      <c r="LH51" s="637"/>
      <c r="LI51" s="637"/>
      <c r="LJ51" s="637"/>
      <c r="LK51" s="637"/>
      <c r="LL51" s="637"/>
      <c r="LM51" s="637"/>
      <c r="LN51" s="637"/>
      <c r="LO51" s="637"/>
      <c r="LP51" s="637"/>
      <c r="LQ51" s="637"/>
      <c r="LR51" s="637"/>
      <c r="LS51" s="637"/>
      <c r="LT51" s="637"/>
      <c r="LU51" s="637"/>
      <c r="LV51" s="637"/>
      <c r="LW51" s="637"/>
      <c r="LX51" s="637"/>
      <c r="LY51" s="637"/>
      <c r="LZ51" s="637"/>
      <c r="MA51" s="637"/>
      <c r="MB51" s="637"/>
      <c r="MC51" s="637"/>
      <c r="MD51" s="637"/>
      <c r="ME51" s="637"/>
      <c r="MF51" s="637"/>
      <c r="MG51" s="637"/>
      <c r="MH51" s="637"/>
      <c r="MI51" s="637"/>
      <c r="MJ51" s="637"/>
      <c r="MK51" s="637"/>
      <c r="ML51" s="637"/>
      <c r="MM51" s="637"/>
      <c r="MN51" s="637"/>
      <c r="MO51" s="637"/>
      <c r="MP51" s="637"/>
      <c r="MQ51" s="637"/>
      <c r="MR51" s="637"/>
      <c r="MS51" s="637"/>
      <c r="MT51" s="637"/>
      <c r="MU51" s="637"/>
      <c r="MV51" s="637"/>
      <c r="MW51" s="637"/>
      <c r="MX51" s="637"/>
      <c r="MY51" s="637"/>
      <c r="MZ51" s="637"/>
      <c r="NA51" s="637"/>
      <c r="NB51" s="637"/>
      <c r="NC51" s="637"/>
      <c r="ND51" s="637"/>
      <c r="NE51" s="637"/>
      <c r="NF51" s="637"/>
      <c r="NG51" s="637"/>
      <c r="NH51" s="637"/>
      <c r="NI51" s="637"/>
      <c r="NJ51" s="637"/>
      <c r="NK51" s="637"/>
      <c r="NL51" s="637"/>
      <c r="NM51" s="637"/>
      <c r="NN51" s="637"/>
      <c r="NO51" s="637"/>
      <c r="NP51" s="637"/>
      <c r="NQ51" s="637"/>
      <c r="NR51" s="637"/>
      <c r="NS51" s="637"/>
      <c r="NT51" s="637"/>
      <c r="NU51" s="637"/>
      <c r="NV51" s="637"/>
      <c r="NW51" s="637"/>
      <c r="NX51" s="637"/>
      <c r="NY51" s="637"/>
      <c r="NZ51" s="637"/>
      <c r="OA51" s="637"/>
      <c r="OB51" s="637"/>
      <c r="OC51" s="637"/>
      <c r="OD51" s="637"/>
      <c r="OE51" s="637"/>
      <c r="OF51" s="637"/>
      <c r="OG51" s="637"/>
      <c r="OH51" s="637"/>
      <c r="OI51" s="637"/>
      <c r="OJ51" s="637"/>
      <c r="OK51" s="637"/>
      <c r="OL51" s="637"/>
      <c r="OM51" s="637"/>
      <c r="ON51" s="637"/>
      <c r="OO51" s="637"/>
      <c r="OP51" s="637"/>
      <c r="OQ51" s="637"/>
      <c r="OR51" s="637"/>
      <c r="OS51" s="637"/>
      <c r="OT51" s="637"/>
      <c r="OU51" s="637"/>
      <c r="OV51" s="637"/>
      <c r="OW51" s="637"/>
      <c r="OX51" s="637"/>
      <c r="OY51" s="637"/>
      <c r="OZ51" s="637"/>
      <c r="PA51" s="637"/>
      <c r="PB51" s="637"/>
      <c r="PC51" s="637"/>
      <c r="PD51" s="637"/>
      <c r="PE51" s="637"/>
      <c r="PF51" s="637"/>
      <c r="PG51" s="637"/>
      <c r="PH51" s="637"/>
      <c r="PI51" s="637"/>
      <c r="PJ51" s="637"/>
      <c r="PK51" s="637"/>
      <c r="PL51" s="637"/>
      <c r="PM51" s="637"/>
      <c r="PN51" s="637"/>
      <c r="PO51" s="637"/>
      <c r="PP51" s="637"/>
      <c r="PQ51" s="637"/>
      <c r="PR51" s="637"/>
      <c r="PS51" s="637"/>
      <c r="PT51" s="637"/>
      <c r="PU51" s="637"/>
      <c r="PV51" s="637"/>
      <c r="PW51" s="637"/>
      <c r="PX51" s="637"/>
      <c r="PY51" s="637"/>
      <c r="PZ51" s="637"/>
      <c r="QA51" s="637"/>
      <c r="QB51" s="637"/>
      <c r="QC51" s="637"/>
      <c r="QD51" s="637"/>
      <c r="QE51" s="637"/>
      <c r="QF51" s="637"/>
      <c r="QG51" s="637"/>
      <c r="QH51" s="637"/>
      <c r="QI51" s="637"/>
      <c r="QJ51" s="637"/>
      <c r="QK51" s="637"/>
      <c r="QL51" s="637"/>
      <c r="QM51" s="637"/>
      <c r="QN51" s="637"/>
      <c r="QO51" s="637"/>
      <c r="QP51" s="637"/>
      <c r="QQ51" s="637"/>
      <c r="QR51" s="637"/>
      <c r="QS51" s="637"/>
      <c r="QT51" s="637"/>
      <c r="QU51" s="637"/>
      <c r="QV51" s="637"/>
      <c r="QW51" s="637"/>
      <c r="QX51" s="637"/>
      <c r="QY51" s="637"/>
      <c r="QZ51" s="637"/>
      <c r="RA51" s="637"/>
      <c r="RB51" s="637"/>
      <c r="RC51" s="637"/>
      <c r="RD51" s="637"/>
      <c r="RE51" s="637"/>
      <c r="RF51" s="637"/>
      <c r="RG51" s="637"/>
      <c r="RH51" s="637"/>
      <c r="RI51" s="637"/>
      <c r="RJ51" s="637"/>
      <c r="RK51" s="637"/>
      <c r="RL51" s="637"/>
      <c r="RM51" s="637"/>
      <c r="RN51" s="637"/>
      <c r="RO51" s="637"/>
      <c r="RP51" s="637"/>
      <c r="RQ51" s="637"/>
      <c r="RR51" s="637"/>
      <c r="RS51" s="637"/>
      <c r="RT51" s="637"/>
      <c r="RU51" s="637"/>
      <c r="RV51" s="637"/>
      <c r="RW51" s="637"/>
      <c r="RX51" s="637"/>
      <c r="RY51" s="637"/>
      <c r="RZ51" s="637"/>
      <c r="SA51" s="637"/>
      <c r="SB51" s="637"/>
      <c r="SC51" s="637"/>
      <c r="SD51" s="637"/>
      <c r="SE51" s="637"/>
      <c r="SF51" s="637"/>
      <c r="SG51" s="637"/>
      <c r="SH51" s="637"/>
      <c r="SI51" s="637"/>
      <c r="SJ51" s="637"/>
      <c r="SK51" s="637"/>
      <c r="SL51" s="637"/>
      <c r="SM51" s="637"/>
      <c r="SN51" s="637"/>
      <c r="SO51" s="637"/>
      <c r="SP51" s="637"/>
      <c r="SQ51" s="637"/>
      <c r="SR51" s="637"/>
      <c r="SS51" s="637"/>
      <c r="ST51" s="637"/>
      <c r="SU51" s="637"/>
      <c r="SV51" s="637"/>
      <c r="SW51" s="637"/>
      <c r="SX51" s="637"/>
      <c r="SY51" s="637"/>
      <c r="SZ51" s="637"/>
      <c r="TA51" s="637"/>
      <c r="TB51" s="637"/>
      <c r="TC51" s="637"/>
      <c r="TD51" s="637"/>
      <c r="TE51" s="637"/>
      <c r="TF51" s="637"/>
      <c r="TG51" s="637"/>
      <c r="TH51" s="637"/>
      <c r="TI51" s="637"/>
      <c r="TJ51" s="637"/>
      <c r="TK51" s="637"/>
      <c r="TL51" s="637"/>
      <c r="TM51" s="637"/>
      <c r="TN51" s="637"/>
      <c r="TO51" s="637"/>
      <c r="TP51" s="637"/>
      <c r="TQ51" s="637"/>
      <c r="TR51" s="637"/>
      <c r="TS51" s="637"/>
      <c r="TT51" s="637"/>
      <c r="TU51" s="637"/>
      <c r="TV51" s="637"/>
      <c r="TW51" s="637"/>
      <c r="TX51" s="637"/>
      <c r="TY51" s="637"/>
      <c r="TZ51" s="637"/>
      <c r="UA51" s="637"/>
      <c r="UB51" s="637"/>
      <c r="UC51" s="637"/>
      <c r="UD51" s="637"/>
      <c r="UE51" s="637"/>
      <c r="UF51" s="637"/>
      <c r="UG51" s="637"/>
      <c r="UH51" s="637"/>
      <c r="UI51" s="637"/>
      <c r="UJ51" s="637"/>
      <c r="UK51" s="637"/>
      <c r="UL51" s="637"/>
      <c r="UM51" s="637"/>
      <c r="UN51" s="637"/>
      <c r="UO51" s="637"/>
      <c r="UP51" s="637"/>
      <c r="UQ51" s="637"/>
      <c r="UR51" s="637"/>
      <c r="US51" s="637"/>
      <c r="UT51" s="637"/>
      <c r="UU51" s="637"/>
      <c r="UV51" s="637"/>
      <c r="UW51" s="637"/>
      <c r="UX51" s="637"/>
      <c r="UY51" s="637"/>
      <c r="UZ51" s="637"/>
      <c r="VA51" s="637"/>
      <c r="VB51" s="637"/>
      <c r="VC51" s="637"/>
      <c r="VD51" s="637"/>
      <c r="VE51" s="637"/>
      <c r="VF51" s="637"/>
      <c r="VG51" s="637"/>
      <c r="VH51" s="637"/>
      <c r="VI51" s="637"/>
      <c r="VJ51" s="637"/>
      <c r="VK51" s="637"/>
      <c r="VL51" s="637"/>
      <c r="VM51" s="637"/>
      <c r="VN51" s="637"/>
      <c r="VO51" s="637"/>
      <c r="VP51" s="637"/>
      <c r="VQ51" s="637"/>
      <c r="VR51" s="637"/>
      <c r="VS51" s="637"/>
      <c r="VT51" s="637"/>
      <c r="VU51" s="637"/>
      <c r="VV51" s="637"/>
      <c r="VW51" s="637"/>
      <c r="VX51" s="637"/>
      <c r="VY51" s="637"/>
      <c r="VZ51" s="637"/>
      <c r="WA51" s="637"/>
      <c r="WB51" s="637"/>
      <c r="WC51" s="637"/>
      <c r="WD51" s="637"/>
      <c r="WE51" s="637"/>
      <c r="WF51" s="637"/>
      <c r="WG51" s="637"/>
      <c r="WH51" s="637"/>
      <c r="WI51" s="637"/>
      <c r="WJ51" s="637"/>
      <c r="WK51" s="637"/>
      <c r="WL51" s="637"/>
      <c r="WM51" s="637"/>
      <c r="WN51" s="637"/>
      <c r="WO51" s="637"/>
      <c r="WP51" s="637"/>
      <c r="WQ51" s="637"/>
      <c r="WR51" s="637"/>
      <c r="WS51" s="637"/>
      <c r="WT51" s="637"/>
      <c r="WU51" s="637"/>
      <c r="WV51" s="637"/>
      <c r="WW51" s="637"/>
      <c r="WX51" s="637"/>
      <c r="WY51" s="637"/>
      <c r="WZ51" s="637"/>
      <c r="XA51" s="637"/>
      <c r="XB51" s="637"/>
      <c r="XC51" s="637"/>
      <c r="XD51" s="637"/>
      <c r="XE51" s="637"/>
      <c r="XF51" s="637"/>
      <c r="XG51" s="637"/>
      <c r="XH51" s="637"/>
      <c r="XI51" s="637"/>
      <c r="XJ51" s="637"/>
      <c r="XK51" s="637"/>
      <c r="XL51" s="637"/>
      <c r="XM51" s="637"/>
      <c r="XN51" s="637"/>
      <c r="XO51" s="637"/>
      <c r="XP51" s="637"/>
      <c r="XQ51" s="637"/>
      <c r="XR51" s="637"/>
      <c r="XS51" s="637"/>
      <c r="XT51" s="637"/>
      <c r="XU51" s="637"/>
      <c r="XV51" s="637"/>
      <c r="XW51" s="637"/>
      <c r="XX51" s="637"/>
      <c r="XY51" s="637"/>
      <c r="XZ51" s="637"/>
      <c r="YA51" s="637"/>
      <c r="YB51" s="637"/>
      <c r="YC51" s="637"/>
      <c r="YD51" s="637"/>
      <c r="YE51" s="637"/>
      <c r="YF51" s="637"/>
      <c r="YG51" s="637"/>
      <c r="YH51" s="637"/>
      <c r="YI51" s="637"/>
      <c r="YJ51" s="637"/>
      <c r="YK51" s="637"/>
      <c r="YL51" s="637"/>
      <c r="YM51" s="637"/>
      <c r="YN51" s="637"/>
      <c r="YO51" s="637"/>
      <c r="YP51" s="637"/>
      <c r="YQ51" s="637"/>
      <c r="YR51" s="637"/>
      <c r="YS51" s="637"/>
      <c r="YT51" s="637"/>
      <c r="YU51" s="637"/>
      <c r="YV51" s="637"/>
      <c r="YW51" s="637"/>
      <c r="YX51" s="637"/>
      <c r="YY51" s="637"/>
      <c r="YZ51" s="637"/>
      <c r="ZA51" s="637"/>
      <c r="ZB51" s="637"/>
      <c r="ZC51" s="637"/>
      <c r="ZD51" s="637"/>
      <c r="ZE51" s="637"/>
      <c r="ZF51" s="637"/>
      <c r="ZG51" s="637"/>
      <c r="ZH51" s="637"/>
      <c r="ZI51" s="637"/>
      <c r="ZJ51" s="637"/>
      <c r="ZK51" s="637"/>
      <c r="ZL51" s="637"/>
      <c r="ZM51" s="637"/>
      <c r="ZN51" s="637"/>
      <c r="ZO51" s="637"/>
      <c r="ZP51" s="637"/>
      <c r="ZQ51" s="637"/>
      <c r="ZR51" s="637"/>
      <c r="ZS51" s="637"/>
      <c r="ZT51" s="637"/>
      <c r="ZU51" s="637"/>
      <c r="ZV51" s="637"/>
      <c r="ZW51" s="637"/>
      <c r="ZX51" s="637"/>
      <c r="ZY51" s="637"/>
      <c r="ZZ51" s="637"/>
      <c r="AAA51" s="637"/>
      <c r="AAB51" s="637"/>
      <c r="AAC51" s="637"/>
      <c r="AAD51" s="637"/>
      <c r="AAE51" s="637"/>
      <c r="AAF51" s="637"/>
      <c r="AAG51" s="637"/>
      <c r="AAH51" s="637"/>
      <c r="AAI51" s="637"/>
      <c r="AAJ51" s="637"/>
      <c r="AAK51" s="637"/>
      <c r="AAL51" s="637"/>
      <c r="AAM51" s="637"/>
      <c r="AAN51" s="637"/>
      <c r="AAO51" s="637"/>
      <c r="AAP51" s="637"/>
      <c r="AAQ51" s="637"/>
      <c r="AAR51" s="637"/>
      <c r="AAS51" s="637"/>
      <c r="AAT51" s="637"/>
      <c r="AAU51" s="637"/>
      <c r="AAV51" s="637"/>
      <c r="AAW51" s="637"/>
      <c r="AAX51" s="637"/>
      <c r="AAY51" s="637"/>
      <c r="AAZ51" s="637"/>
      <c r="ABA51" s="637"/>
      <c r="ABB51" s="637"/>
      <c r="ABC51" s="637"/>
      <c r="ABD51" s="637"/>
      <c r="ABE51" s="637"/>
      <c r="ABF51" s="637"/>
      <c r="ABG51" s="637"/>
      <c r="ABH51" s="637"/>
      <c r="ABI51" s="637"/>
      <c r="ABJ51" s="637"/>
      <c r="ABK51" s="637"/>
      <c r="ABL51" s="637"/>
      <c r="ABM51" s="637"/>
      <c r="ABN51" s="637"/>
      <c r="ABO51" s="637"/>
      <c r="ABP51" s="637"/>
      <c r="ABQ51" s="637"/>
      <c r="ABR51" s="637"/>
      <c r="ABS51" s="637"/>
      <c r="ABT51" s="637"/>
      <c r="ABU51" s="637"/>
      <c r="ABV51" s="637"/>
      <c r="ABW51" s="637"/>
      <c r="ABX51" s="637"/>
      <c r="ABY51" s="637"/>
      <c r="ABZ51" s="637"/>
      <c r="ACA51" s="637"/>
      <c r="ACB51" s="637"/>
      <c r="ACC51" s="637"/>
      <c r="ACD51" s="637"/>
      <c r="ACE51" s="637"/>
      <c r="ACF51" s="637"/>
      <c r="ACG51" s="637"/>
      <c r="ACH51" s="637"/>
      <c r="ACI51" s="637"/>
      <c r="ACJ51" s="637"/>
      <c r="ACK51" s="637"/>
      <c r="ACL51" s="637"/>
      <c r="ACM51" s="637"/>
      <c r="ACN51" s="637"/>
      <c r="ACO51" s="637"/>
      <c r="ACP51" s="637"/>
      <c r="ACQ51" s="637"/>
      <c r="ACR51" s="637"/>
      <c r="ACS51" s="637"/>
      <c r="ACT51" s="637"/>
      <c r="ACU51" s="637"/>
      <c r="ACV51" s="637"/>
      <c r="ACW51" s="637"/>
      <c r="ACX51" s="637"/>
      <c r="ACY51" s="637"/>
      <c r="ACZ51" s="637"/>
      <c r="ADA51" s="637"/>
      <c r="ADB51" s="637"/>
      <c r="ADC51" s="637"/>
      <c r="ADD51" s="637"/>
      <c r="ADE51" s="637"/>
      <c r="ADF51" s="637"/>
      <c r="ADG51" s="637"/>
      <c r="ADH51" s="637"/>
      <c r="ADI51" s="637"/>
      <c r="ADJ51" s="637"/>
      <c r="ADK51" s="637"/>
      <c r="ADL51" s="637"/>
      <c r="ADM51" s="637"/>
      <c r="ADN51" s="637"/>
      <c r="ADO51" s="637"/>
      <c r="ADP51" s="637"/>
      <c r="ADQ51" s="637"/>
      <c r="ADR51" s="637"/>
      <c r="ADS51" s="637"/>
      <c r="ADT51" s="637"/>
      <c r="ADU51" s="637"/>
      <c r="ADV51" s="637"/>
      <c r="ADW51" s="637"/>
      <c r="ADX51" s="637"/>
      <c r="ADY51" s="637"/>
      <c r="ADZ51" s="637"/>
      <c r="AEA51" s="637"/>
      <c r="AEB51" s="637"/>
      <c r="AEC51" s="637"/>
      <c r="AED51" s="637"/>
      <c r="AEE51" s="637"/>
      <c r="AEF51" s="637"/>
      <c r="AEG51" s="637"/>
      <c r="AEH51" s="637"/>
      <c r="AEI51" s="637"/>
      <c r="AEJ51" s="637"/>
      <c r="AEK51" s="637"/>
      <c r="AEL51" s="637"/>
      <c r="AEM51" s="637"/>
      <c r="AEN51" s="637"/>
      <c r="AEO51" s="637"/>
      <c r="AEP51" s="637"/>
      <c r="AEQ51" s="637"/>
      <c r="AER51" s="637"/>
      <c r="AES51" s="637"/>
      <c r="AET51" s="637"/>
      <c r="AEU51" s="637"/>
      <c r="AEV51" s="637"/>
      <c r="AEW51" s="637"/>
      <c r="AEX51" s="637"/>
      <c r="AEY51" s="637"/>
      <c r="AEZ51" s="637"/>
      <c r="AFA51" s="637"/>
      <c r="AFB51" s="637"/>
      <c r="AFC51" s="637"/>
      <c r="AFD51" s="637"/>
      <c r="AFE51" s="637"/>
      <c r="AFF51" s="637"/>
      <c r="AFG51" s="637"/>
      <c r="AFH51" s="637"/>
      <c r="AFI51" s="637"/>
      <c r="AFJ51" s="637"/>
      <c r="AFK51" s="637"/>
      <c r="AFL51" s="637"/>
      <c r="AFM51" s="637"/>
      <c r="AFN51" s="637"/>
      <c r="AFO51" s="637"/>
      <c r="AFP51" s="637"/>
      <c r="AFQ51" s="637"/>
      <c r="AFR51" s="637"/>
      <c r="AFS51" s="637"/>
      <c r="AFT51" s="637"/>
      <c r="AFU51" s="637"/>
      <c r="AFV51" s="637"/>
      <c r="AFW51" s="637"/>
      <c r="AFX51" s="637"/>
      <c r="AFY51" s="637"/>
      <c r="AFZ51" s="637"/>
      <c r="AGA51" s="637"/>
      <c r="AGB51" s="637"/>
      <c r="AGC51" s="637"/>
      <c r="AGD51" s="637"/>
      <c r="AGE51" s="637"/>
      <c r="AGF51" s="637"/>
      <c r="AGG51" s="637"/>
      <c r="AGH51" s="637"/>
      <c r="AGI51" s="637"/>
      <c r="AGJ51" s="637"/>
      <c r="AGK51" s="637"/>
      <c r="AGL51" s="637"/>
      <c r="AGM51" s="637"/>
      <c r="AGN51" s="637"/>
      <c r="AGO51" s="637"/>
      <c r="AGP51" s="637"/>
      <c r="AGQ51" s="637"/>
      <c r="AGR51" s="637"/>
      <c r="AGS51" s="637"/>
      <c r="AGT51" s="637"/>
      <c r="AGU51" s="637"/>
      <c r="AGV51" s="637"/>
      <c r="AGW51" s="637"/>
      <c r="AGX51" s="637"/>
      <c r="AGY51" s="637"/>
      <c r="AGZ51" s="637"/>
      <c r="AHA51" s="637"/>
      <c r="AHB51" s="637"/>
      <c r="AHC51" s="637"/>
      <c r="AHD51" s="637"/>
      <c r="AHE51" s="637"/>
      <c r="AHF51" s="637"/>
      <c r="AHG51" s="637"/>
      <c r="AHH51" s="637"/>
      <c r="AHI51" s="637"/>
      <c r="AHJ51" s="637"/>
      <c r="AHK51" s="637"/>
      <c r="AHL51" s="637"/>
      <c r="AHM51" s="637"/>
      <c r="AHN51" s="637"/>
      <c r="AHO51" s="637"/>
      <c r="AHP51" s="637"/>
      <c r="AHQ51" s="637"/>
      <c r="AHR51" s="637"/>
      <c r="AHS51" s="637"/>
      <c r="AHT51" s="637"/>
      <c r="AHU51" s="637"/>
      <c r="AHV51" s="637"/>
      <c r="AHW51" s="637"/>
      <c r="AHX51" s="637"/>
      <c r="AHY51" s="637"/>
      <c r="AHZ51" s="637"/>
      <c r="AIA51" s="637"/>
      <c r="AIB51" s="637"/>
      <c r="AIC51" s="637"/>
      <c r="AID51" s="637"/>
      <c r="AIE51" s="637"/>
      <c r="AIF51" s="637"/>
      <c r="AIG51" s="637"/>
      <c r="AIH51" s="637"/>
      <c r="AII51" s="637"/>
      <c r="AIJ51" s="637"/>
      <c r="AIK51" s="637"/>
      <c r="AIL51" s="637"/>
      <c r="AIM51" s="637"/>
      <c r="AIN51" s="637"/>
      <c r="AIO51" s="637"/>
      <c r="AIP51" s="637"/>
      <c r="AIQ51" s="637"/>
      <c r="AIR51" s="637"/>
      <c r="AIS51" s="637"/>
      <c r="AIT51" s="637"/>
      <c r="AIU51" s="637"/>
      <c r="AIV51" s="637"/>
      <c r="AIW51" s="637"/>
      <c r="AIX51" s="637"/>
      <c r="AIY51" s="637"/>
      <c r="AIZ51" s="637"/>
      <c r="AJA51" s="637"/>
      <c r="AJB51" s="637"/>
      <c r="AJC51" s="637"/>
      <c r="AJD51" s="637"/>
      <c r="AJE51" s="637"/>
      <c r="AJF51" s="637"/>
      <c r="AJG51" s="637"/>
      <c r="AJH51" s="637"/>
      <c r="AJI51" s="637"/>
      <c r="AJJ51" s="637"/>
      <c r="AJK51" s="637"/>
      <c r="AJL51" s="637"/>
      <c r="AJM51" s="637"/>
      <c r="AJN51" s="637"/>
      <c r="AJO51" s="637"/>
      <c r="AJP51" s="637"/>
      <c r="AJQ51" s="637"/>
      <c r="AJR51" s="637"/>
      <c r="AJS51" s="637"/>
      <c r="AJT51" s="637"/>
      <c r="AJU51" s="637"/>
      <c r="AJV51" s="637"/>
      <c r="AJW51" s="637"/>
      <c r="AJX51" s="637"/>
      <c r="AJY51" s="637"/>
      <c r="AJZ51" s="637"/>
      <c r="AKA51" s="637"/>
      <c r="AKB51" s="637"/>
      <c r="AKC51" s="637"/>
      <c r="AKD51" s="637"/>
      <c r="AKE51" s="637"/>
      <c r="AKF51" s="637"/>
      <c r="AKG51" s="637"/>
      <c r="AKH51" s="637"/>
      <c r="AKI51" s="637"/>
      <c r="AKJ51" s="637"/>
      <c r="AKK51" s="637"/>
      <c r="AKL51" s="637"/>
      <c r="AKM51" s="637"/>
      <c r="AKN51" s="637"/>
      <c r="AKO51" s="637"/>
      <c r="AKP51" s="637"/>
      <c r="AKQ51" s="637"/>
      <c r="AKR51" s="637"/>
      <c r="AKS51" s="637"/>
      <c r="AKT51" s="637"/>
      <c r="AKU51" s="637"/>
      <c r="AKV51" s="637"/>
      <c r="AKW51" s="637"/>
      <c r="AKX51" s="637"/>
      <c r="AKY51" s="637"/>
      <c r="AKZ51" s="637"/>
      <c r="ALA51" s="637"/>
      <c r="ALB51" s="637"/>
      <c r="ALC51" s="637"/>
      <c r="ALD51" s="637"/>
      <c r="ALE51" s="637"/>
      <c r="ALF51" s="637"/>
      <c r="ALG51" s="637"/>
      <c r="ALH51" s="637"/>
      <c r="ALI51" s="637"/>
      <c r="ALJ51" s="637"/>
      <c r="ALK51" s="637"/>
      <c r="ALL51" s="637"/>
      <c r="ALM51" s="637"/>
      <c r="ALN51" s="637"/>
      <c r="ALO51" s="637"/>
      <c r="ALP51" s="637"/>
      <c r="ALQ51" s="637"/>
      <c r="ALR51" s="637"/>
      <c r="ALS51" s="637"/>
      <c r="ALT51" s="637"/>
      <c r="ALU51" s="637"/>
      <c r="ALV51" s="637"/>
      <c r="ALW51" s="637"/>
      <c r="ALX51" s="637"/>
      <c r="ALY51" s="637"/>
      <c r="ALZ51" s="637"/>
      <c r="AMA51" s="637"/>
      <c r="AMB51" s="637"/>
      <c r="AMC51" s="637"/>
      <c r="AMD51" s="637"/>
      <c r="AME51" s="637"/>
      <c r="AMF51" s="637"/>
      <c r="AMG51" s="637"/>
      <c r="AMH51" s="637"/>
      <c r="AMI51" s="637"/>
      <c r="AMJ51" s="637"/>
    </row>
    <row r="52" spans="1:1024" s="638" customFormat="1" ht="12.75">
      <c r="A52" s="984" t="s">
        <v>121</v>
      </c>
      <c r="B52" s="985" t="s">
        <v>148</v>
      </c>
      <c r="C52" s="986" t="s">
        <v>149</v>
      </c>
      <c r="D52" s="981" t="s">
        <v>4</v>
      </c>
      <c r="E52" s="982"/>
      <c r="F52" s="982">
        <f t="shared" si="3"/>
        <v>9071</v>
      </c>
      <c r="G52" s="987">
        <v>7111</v>
      </c>
      <c r="H52" s="987">
        <v>1960</v>
      </c>
      <c r="I52" s="987"/>
      <c r="J52" s="987"/>
      <c r="K52" s="987"/>
      <c r="L52" s="987"/>
      <c r="M52" s="987"/>
      <c r="N52" s="987"/>
      <c r="O52" s="987"/>
      <c r="P52" s="987"/>
      <c r="Q52" s="987"/>
      <c r="R52" s="984"/>
      <c r="S52" s="637"/>
      <c r="T52" s="637"/>
      <c r="U52" s="637"/>
      <c r="V52" s="637"/>
      <c r="W52" s="637"/>
      <c r="X52" s="637"/>
      <c r="Y52" s="637"/>
      <c r="Z52" s="637"/>
      <c r="AA52" s="637"/>
      <c r="AB52" s="637"/>
      <c r="AC52" s="637"/>
      <c r="AD52" s="637"/>
      <c r="AE52" s="637"/>
      <c r="AF52" s="637"/>
      <c r="AG52" s="637"/>
      <c r="AH52" s="637"/>
      <c r="AI52" s="637"/>
      <c r="AJ52" s="637"/>
      <c r="AK52" s="637"/>
      <c r="AL52" s="637"/>
      <c r="AM52" s="637"/>
      <c r="AN52" s="637"/>
      <c r="AO52" s="637"/>
      <c r="AP52" s="637"/>
      <c r="AQ52" s="637"/>
      <c r="AR52" s="637"/>
      <c r="AS52" s="637"/>
      <c r="AT52" s="637"/>
      <c r="AU52" s="637"/>
      <c r="AV52" s="637"/>
      <c r="AW52" s="637"/>
      <c r="AX52" s="637"/>
      <c r="AY52" s="637"/>
      <c r="AZ52" s="637"/>
      <c r="BA52" s="637"/>
      <c r="BB52" s="637"/>
      <c r="BC52" s="637"/>
      <c r="BD52" s="637"/>
      <c r="BE52" s="637"/>
      <c r="BF52" s="637"/>
      <c r="BG52" s="637"/>
      <c r="BH52" s="637"/>
      <c r="BI52" s="637"/>
      <c r="BJ52" s="637"/>
      <c r="BK52" s="637"/>
      <c r="BL52" s="637"/>
      <c r="BM52" s="637"/>
      <c r="BN52" s="637"/>
      <c r="BO52" s="637"/>
      <c r="BP52" s="637"/>
      <c r="BQ52" s="637"/>
      <c r="BR52" s="637"/>
      <c r="BS52" s="637"/>
      <c r="BT52" s="637"/>
      <c r="BU52" s="637"/>
      <c r="BV52" s="637"/>
      <c r="BW52" s="637"/>
      <c r="BX52" s="637"/>
      <c r="BY52" s="637"/>
      <c r="BZ52" s="637"/>
      <c r="CA52" s="637"/>
      <c r="CB52" s="637"/>
      <c r="CC52" s="637"/>
      <c r="CD52" s="637"/>
      <c r="CE52" s="637"/>
      <c r="CF52" s="637"/>
      <c r="CG52" s="637"/>
      <c r="CH52" s="637"/>
      <c r="CI52" s="637"/>
      <c r="CJ52" s="637"/>
      <c r="CK52" s="637"/>
      <c r="CL52" s="637"/>
      <c r="CM52" s="637"/>
      <c r="CN52" s="637"/>
      <c r="CO52" s="637"/>
      <c r="CP52" s="637"/>
      <c r="CQ52" s="637"/>
      <c r="CR52" s="637"/>
      <c r="CS52" s="637"/>
      <c r="CT52" s="637"/>
      <c r="CU52" s="637"/>
      <c r="CV52" s="637"/>
      <c r="CW52" s="637"/>
      <c r="CX52" s="637"/>
      <c r="CY52" s="637"/>
      <c r="CZ52" s="637"/>
      <c r="DA52" s="637"/>
      <c r="DB52" s="637"/>
      <c r="DC52" s="637"/>
      <c r="DD52" s="637"/>
      <c r="DE52" s="637"/>
      <c r="DF52" s="637"/>
      <c r="DG52" s="637"/>
      <c r="DH52" s="637"/>
      <c r="DI52" s="637"/>
      <c r="DJ52" s="637"/>
      <c r="DK52" s="637"/>
      <c r="DL52" s="637"/>
      <c r="DM52" s="637"/>
      <c r="DN52" s="637"/>
      <c r="DO52" s="637"/>
      <c r="DP52" s="637"/>
      <c r="DQ52" s="637"/>
      <c r="DR52" s="637"/>
      <c r="DS52" s="637"/>
      <c r="DT52" s="637"/>
      <c r="DU52" s="637"/>
      <c r="DV52" s="637"/>
      <c r="DW52" s="637"/>
      <c r="DX52" s="637"/>
      <c r="DY52" s="637"/>
      <c r="DZ52" s="637"/>
      <c r="EA52" s="637"/>
      <c r="EB52" s="637"/>
      <c r="EC52" s="637"/>
      <c r="ED52" s="637"/>
      <c r="EE52" s="637"/>
      <c r="EF52" s="637"/>
      <c r="EG52" s="637"/>
      <c r="EH52" s="637"/>
      <c r="EI52" s="637"/>
      <c r="EJ52" s="637"/>
      <c r="EK52" s="637"/>
      <c r="EL52" s="637"/>
      <c r="EM52" s="637"/>
      <c r="EN52" s="637"/>
      <c r="EO52" s="637"/>
      <c r="EP52" s="637"/>
      <c r="EQ52" s="637"/>
      <c r="ER52" s="637"/>
      <c r="ES52" s="637"/>
      <c r="ET52" s="637"/>
      <c r="EU52" s="637"/>
      <c r="EV52" s="637"/>
      <c r="EW52" s="637"/>
      <c r="EX52" s="637"/>
      <c r="EY52" s="637"/>
      <c r="EZ52" s="637"/>
      <c r="FA52" s="637"/>
      <c r="FB52" s="637"/>
      <c r="FC52" s="637"/>
      <c r="FD52" s="637"/>
      <c r="FE52" s="637"/>
      <c r="FF52" s="637"/>
      <c r="FG52" s="637"/>
      <c r="FH52" s="637"/>
      <c r="FI52" s="637"/>
      <c r="FJ52" s="637"/>
      <c r="FK52" s="637"/>
      <c r="FL52" s="637"/>
      <c r="FM52" s="637"/>
      <c r="FN52" s="637"/>
      <c r="FO52" s="637"/>
      <c r="FP52" s="637"/>
      <c r="FQ52" s="637"/>
      <c r="FR52" s="637"/>
      <c r="FS52" s="637"/>
      <c r="FT52" s="637"/>
      <c r="FU52" s="637"/>
      <c r="FV52" s="637"/>
      <c r="FW52" s="637"/>
      <c r="FX52" s="637"/>
      <c r="FY52" s="637"/>
      <c r="FZ52" s="637"/>
      <c r="GA52" s="637"/>
      <c r="GB52" s="637"/>
      <c r="GC52" s="637"/>
      <c r="GD52" s="637"/>
      <c r="GE52" s="637"/>
      <c r="GF52" s="637"/>
      <c r="GG52" s="637"/>
      <c r="GH52" s="637"/>
      <c r="GI52" s="637"/>
      <c r="GJ52" s="637"/>
      <c r="GK52" s="637"/>
      <c r="GL52" s="637"/>
      <c r="GM52" s="637"/>
      <c r="GN52" s="637"/>
      <c r="GO52" s="637"/>
      <c r="GP52" s="637"/>
      <c r="GQ52" s="637"/>
      <c r="GR52" s="637"/>
      <c r="GS52" s="637"/>
      <c r="GT52" s="637"/>
      <c r="GU52" s="637"/>
      <c r="GV52" s="637"/>
      <c r="GW52" s="637"/>
      <c r="GX52" s="637"/>
      <c r="GY52" s="637"/>
      <c r="GZ52" s="637"/>
      <c r="HA52" s="637"/>
      <c r="HB52" s="637"/>
      <c r="HC52" s="637"/>
      <c r="HD52" s="637"/>
      <c r="HE52" s="637"/>
      <c r="HF52" s="637"/>
      <c r="HG52" s="637"/>
      <c r="HH52" s="637"/>
      <c r="HI52" s="637"/>
      <c r="HJ52" s="637"/>
      <c r="HK52" s="637"/>
      <c r="HL52" s="637"/>
      <c r="HM52" s="637"/>
      <c r="HN52" s="637"/>
      <c r="HO52" s="637"/>
      <c r="HP52" s="637"/>
      <c r="HQ52" s="637"/>
      <c r="HR52" s="637"/>
      <c r="HS52" s="637"/>
      <c r="HT52" s="637"/>
      <c r="HU52" s="637"/>
      <c r="HV52" s="637"/>
      <c r="HW52" s="637"/>
      <c r="HX52" s="637"/>
      <c r="HY52" s="637"/>
      <c r="HZ52" s="637"/>
      <c r="IA52" s="637"/>
      <c r="IB52" s="637"/>
      <c r="IC52" s="637"/>
      <c r="ID52" s="637"/>
      <c r="IE52" s="637"/>
      <c r="IF52" s="637"/>
      <c r="IG52" s="637"/>
      <c r="IH52" s="637"/>
      <c r="II52" s="637"/>
      <c r="IJ52" s="637"/>
      <c r="IK52" s="637"/>
      <c r="IL52" s="637"/>
      <c r="IM52" s="637"/>
      <c r="IN52" s="637"/>
      <c r="IO52" s="637"/>
      <c r="IP52" s="637"/>
      <c r="IQ52" s="637"/>
      <c r="IR52" s="637"/>
      <c r="IS52" s="637"/>
      <c r="IT52" s="637"/>
      <c r="IU52" s="637"/>
      <c r="IV52" s="637"/>
      <c r="IW52" s="637"/>
      <c r="IX52" s="637"/>
      <c r="IY52" s="637"/>
      <c r="IZ52" s="637"/>
      <c r="JA52" s="637"/>
      <c r="JB52" s="637"/>
      <c r="JC52" s="637"/>
      <c r="JD52" s="637"/>
      <c r="JE52" s="637"/>
      <c r="JF52" s="637"/>
      <c r="JG52" s="637"/>
      <c r="JH52" s="637"/>
      <c r="JI52" s="637"/>
      <c r="JJ52" s="637"/>
      <c r="JK52" s="637"/>
      <c r="JL52" s="637"/>
      <c r="JM52" s="637"/>
      <c r="JN52" s="637"/>
      <c r="JO52" s="637"/>
      <c r="JP52" s="637"/>
      <c r="JQ52" s="637"/>
      <c r="JR52" s="637"/>
      <c r="JS52" s="637"/>
      <c r="JT52" s="637"/>
      <c r="JU52" s="637"/>
      <c r="JV52" s="637"/>
      <c r="JW52" s="637"/>
      <c r="JX52" s="637"/>
      <c r="JY52" s="637"/>
      <c r="JZ52" s="637"/>
      <c r="KA52" s="637"/>
      <c r="KB52" s="637"/>
      <c r="KC52" s="637"/>
      <c r="KD52" s="637"/>
      <c r="KE52" s="637"/>
      <c r="KF52" s="637"/>
      <c r="KG52" s="637"/>
      <c r="KH52" s="637"/>
      <c r="KI52" s="637"/>
      <c r="KJ52" s="637"/>
      <c r="KK52" s="637"/>
      <c r="KL52" s="637"/>
      <c r="KM52" s="637"/>
      <c r="KN52" s="637"/>
      <c r="KO52" s="637"/>
      <c r="KP52" s="637"/>
      <c r="KQ52" s="637"/>
      <c r="KR52" s="637"/>
      <c r="KS52" s="637"/>
      <c r="KT52" s="637"/>
      <c r="KU52" s="637"/>
      <c r="KV52" s="637"/>
      <c r="KW52" s="637"/>
      <c r="KX52" s="637"/>
      <c r="KY52" s="637"/>
      <c r="KZ52" s="637"/>
      <c r="LA52" s="637"/>
      <c r="LB52" s="637"/>
      <c r="LC52" s="637"/>
      <c r="LD52" s="637"/>
      <c r="LE52" s="637"/>
      <c r="LF52" s="637"/>
      <c r="LG52" s="637"/>
      <c r="LH52" s="637"/>
      <c r="LI52" s="637"/>
      <c r="LJ52" s="637"/>
      <c r="LK52" s="637"/>
      <c r="LL52" s="637"/>
      <c r="LM52" s="637"/>
      <c r="LN52" s="637"/>
      <c r="LO52" s="637"/>
      <c r="LP52" s="637"/>
      <c r="LQ52" s="637"/>
      <c r="LR52" s="637"/>
      <c r="LS52" s="637"/>
      <c r="LT52" s="637"/>
      <c r="LU52" s="637"/>
      <c r="LV52" s="637"/>
      <c r="LW52" s="637"/>
      <c r="LX52" s="637"/>
      <c r="LY52" s="637"/>
      <c r="LZ52" s="637"/>
      <c r="MA52" s="637"/>
      <c r="MB52" s="637"/>
      <c r="MC52" s="637"/>
      <c r="MD52" s="637"/>
      <c r="ME52" s="637"/>
      <c r="MF52" s="637"/>
      <c r="MG52" s="637"/>
      <c r="MH52" s="637"/>
      <c r="MI52" s="637"/>
      <c r="MJ52" s="637"/>
      <c r="MK52" s="637"/>
      <c r="ML52" s="637"/>
      <c r="MM52" s="637"/>
      <c r="MN52" s="637"/>
      <c r="MO52" s="637"/>
      <c r="MP52" s="637"/>
      <c r="MQ52" s="637"/>
      <c r="MR52" s="637"/>
      <c r="MS52" s="637"/>
      <c r="MT52" s="637"/>
      <c r="MU52" s="637"/>
      <c r="MV52" s="637"/>
      <c r="MW52" s="637"/>
      <c r="MX52" s="637"/>
      <c r="MY52" s="637"/>
      <c r="MZ52" s="637"/>
      <c r="NA52" s="637"/>
      <c r="NB52" s="637"/>
      <c r="NC52" s="637"/>
      <c r="ND52" s="637"/>
      <c r="NE52" s="637"/>
      <c r="NF52" s="637"/>
      <c r="NG52" s="637"/>
      <c r="NH52" s="637"/>
      <c r="NI52" s="637"/>
      <c r="NJ52" s="637"/>
      <c r="NK52" s="637"/>
      <c r="NL52" s="637"/>
      <c r="NM52" s="637"/>
      <c r="NN52" s="637"/>
      <c r="NO52" s="637"/>
      <c r="NP52" s="637"/>
      <c r="NQ52" s="637"/>
      <c r="NR52" s="637"/>
      <c r="NS52" s="637"/>
      <c r="NT52" s="637"/>
      <c r="NU52" s="637"/>
      <c r="NV52" s="637"/>
      <c r="NW52" s="637"/>
      <c r="NX52" s="637"/>
      <c r="NY52" s="637"/>
      <c r="NZ52" s="637"/>
      <c r="OA52" s="637"/>
      <c r="OB52" s="637"/>
      <c r="OC52" s="637"/>
      <c r="OD52" s="637"/>
      <c r="OE52" s="637"/>
      <c r="OF52" s="637"/>
      <c r="OG52" s="637"/>
      <c r="OH52" s="637"/>
      <c r="OI52" s="637"/>
      <c r="OJ52" s="637"/>
      <c r="OK52" s="637"/>
      <c r="OL52" s="637"/>
      <c r="OM52" s="637"/>
      <c r="ON52" s="637"/>
      <c r="OO52" s="637"/>
      <c r="OP52" s="637"/>
      <c r="OQ52" s="637"/>
      <c r="OR52" s="637"/>
      <c r="OS52" s="637"/>
      <c r="OT52" s="637"/>
      <c r="OU52" s="637"/>
      <c r="OV52" s="637"/>
      <c r="OW52" s="637"/>
      <c r="OX52" s="637"/>
      <c r="OY52" s="637"/>
      <c r="OZ52" s="637"/>
      <c r="PA52" s="637"/>
      <c r="PB52" s="637"/>
      <c r="PC52" s="637"/>
      <c r="PD52" s="637"/>
      <c r="PE52" s="637"/>
      <c r="PF52" s="637"/>
      <c r="PG52" s="637"/>
      <c r="PH52" s="637"/>
      <c r="PI52" s="637"/>
      <c r="PJ52" s="637"/>
      <c r="PK52" s="637"/>
      <c r="PL52" s="637"/>
      <c r="PM52" s="637"/>
      <c r="PN52" s="637"/>
      <c r="PO52" s="637"/>
      <c r="PP52" s="637"/>
      <c r="PQ52" s="637"/>
      <c r="PR52" s="637"/>
      <c r="PS52" s="637"/>
      <c r="PT52" s="637"/>
      <c r="PU52" s="637"/>
      <c r="PV52" s="637"/>
      <c r="PW52" s="637"/>
      <c r="PX52" s="637"/>
      <c r="PY52" s="637"/>
      <c r="PZ52" s="637"/>
      <c r="QA52" s="637"/>
      <c r="QB52" s="637"/>
      <c r="QC52" s="637"/>
      <c r="QD52" s="637"/>
      <c r="QE52" s="637"/>
      <c r="QF52" s="637"/>
      <c r="QG52" s="637"/>
      <c r="QH52" s="637"/>
      <c r="QI52" s="637"/>
      <c r="QJ52" s="637"/>
      <c r="QK52" s="637"/>
      <c r="QL52" s="637"/>
      <c r="QM52" s="637"/>
      <c r="QN52" s="637"/>
      <c r="QO52" s="637"/>
      <c r="QP52" s="637"/>
      <c r="QQ52" s="637"/>
      <c r="QR52" s="637"/>
      <c r="QS52" s="637"/>
      <c r="QT52" s="637"/>
      <c r="QU52" s="637"/>
      <c r="QV52" s="637"/>
      <c r="QW52" s="637"/>
      <c r="QX52" s="637"/>
      <c r="QY52" s="637"/>
      <c r="QZ52" s="637"/>
      <c r="RA52" s="637"/>
      <c r="RB52" s="637"/>
      <c r="RC52" s="637"/>
      <c r="RD52" s="637"/>
      <c r="RE52" s="637"/>
      <c r="RF52" s="637"/>
      <c r="RG52" s="637"/>
      <c r="RH52" s="637"/>
      <c r="RI52" s="637"/>
      <c r="RJ52" s="637"/>
      <c r="RK52" s="637"/>
      <c r="RL52" s="637"/>
      <c r="RM52" s="637"/>
      <c r="RN52" s="637"/>
      <c r="RO52" s="637"/>
      <c r="RP52" s="637"/>
      <c r="RQ52" s="637"/>
      <c r="RR52" s="637"/>
      <c r="RS52" s="637"/>
      <c r="RT52" s="637"/>
      <c r="RU52" s="637"/>
      <c r="RV52" s="637"/>
      <c r="RW52" s="637"/>
      <c r="RX52" s="637"/>
      <c r="RY52" s="637"/>
      <c r="RZ52" s="637"/>
      <c r="SA52" s="637"/>
      <c r="SB52" s="637"/>
      <c r="SC52" s="637"/>
      <c r="SD52" s="637"/>
      <c r="SE52" s="637"/>
      <c r="SF52" s="637"/>
      <c r="SG52" s="637"/>
      <c r="SH52" s="637"/>
      <c r="SI52" s="637"/>
      <c r="SJ52" s="637"/>
      <c r="SK52" s="637"/>
      <c r="SL52" s="637"/>
      <c r="SM52" s="637"/>
      <c r="SN52" s="637"/>
      <c r="SO52" s="637"/>
      <c r="SP52" s="637"/>
      <c r="SQ52" s="637"/>
      <c r="SR52" s="637"/>
      <c r="SS52" s="637"/>
      <c r="ST52" s="637"/>
      <c r="SU52" s="637"/>
      <c r="SV52" s="637"/>
      <c r="SW52" s="637"/>
      <c r="SX52" s="637"/>
      <c r="SY52" s="637"/>
      <c r="SZ52" s="637"/>
      <c r="TA52" s="637"/>
      <c r="TB52" s="637"/>
      <c r="TC52" s="637"/>
      <c r="TD52" s="637"/>
      <c r="TE52" s="637"/>
      <c r="TF52" s="637"/>
      <c r="TG52" s="637"/>
      <c r="TH52" s="637"/>
      <c r="TI52" s="637"/>
      <c r="TJ52" s="637"/>
      <c r="TK52" s="637"/>
      <c r="TL52" s="637"/>
      <c r="TM52" s="637"/>
      <c r="TN52" s="637"/>
      <c r="TO52" s="637"/>
      <c r="TP52" s="637"/>
      <c r="TQ52" s="637"/>
      <c r="TR52" s="637"/>
      <c r="TS52" s="637"/>
      <c r="TT52" s="637"/>
      <c r="TU52" s="637"/>
      <c r="TV52" s="637"/>
      <c r="TW52" s="637"/>
      <c r="TX52" s="637"/>
      <c r="TY52" s="637"/>
      <c r="TZ52" s="637"/>
      <c r="UA52" s="637"/>
      <c r="UB52" s="637"/>
      <c r="UC52" s="637"/>
      <c r="UD52" s="637"/>
      <c r="UE52" s="637"/>
      <c r="UF52" s="637"/>
      <c r="UG52" s="637"/>
      <c r="UH52" s="637"/>
      <c r="UI52" s="637"/>
      <c r="UJ52" s="637"/>
      <c r="UK52" s="637"/>
      <c r="UL52" s="637"/>
      <c r="UM52" s="637"/>
      <c r="UN52" s="637"/>
      <c r="UO52" s="637"/>
      <c r="UP52" s="637"/>
      <c r="UQ52" s="637"/>
      <c r="UR52" s="637"/>
      <c r="US52" s="637"/>
      <c r="UT52" s="637"/>
      <c r="UU52" s="637"/>
      <c r="UV52" s="637"/>
      <c r="UW52" s="637"/>
      <c r="UX52" s="637"/>
      <c r="UY52" s="637"/>
      <c r="UZ52" s="637"/>
      <c r="VA52" s="637"/>
      <c r="VB52" s="637"/>
      <c r="VC52" s="637"/>
      <c r="VD52" s="637"/>
      <c r="VE52" s="637"/>
      <c r="VF52" s="637"/>
      <c r="VG52" s="637"/>
      <c r="VH52" s="637"/>
      <c r="VI52" s="637"/>
      <c r="VJ52" s="637"/>
      <c r="VK52" s="637"/>
      <c r="VL52" s="637"/>
      <c r="VM52" s="637"/>
      <c r="VN52" s="637"/>
      <c r="VO52" s="637"/>
      <c r="VP52" s="637"/>
      <c r="VQ52" s="637"/>
      <c r="VR52" s="637"/>
      <c r="VS52" s="637"/>
      <c r="VT52" s="637"/>
      <c r="VU52" s="637"/>
      <c r="VV52" s="637"/>
      <c r="VW52" s="637"/>
      <c r="VX52" s="637"/>
      <c r="VY52" s="637"/>
      <c r="VZ52" s="637"/>
      <c r="WA52" s="637"/>
      <c r="WB52" s="637"/>
      <c r="WC52" s="637"/>
      <c r="WD52" s="637"/>
      <c r="WE52" s="637"/>
      <c r="WF52" s="637"/>
      <c r="WG52" s="637"/>
      <c r="WH52" s="637"/>
      <c r="WI52" s="637"/>
      <c r="WJ52" s="637"/>
      <c r="WK52" s="637"/>
      <c r="WL52" s="637"/>
      <c r="WM52" s="637"/>
      <c r="WN52" s="637"/>
      <c r="WO52" s="637"/>
      <c r="WP52" s="637"/>
      <c r="WQ52" s="637"/>
      <c r="WR52" s="637"/>
      <c r="WS52" s="637"/>
      <c r="WT52" s="637"/>
      <c r="WU52" s="637"/>
      <c r="WV52" s="637"/>
      <c r="WW52" s="637"/>
      <c r="WX52" s="637"/>
      <c r="WY52" s="637"/>
      <c r="WZ52" s="637"/>
      <c r="XA52" s="637"/>
      <c r="XB52" s="637"/>
      <c r="XC52" s="637"/>
      <c r="XD52" s="637"/>
      <c r="XE52" s="637"/>
      <c r="XF52" s="637"/>
      <c r="XG52" s="637"/>
      <c r="XH52" s="637"/>
      <c r="XI52" s="637"/>
      <c r="XJ52" s="637"/>
      <c r="XK52" s="637"/>
      <c r="XL52" s="637"/>
      <c r="XM52" s="637"/>
      <c r="XN52" s="637"/>
      <c r="XO52" s="637"/>
      <c r="XP52" s="637"/>
      <c r="XQ52" s="637"/>
      <c r="XR52" s="637"/>
      <c r="XS52" s="637"/>
      <c r="XT52" s="637"/>
      <c r="XU52" s="637"/>
      <c r="XV52" s="637"/>
      <c r="XW52" s="637"/>
      <c r="XX52" s="637"/>
      <c r="XY52" s="637"/>
      <c r="XZ52" s="637"/>
      <c r="YA52" s="637"/>
      <c r="YB52" s="637"/>
      <c r="YC52" s="637"/>
      <c r="YD52" s="637"/>
      <c r="YE52" s="637"/>
      <c r="YF52" s="637"/>
      <c r="YG52" s="637"/>
      <c r="YH52" s="637"/>
      <c r="YI52" s="637"/>
      <c r="YJ52" s="637"/>
      <c r="YK52" s="637"/>
      <c r="YL52" s="637"/>
      <c r="YM52" s="637"/>
      <c r="YN52" s="637"/>
      <c r="YO52" s="637"/>
      <c r="YP52" s="637"/>
      <c r="YQ52" s="637"/>
      <c r="YR52" s="637"/>
      <c r="YS52" s="637"/>
      <c r="YT52" s="637"/>
      <c r="YU52" s="637"/>
      <c r="YV52" s="637"/>
      <c r="YW52" s="637"/>
      <c r="YX52" s="637"/>
      <c r="YY52" s="637"/>
      <c r="YZ52" s="637"/>
      <c r="ZA52" s="637"/>
      <c r="ZB52" s="637"/>
      <c r="ZC52" s="637"/>
      <c r="ZD52" s="637"/>
      <c r="ZE52" s="637"/>
      <c r="ZF52" s="637"/>
      <c r="ZG52" s="637"/>
      <c r="ZH52" s="637"/>
      <c r="ZI52" s="637"/>
      <c r="ZJ52" s="637"/>
      <c r="ZK52" s="637"/>
      <c r="ZL52" s="637"/>
      <c r="ZM52" s="637"/>
      <c r="ZN52" s="637"/>
      <c r="ZO52" s="637"/>
      <c r="ZP52" s="637"/>
      <c r="ZQ52" s="637"/>
      <c r="ZR52" s="637"/>
      <c r="ZS52" s="637"/>
      <c r="ZT52" s="637"/>
      <c r="ZU52" s="637"/>
      <c r="ZV52" s="637"/>
      <c r="ZW52" s="637"/>
      <c r="ZX52" s="637"/>
      <c r="ZY52" s="637"/>
      <c r="ZZ52" s="637"/>
      <c r="AAA52" s="637"/>
      <c r="AAB52" s="637"/>
      <c r="AAC52" s="637"/>
      <c r="AAD52" s="637"/>
      <c r="AAE52" s="637"/>
      <c r="AAF52" s="637"/>
      <c r="AAG52" s="637"/>
      <c r="AAH52" s="637"/>
      <c r="AAI52" s="637"/>
      <c r="AAJ52" s="637"/>
      <c r="AAK52" s="637"/>
      <c r="AAL52" s="637"/>
      <c r="AAM52" s="637"/>
      <c r="AAN52" s="637"/>
      <c r="AAO52" s="637"/>
      <c r="AAP52" s="637"/>
      <c r="AAQ52" s="637"/>
      <c r="AAR52" s="637"/>
      <c r="AAS52" s="637"/>
      <c r="AAT52" s="637"/>
      <c r="AAU52" s="637"/>
      <c r="AAV52" s="637"/>
      <c r="AAW52" s="637"/>
      <c r="AAX52" s="637"/>
      <c r="AAY52" s="637"/>
      <c r="AAZ52" s="637"/>
      <c r="ABA52" s="637"/>
      <c r="ABB52" s="637"/>
      <c r="ABC52" s="637"/>
      <c r="ABD52" s="637"/>
      <c r="ABE52" s="637"/>
      <c r="ABF52" s="637"/>
      <c r="ABG52" s="637"/>
      <c r="ABH52" s="637"/>
      <c r="ABI52" s="637"/>
      <c r="ABJ52" s="637"/>
      <c r="ABK52" s="637"/>
      <c r="ABL52" s="637"/>
      <c r="ABM52" s="637"/>
      <c r="ABN52" s="637"/>
      <c r="ABO52" s="637"/>
      <c r="ABP52" s="637"/>
      <c r="ABQ52" s="637"/>
      <c r="ABR52" s="637"/>
      <c r="ABS52" s="637"/>
      <c r="ABT52" s="637"/>
      <c r="ABU52" s="637"/>
      <c r="ABV52" s="637"/>
      <c r="ABW52" s="637"/>
      <c r="ABX52" s="637"/>
      <c r="ABY52" s="637"/>
      <c r="ABZ52" s="637"/>
      <c r="ACA52" s="637"/>
      <c r="ACB52" s="637"/>
      <c r="ACC52" s="637"/>
      <c r="ACD52" s="637"/>
      <c r="ACE52" s="637"/>
      <c r="ACF52" s="637"/>
      <c r="ACG52" s="637"/>
      <c r="ACH52" s="637"/>
      <c r="ACI52" s="637"/>
      <c r="ACJ52" s="637"/>
      <c r="ACK52" s="637"/>
      <c r="ACL52" s="637"/>
      <c r="ACM52" s="637"/>
      <c r="ACN52" s="637"/>
      <c r="ACO52" s="637"/>
      <c r="ACP52" s="637"/>
      <c r="ACQ52" s="637"/>
      <c r="ACR52" s="637"/>
      <c r="ACS52" s="637"/>
      <c r="ACT52" s="637"/>
      <c r="ACU52" s="637"/>
      <c r="ACV52" s="637"/>
      <c r="ACW52" s="637"/>
      <c r="ACX52" s="637"/>
      <c r="ACY52" s="637"/>
      <c r="ACZ52" s="637"/>
      <c r="ADA52" s="637"/>
      <c r="ADB52" s="637"/>
      <c r="ADC52" s="637"/>
      <c r="ADD52" s="637"/>
      <c r="ADE52" s="637"/>
      <c r="ADF52" s="637"/>
      <c r="ADG52" s="637"/>
      <c r="ADH52" s="637"/>
      <c r="ADI52" s="637"/>
      <c r="ADJ52" s="637"/>
      <c r="ADK52" s="637"/>
      <c r="ADL52" s="637"/>
      <c r="ADM52" s="637"/>
      <c r="ADN52" s="637"/>
      <c r="ADO52" s="637"/>
      <c r="ADP52" s="637"/>
      <c r="ADQ52" s="637"/>
      <c r="ADR52" s="637"/>
      <c r="ADS52" s="637"/>
      <c r="ADT52" s="637"/>
      <c r="ADU52" s="637"/>
      <c r="ADV52" s="637"/>
      <c r="ADW52" s="637"/>
      <c r="ADX52" s="637"/>
      <c r="ADY52" s="637"/>
      <c r="ADZ52" s="637"/>
      <c r="AEA52" s="637"/>
      <c r="AEB52" s="637"/>
      <c r="AEC52" s="637"/>
      <c r="AED52" s="637"/>
      <c r="AEE52" s="637"/>
      <c r="AEF52" s="637"/>
      <c r="AEG52" s="637"/>
      <c r="AEH52" s="637"/>
      <c r="AEI52" s="637"/>
      <c r="AEJ52" s="637"/>
      <c r="AEK52" s="637"/>
      <c r="AEL52" s="637"/>
      <c r="AEM52" s="637"/>
      <c r="AEN52" s="637"/>
      <c r="AEO52" s="637"/>
      <c r="AEP52" s="637"/>
      <c r="AEQ52" s="637"/>
      <c r="AER52" s="637"/>
      <c r="AES52" s="637"/>
      <c r="AET52" s="637"/>
      <c r="AEU52" s="637"/>
      <c r="AEV52" s="637"/>
      <c r="AEW52" s="637"/>
      <c r="AEX52" s="637"/>
      <c r="AEY52" s="637"/>
      <c r="AEZ52" s="637"/>
      <c r="AFA52" s="637"/>
      <c r="AFB52" s="637"/>
      <c r="AFC52" s="637"/>
      <c r="AFD52" s="637"/>
      <c r="AFE52" s="637"/>
      <c r="AFF52" s="637"/>
      <c r="AFG52" s="637"/>
      <c r="AFH52" s="637"/>
      <c r="AFI52" s="637"/>
      <c r="AFJ52" s="637"/>
      <c r="AFK52" s="637"/>
      <c r="AFL52" s="637"/>
      <c r="AFM52" s="637"/>
      <c r="AFN52" s="637"/>
      <c r="AFO52" s="637"/>
      <c r="AFP52" s="637"/>
      <c r="AFQ52" s="637"/>
      <c r="AFR52" s="637"/>
      <c r="AFS52" s="637"/>
      <c r="AFT52" s="637"/>
      <c r="AFU52" s="637"/>
      <c r="AFV52" s="637"/>
      <c r="AFW52" s="637"/>
      <c r="AFX52" s="637"/>
      <c r="AFY52" s="637"/>
      <c r="AFZ52" s="637"/>
      <c r="AGA52" s="637"/>
      <c r="AGB52" s="637"/>
      <c r="AGC52" s="637"/>
      <c r="AGD52" s="637"/>
      <c r="AGE52" s="637"/>
      <c r="AGF52" s="637"/>
      <c r="AGG52" s="637"/>
      <c r="AGH52" s="637"/>
      <c r="AGI52" s="637"/>
      <c r="AGJ52" s="637"/>
      <c r="AGK52" s="637"/>
      <c r="AGL52" s="637"/>
      <c r="AGM52" s="637"/>
      <c r="AGN52" s="637"/>
      <c r="AGO52" s="637"/>
      <c r="AGP52" s="637"/>
      <c r="AGQ52" s="637"/>
      <c r="AGR52" s="637"/>
      <c r="AGS52" s="637"/>
      <c r="AGT52" s="637"/>
      <c r="AGU52" s="637"/>
      <c r="AGV52" s="637"/>
      <c r="AGW52" s="637"/>
      <c r="AGX52" s="637"/>
      <c r="AGY52" s="637"/>
      <c r="AGZ52" s="637"/>
      <c r="AHA52" s="637"/>
      <c r="AHB52" s="637"/>
      <c r="AHC52" s="637"/>
      <c r="AHD52" s="637"/>
      <c r="AHE52" s="637"/>
      <c r="AHF52" s="637"/>
      <c r="AHG52" s="637"/>
      <c r="AHH52" s="637"/>
      <c r="AHI52" s="637"/>
      <c r="AHJ52" s="637"/>
      <c r="AHK52" s="637"/>
      <c r="AHL52" s="637"/>
      <c r="AHM52" s="637"/>
      <c r="AHN52" s="637"/>
      <c r="AHO52" s="637"/>
      <c r="AHP52" s="637"/>
      <c r="AHQ52" s="637"/>
      <c r="AHR52" s="637"/>
      <c r="AHS52" s="637"/>
      <c r="AHT52" s="637"/>
      <c r="AHU52" s="637"/>
      <c r="AHV52" s="637"/>
      <c r="AHW52" s="637"/>
      <c r="AHX52" s="637"/>
      <c r="AHY52" s="637"/>
      <c r="AHZ52" s="637"/>
      <c r="AIA52" s="637"/>
      <c r="AIB52" s="637"/>
      <c r="AIC52" s="637"/>
      <c r="AID52" s="637"/>
      <c r="AIE52" s="637"/>
      <c r="AIF52" s="637"/>
      <c r="AIG52" s="637"/>
      <c r="AIH52" s="637"/>
      <c r="AII52" s="637"/>
      <c r="AIJ52" s="637"/>
      <c r="AIK52" s="637"/>
      <c r="AIL52" s="637"/>
      <c r="AIM52" s="637"/>
      <c r="AIN52" s="637"/>
      <c r="AIO52" s="637"/>
      <c r="AIP52" s="637"/>
      <c r="AIQ52" s="637"/>
      <c r="AIR52" s="637"/>
      <c r="AIS52" s="637"/>
      <c r="AIT52" s="637"/>
      <c r="AIU52" s="637"/>
      <c r="AIV52" s="637"/>
      <c r="AIW52" s="637"/>
      <c r="AIX52" s="637"/>
      <c r="AIY52" s="637"/>
      <c r="AIZ52" s="637"/>
      <c r="AJA52" s="637"/>
      <c r="AJB52" s="637"/>
      <c r="AJC52" s="637"/>
      <c r="AJD52" s="637"/>
      <c r="AJE52" s="637"/>
      <c r="AJF52" s="637"/>
      <c r="AJG52" s="637"/>
      <c r="AJH52" s="637"/>
      <c r="AJI52" s="637"/>
      <c r="AJJ52" s="637"/>
      <c r="AJK52" s="637"/>
      <c r="AJL52" s="637"/>
      <c r="AJM52" s="637"/>
      <c r="AJN52" s="637"/>
      <c r="AJO52" s="637"/>
      <c r="AJP52" s="637"/>
      <c r="AJQ52" s="637"/>
      <c r="AJR52" s="637"/>
      <c r="AJS52" s="637"/>
      <c r="AJT52" s="637"/>
      <c r="AJU52" s="637"/>
      <c r="AJV52" s="637"/>
      <c r="AJW52" s="637"/>
      <c r="AJX52" s="637"/>
      <c r="AJY52" s="637"/>
      <c r="AJZ52" s="637"/>
      <c r="AKA52" s="637"/>
      <c r="AKB52" s="637"/>
      <c r="AKC52" s="637"/>
      <c r="AKD52" s="637"/>
      <c r="AKE52" s="637"/>
      <c r="AKF52" s="637"/>
      <c r="AKG52" s="637"/>
      <c r="AKH52" s="637"/>
      <c r="AKI52" s="637"/>
      <c r="AKJ52" s="637"/>
      <c r="AKK52" s="637"/>
      <c r="AKL52" s="637"/>
      <c r="AKM52" s="637"/>
      <c r="AKN52" s="637"/>
      <c r="AKO52" s="637"/>
      <c r="AKP52" s="637"/>
      <c r="AKQ52" s="637"/>
      <c r="AKR52" s="637"/>
      <c r="AKS52" s="637"/>
      <c r="AKT52" s="637"/>
      <c r="AKU52" s="637"/>
      <c r="AKV52" s="637"/>
      <c r="AKW52" s="637"/>
      <c r="AKX52" s="637"/>
      <c r="AKY52" s="637"/>
      <c r="AKZ52" s="637"/>
      <c r="ALA52" s="637"/>
      <c r="ALB52" s="637"/>
      <c r="ALC52" s="637"/>
      <c r="ALD52" s="637"/>
      <c r="ALE52" s="637"/>
      <c r="ALF52" s="637"/>
      <c r="ALG52" s="637"/>
      <c r="ALH52" s="637"/>
      <c r="ALI52" s="637"/>
      <c r="ALJ52" s="637"/>
      <c r="ALK52" s="637"/>
      <c r="ALL52" s="637"/>
      <c r="ALM52" s="637"/>
      <c r="ALN52" s="637"/>
      <c r="ALO52" s="637"/>
      <c r="ALP52" s="637"/>
      <c r="ALQ52" s="637"/>
      <c r="ALR52" s="637"/>
      <c r="ALS52" s="637"/>
      <c r="ALT52" s="637"/>
      <c r="ALU52" s="637"/>
      <c r="ALV52" s="637"/>
      <c r="ALW52" s="637"/>
      <c r="ALX52" s="637"/>
      <c r="ALY52" s="637"/>
      <c r="ALZ52" s="637"/>
      <c r="AMA52" s="637"/>
      <c r="AMB52" s="637"/>
      <c r="AMC52" s="637"/>
      <c r="AMD52" s="637"/>
      <c r="AME52" s="637"/>
      <c r="AMF52" s="637"/>
      <c r="AMG52" s="637"/>
      <c r="AMH52" s="637"/>
      <c r="AMI52" s="637"/>
      <c r="AMJ52" s="637"/>
    </row>
    <row r="53" spans="1:1024" s="638" customFormat="1" ht="12.75">
      <c r="A53" s="984"/>
      <c r="B53" s="985"/>
      <c r="C53" s="986"/>
      <c r="D53" s="981" t="s">
        <v>861</v>
      </c>
      <c r="E53" s="982"/>
      <c r="F53" s="982">
        <f t="shared" si="3"/>
        <v>9071</v>
      </c>
      <c r="G53" s="987">
        <f>7111-133</f>
        <v>6978</v>
      </c>
      <c r="H53" s="987">
        <v>1960</v>
      </c>
      <c r="I53" s="987">
        <v>133</v>
      </c>
      <c r="J53" s="987"/>
      <c r="K53" s="987"/>
      <c r="L53" s="987"/>
      <c r="M53" s="987"/>
      <c r="N53" s="987"/>
      <c r="O53" s="987"/>
      <c r="P53" s="987"/>
      <c r="Q53" s="987"/>
      <c r="R53" s="984"/>
      <c r="S53" s="637"/>
      <c r="T53" s="637"/>
      <c r="U53" s="637"/>
      <c r="V53" s="637"/>
      <c r="W53" s="637"/>
      <c r="X53" s="637"/>
      <c r="Y53" s="637"/>
      <c r="Z53" s="637"/>
      <c r="AA53" s="637"/>
      <c r="AB53" s="637"/>
      <c r="AC53" s="637"/>
      <c r="AD53" s="637"/>
      <c r="AE53" s="637"/>
      <c r="AF53" s="637"/>
      <c r="AG53" s="637"/>
      <c r="AH53" s="637"/>
      <c r="AI53" s="637"/>
      <c r="AJ53" s="637"/>
      <c r="AK53" s="637"/>
      <c r="AL53" s="637"/>
      <c r="AM53" s="637"/>
      <c r="AN53" s="637"/>
      <c r="AO53" s="637"/>
      <c r="AP53" s="637"/>
      <c r="AQ53" s="637"/>
      <c r="AR53" s="637"/>
      <c r="AS53" s="637"/>
      <c r="AT53" s="637"/>
      <c r="AU53" s="637"/>
      <c r="AV53" s="637"/>
      <c r="AW53" s="637"/>
      <c r="AX53" s="637"/>
      <c r="AY53" s="637"/>
      <c r="AZ53" s="637"/>
      <c r="BA53" s="637"/>
      <c r="BB53" s="637"/>
      <c r="BC53" s="637"/>
      <c r="BD53" s="637"/>
      <c r="BE53" s="637"/>
      <c r="BF53" s="637"/>
      <c r="BG53" s="637"/>
      <c r="BH53" s="637"/>
      <c r="BI53" s="637"/>
      <c r="BJ53" s="637"/>
      <c r="BK53" s="637"/>
      <c r="BL53" s="637"/>
      <c r="BM53" s="637"/>
      <c r="BN53" s="637"/>
      <c r="BO53" s="637"/>
      <c r="BP53" s="637"/>
      <c r="BQ53" s="637"/>
      <c r="BR53" s="637"/>
      <c r="BS53" s="637"/>
      <c r="BT53" s="637"/>
      <c r="BU53" s="637"/>
      <c r="BV53" s="637"/>
      <c r="BW53" s="637"/>
      <c r="BX53" s="637"/>
      <c r="BY53" s="637"/>
      <c r="BZ53" s="637"/>
      <c r="CA53" s="637"/>
      <c r="CB53" s="637"/>
      <c r="CC53" s="637"/>
      <c r="CD53" s="637"/>
      <c r="CE53" s="637"/>
      <c r="CF53" s="637"/>
      <c r="CG53" s="637"/>
      <c r="CH53" s="637"/>
      <c r="CI53" s="637"/>
      <c r="CJ53" s="637"/>
      <c r="CK53" s="637"/>
      <c r="CL53" s="637"/>
      <c r="CM53" s="637"/>
      <c r="CN53" s="637"/>
      <c r="CO53" s="637"/>
      <c r="CP53" s="637"/>
      <c r="CQ53" s="637"/>
      <c r="CR53" s="637"/>
      <c r="CS53" s="637"/>
      <c r="CT53" s="637"/>
      <c r="CU53" s="637"/>
      <c r="CV53" s="637"/>
      <c r="CW53" s="637"/>
      <c r="CX53" s="637"/>
      <c r="CY53" s="637"/>
      <c r="CZ53" s="637"/>
      <c r="DA53" s="637"/>
      <c r="DB53" s="637"/>
      <c r="DC53" s="637"/>
      <c r="DD53" s="637"/>
      <c r="DE53" s="637"/>
      <c r="DF53" s="637"/>
      <c r="DG53" s="637"/>
      <c r="DH53" s="637"/>
      <c r="DI53" s="637"/>
      <c r="DJ53" s="637"/>
      <c r="DK53" s="637"/>
      <c r="DL53" s="637"/>
      <c r="DM53" s="637"/>
      <c r="DN53" s="637"/>
      <c r="DO53" s="637"/>
      <c r="DP53" s="637"/>
      <c r="DQ53" s="637"/>
      <c r="DR53" s="637"/>
      <c r="DS53" s="637"/>
      <c r="DT53" s="637"/>
      <c r="DU53" s="637"/>
      <c r="DV53" s="637"/>
      <c r="DW53" s="637"/>
      <c r="DX53" s="637"/>
      <c r="DY53" s="637"/>
      <c r="DZ53" s="637"/>
      <c r="EA53" s="637"/>
      <c r="EB53" s="637"/>
      <c r="EC53" s="637"/>
      <c r="ED53" s="637"/>
      <c r="EE53" s="637"/>
      <c r="EF53" s="637"/>
      <c r="EG53" s="637"/>
      <c r="EH53" s="637"/>
      <c r="EI53" s="637"/>
      <c r="EJ53" s="637"/>
      <c r="EK53" s="637"/>
      <c r="EL53" s="637"/>
      <c r="EM53" s="637"/>
      <c r="EN53" s="637"/>
      <c r="EO53" s="637"/>
      <c r="EP53" s="637"/>
      <c r="EQ53" s="637"/>
      <c r="ER53" s="637"/>
      <c r="ES53" s="637"/>
      <c r="ET53" s="637"/>
      <c r="EU53" s="637"/>
      <c r="EV53" s="637"/>
      <c r="EW53" s="637"/>
      <c r="EX53" s="637"/>
      <c r="EY53" s="637"/>
      <c r="EZ53" s="637"/>
      <c r="FA53" s="637"/>
      <c r="FB53" s="637"/>
      <c r="FC53" s="637"/>
      <c r="FD53" s="637"/>
      <c r="FE53" s="637"/>
      <c r="FF53" s="637"/>
      <c r="FG53" s="637"/>
      <c r="FH53" s="637"/>
      <c r="FI53" s="637"/>
      <c r="FJ53" s="637"/>
      <c r="FK53" s="637"/>
      <c r="FL53" s="637"/>
      <c r="FM53" s="637"/>
      <c r="FN53" s="637"/>
      <c r="FO53" s="637"/>
      <c r="FP53" s="637"/>
      <c r="FQ53" s="637"/>
      <c r="FR53" s="637"/>
      <c r="FS53" s="637"/>
      <c r="FT53" s="637"/>
      <c r="FU53" s="637"/>
      <c r="FV53" s="637"/>
      <c r="FW53" s="637"/>
      <c r="FX53" s="637"/>
      <c r="FY53" s="637"/>
      <c r="FZ53" s="637"/>
      <c r="GA53" s="637"/>
      <c r="GB53" s="637"/>
      <c r="GC53" s="637"/>
      <c r="GD53" s="637"/>
      <c r="GE53" s="637"/>
      <c r="GF53" s="637"/>
      <c r="GG53" s="637"/>
      <c r="GH53" s="637"/>
      <c r="GI53" s="637"/>
      <c r="GJ53" s="637"/>
      <c r="GK53" s="637"/>
      <c r="GL53" s="637"/>
      <c r="GM53" s="637"/>
      <c r="GN53" s="637"/>
      <c r="GO53" s="637"/>
      <c r="GP53" s="637"/>
      <c r="GQ53" s="637"/>
      <c r="GR53" s="637"/>
      <c r="GS53" s="637"/>
      <c r="GT53" s="637"/>
      <c r="GU53" s="637"/>
      <c r="GV53" s="637"/>
      <c r="GW53" s="637"/>
      <c r="GX53" s="637"/>
      <c r="GY53" s="637"/>
      <c r="GZ53" s="637"/>
      <c r="HA53" s="637"/>
      <c r="HB53" s="637"/>
      <c r="HC53" s="637"/>
      <c r="HD53" s="637"/>
      <c r="HE53" s="637"/>
      <c r="HF53" s="637"/>
      <c r="HG53" s="637"/>
      <c r="HH53" s="637"/>
      <c r="HI53" s="637"/>
      <c r="HJ53" s="637"/>
      <c r="HK53" s="637"/>
      <c r="HL53" s="637"/>
      <c r="HM53" s="637"/>
      <c r="HN53" s="637"/>
      <c r="HO53" s="637"/>
      <c r="HP53" s="637"/>
      <c r="HQ53" s="637"/>
      <c r="HR53" s="637"/>
      <c r="HS53" s="637"/>
      <c r="HT53" s="637"/>
      <c r="HU53" s="637"/>
      <c r="HV53" s="637"/>
      <c r="HW53" s="637"/>
      <c r="HX53" s="637"/>
      <c r="HY53" s="637"/>
      <c r="HZ53" s="637"/>
      <c r="IA53" s="637"/>
      <c r="IB53" s="637"/>
      <c r="IC53" s="637"/>
      <c r="ID53" s="637"/>
      <c r="IE53" s="637"/>
      <c r="IF53" s="637"/>
      <c r="IG53" s="637"/>
      <c r="IH53" s="637"/>
      <c r="II53" s="637"/>
      <c r="IJ53" s="637"/>
      <c r="IK53" s="637"/>
      <c r="IL53" s="637"/>
      <c r="IM53" s="637"/>
      <c r="IN53" s="637"/>
      <c r="IO53" s="637"/>
      <c r="IP53" s="637"/>
      <c r="IQ53" s="637"/>
      <c r="IR53" s="637"/>
      <c r="IS53" s="637"/>
      <c r="IT53" s="637"/>
      <c r="IU53" s="637"/>
      <c r="IV53" s="637"/>
      <c r="IW53" s="637"/>
      <c r="IX53" s="637"/>
      <c r="IY53" s="637"/>
      <c r="IZ53" s="637"/>
      <c r="JA53" s="637"/>
      <c r="JB53" s="637"/>
      <c r="JC53" s="637"/>
      <c r="JD53" s="637"/>
      <c r="JE53" s="637"/>
      <c r="JF53" s="637"/>
      <c r="JG53" s="637"/>
      <c r="JH53" s="637"/>
      <c r="JI53" s="637"/>
      <c r="JJ53" s="637"/>
      <c r="JK53" s="637"/>
      <c r="JL53" s="637"/>
      <c r="JM53" s="637"/>
      <c r="JN53" s="637"/>
      <c r="JO53" s="637"/>
      <c r="JP53" s="637"/>
      <c r="JQ53" s="637"/>
      <c r="JR53" s="637"/>
      <c r="JS53" s="637"/>
      <c r="JT53" s="637"/>
      <c r="JU53" s="637"/>
      <c r="JV53" s="637"/>
      <c r="JW53" s="637"/>
      <c r="JX53" s="637"/>
      <c r="JY53" s="637"/>
      <c r="JZ53" s="637"/>
      <c r="KA53" s="637"/>
      <c r="KB53" s="637"/>
      <c r="KC53" s="637"/>
      <c r="KD53" s="637"/>
      <c r="KE53" s="637"/>
      <c r="KF53" s="637"/>
      <c r="KG53" s="637"/>
      <c r="KH53" s="637"/>
      <c r="KI53" s="637"/>
      <c r="KJ53" s="637"/>
      <c r="KK53" s="637"/>
      <c r="KL53" s="637"/>
      <c r="KM53" s="637"/>
      <c r="KN53" s="637"/>
      <c r="KO53" s="637"/>
      <c r="KP53" s="637"/>
      <c r="KQ53" s="637"/>
      <c r="KR53" s="637"/>
      <c r="KS53" s="637"/>
      <c r="KT53" s="637"/>
      <c r="KU53" s="637"/>
      <c r="KV53" s="637"/>
      <c r="KW53" s="637"/>
      <c r="KX53" s="637"/>
      <c r="KY53" s="637"/>
      <c r="KZ53" s="637"/>
      <c r="LA53" s="637"/>
      <c r="LB53" s="637"/>
      <c r="LC53" s="637"/>
      <c r="LD53" s="637"/>
      <c r="LE53" s="637"/>
      <c r="LF53" s="637"/>
      <c r="LG53" s="637"/>
      <c r="LH53" s="637"/>
      <c r="LI53" s="637"/>
      <c r="LJ53" s="637"/>
      <c r="LK53" s="637"/>
      <c r="LL53" s="637"/>
      <c r="LM53" s="637"/>
      <c r="LN53" s="637"/>
      <c r="LO53" s="637"/>
      <c r="LP53" s="637"/>
      <c r="LQ53" s="637"/>
      <c r="LR53" s="637"/>
      <c r="LS53" s="637"/>
      <c r="LT53" s="637"/>
      <c r="LU53" s="637"/>
      <c r="LV53" s="637"/>
      <c r="LW53" s="637"/>
      <c r="LX53" s="637"/>
      <c r="LY53" s="637"/>
      <c r="LZ53" s="637"/>
      <c r="MA53" s="637"/>
      <c r="MB53" s="637"/>
      <c r="MC53" s="637"/>
      <c r="MD53" s="637"/>
      <c r="ME53" s="637"/>
      <c r="MF53" s="637"/>
      <c r="MG53" s="637"/>
      <c r="MH53" s="637"/>
      <c r="MI53" s="637"/>
      <c r="MJ53" s="637"/>
      <c r="MK53" s="637"/>
      <c r="ML53" s="637"/>
      <c r="MM53" s="637"/>
      <c r="MN53" s="637"/>
      <c r="MO53" s="637"/>
      <c r="MP53" s="637"/>
      <c r="MQ53" s="637"/>
      <c r="MR53" s="637"/>
      <c r="MS53" s="637"/>
      <c r="MT53" s="637"/>
      <c r="MU53" s="637"/>
      <c r="MV53" s="637"/>
      <c r="MW53" s="637"/>
      <c r="MX53" s="637"/>
      <c r="MY53" s="637"/>
      <c r="MZ53" s="637"/>
      <c r="NA53" s="637"/>
      <c r="NB53" s="637"/>
      <c r="NC53" s="637"/>
      <c r="ND53" s="637"/>
      <c r="NE53" s="637"/>
      <c r="NF53" s="637"/>
      <c r="NG53" s="637"/>
      <c r="NH53" s="637"/>
      <c r="NI53" s="637"/>
      <c r="NJ53" s="637"/>
      <c r="NK53" s="637"/>
      <c r="NL53" s="637"/>
      <c r="NM53" s="637"/>
      <c r="NN53" s="637"/>
      <c r="NO53" s="637"/>
      <c r="NP53" s="637"/>
      <c r="NQ53" s="637"/>
      <c r="NR53" s="637"/>
      <c r="NS53" s="637"/>
      <c r="NT53" s="637"/>
      <c r="NU53" s="637"/>
      <c r="NV53" s="637"/>
      <c r="NW53" s="637"/>
      <c r="NX53" s="637"/>
      <c r="NY53" s="637"/>
      <c r="NZ53" s="637"/>
      <c r="OA53" s="637"/>
      <c r="OB53" s="637"/>
      <c r="OC53" s="637"/>
      <c r="OD53" s="637"/>
      <c r="OE53" s="637"/>
      <c r="OF53" s="637"/>
      <c r="OG53" s="637"/>
      <c r="OH53" s="637"/>
      <c r="OI53" s="637"/>
      <c r="OJ53" s="637"/>
      <c r="OK53" s="637"/>
      <c r="OL53" s="637"/>
      <c r="OM53" s="637"/>
      <c r="ON53" s="637"/>
      <c r="OO53" s="637"/>
      <c r="OP53" s="637"/>
      <c r="OQ53" s="637"/>
      <c r="OR53" s="637"/>
      <c r="OS53" s="637"/>
      <c r="OT53" s="637"/>
      <c r="OU53" s="637"/>
      <c r="OV53" s="637"/>
      <c r="OW53" s="637"/>
      <c r="OX53" s="637"/>
      <c r="OY53" s="637"/>
      <c r="OZ53" s="637"/>
      <c r="PA53" s="637"/>
      <c r="PB53" s="637"/>
      <c r="PC53" s="637"/>
      <c r="PD53" s="637"/>
      <c r="PE53" s="637"/>
      <c r="PF53" s="637"/>
      <c r="PG53" s="637"/>
      <c r="PH53" s="637"/>
      <c r="PI53" s="637"/>
      <c r="PJ53" s="637"/>
      <c r="PK53" s="637"/>
      <c r="PL53" s="637"/>
      <c r="PM53" s="637"/>
      <c r="PN53" s="637"/>
      <c r="PO53" s="637"/>
      <c r="PP53" s="637"/>
      <c r="PQ53" s="637"/>
      <c r="PR53" s="637"/>
      <c r="PS53" s="637"/>
      <c r="PT53" s="637"/>
      <c r="PU53" s="637"/>
      <c r="PV53" s="637"/>
      <c r="PW53" s="637"/>
      <c r="PX53" s="637"/>
      <c r="PY53" s="637"/>
      <c r="PZ53" s="637"/>
      <c r="QA53" s="637"/>
      <c r="QB53" s="637"/>
      <c r="QC53" s="637"/>
      <c r="QD53" s="637"/>
      <c r="QE53" s="637"/>
      <c r="QF53" s="637"/>
      <c r="QG53" s="637"/>
      <c r="QH53" s="637"/>
      <c r="QI53" s="637"/>
      <c r="QJ53" s="637"/>
      <c r="QK53" s="637"/>
      <c r="QL53" s="637"/>
      <c r="QM53" s="637"/>
      <c r="QN53" s="637"/>
      <c r="QO53" s="637"/>
      <c r="QP53" s="637"/>
      <c r="QQ53" s="637"/>
      <c r="QR53" s="637"/>
      <c r="QS53" s="637"/>
      <c r="QT53" s="637"/>
      <c r="QU53" s="637"/>
      <c r="QV53" s="637"/>
      <c r="QW53" s="637"/>
      <c r="QX53" s="637"/>
      <c r="QY53" s="637"/>
      <c r="QZ53" s="637"/>
      <c r="RA53" s="637"/>
      <c r="RB53" s="637"/>
      <c r="RC53" s="637"/>
      <c r="RD53" s="637"/>
      <c r="RE53" s="637"/>
      <c r="RF53" s="637"/>
      <c r="RG53" s="637"/>
      <c r="RH53" s="637"/>
      <c r="RI53" s="637"/>
      <c r="RJ53" s="637"/>
      <c r="RK53" s="637"/>
      <c r="RL53" s="637"/>
      <c r="RM53" s="637"/>
      <c r="RN53" s="637"/>
      <c r="RO53" s="637"/>
      <c r="RP53" s="637"/>
      <c r="RQ53" s="637"/>
      <c r="RR53" s="637"/>
      <c r="RS53" s="637"/>
      <c r="RT53" s="637"/>
      <c r="RU53" s="637"/>
      <c r="RV53" s="637"/>
      <c r="RW53" s="637"/>
      <c r="RX53" s="637"/>
      <c r="RY53" s="637"/>
      <c r="RZ53" s="637"/>
      <c r="SA53" s="637"/>
      <c r="SB53" s="637"/>
      <c r="SC53" s="637"/>
      <c r="SD53" s="637"/>
      <c r="SE53" s="637"/>
      <c r="SF53" s="637"/>
      <c r="SG53" s="637"/>
      <c r="SH53" s="637"/>
      <c r="SI53" s="637"/>
      <c r="SJ53" s="637"/>
      <c r="SK53" s="637"/>
      <c r="SL53" s="637"/>
      <c r="SM53" s="637"/>
      <c r="SN53" s="637"/>
      <c r="SO53" s="637"/>
      <c r="SP53" s="637"/>
      <c r="SQ53" s="637"/>
      <c r="SR53" s="637"/>
      <c r="SS53" s="637"/>
      <c r="ST53" s="637"/>
      <c r="SU53" s="637"/>
      <c r="SV53" s="637"/>
      <c r="SW53" s="637"/>
      <c r="SX53" s="637"/>
      <c r="SY53" s="637"/>
      <c r="SZ53" s="637"/>
      <c r="TA53" s="637"/>
      <c r="TB53" s="637"/>
      <c r="TC53" s="637"/>
      <c r="TD53" s="637"/>
      <c r="TE53" s="637"/>
      <c r="TF53" s="637"/>
      <c r="TG53" s="637"/>
      <c r="TH53" s="637"/>
      <c r="TI53" s="637"/>
      <c r="TJ53" s="637"/>
      <c r="TK53" s="637"/>
      <c r="TL53" s="637"/>
      <c r="TM53" s="637"/>
      <c r="TN53" s="637"/>
      <c r="TO53" s="637"/>
      <c r="TP53" s="637"/>
      <c r="TQ53" s="637"/>
      <c r="TR53" s="637"/>
      <c r="TS53" s="637"/>
      <c r="TT53" s="637"/>
      <c r="TU53" s="637"/>
      <c r="TV53" s="637"/>
      <c r="TW53" s="637"/>
      <c r="TX53" s="637"/>
      <c r="TY53" s="637"/>
      <c r="TZ53" s="637"/>
      <c r="UA53" s="637"/>
      <c r="UB53" s="637"/>
      <c r="UC53" s="637"/>
      <c r="UD53" s="637"/>
      <c r="UE53" s="637"/>
      <c r="UF53" s="637"/>
      <c r="UG53" s="637"/>
      <c r="UH53" s="637"/>
      <c r="UI53" s="637"/>
      <c r="UJ53" s="637"/>
      <c r="UK53" s="637"/>
      <c r="UL53" s="637"/>
      <c r="UM53" s="637"/>
      <c r="UN53" s="637"/>
      <c r="UO53" s="637"/>
      <c r="UP53" s="637"/>
      <c r="UQ53" s="637"/>
      <c r="UR53" s="637"/>
      <c r="US53" s="637"/>
      <c r="UT53" s="637"/>
      <c r="UU53" s="637"/>
      <c r="UV53" s="637"/>
      <c r="UW53" s="637"/>
      <c r="UX53" s="637"/>
      <c r="UY53" s="637"/>
      <c r="UZ53" s="637"/>
      <c r="VA53" s="637"/>
      <c r="VB53" s="637"/>
      <c r="VC53" s="637"/>
      <c r="VD53" s="637"/>
      <c r="VE53" s="637"/>
      <c r="VF53" s="637"/>
      <c r="VG53" s="637"/>
      <c r="VH53" s="637"/>
      <c r="VI53" s="637"/>
      <c r="VJ53" s="637"/>
      <c r="VK53" s="637"/>
      <c r="VL53" s="637"/>
      <c r="VM53" s="637"/>
      <c r="VN53" s="637"/>
      <c r="VO53" s="637"/>
      <c r="VP53" s="637"/>
      <c r="VQ53" s="637"/>
      <c r="VR53" s="637"/>
      <c r="VS53" s="637"/>
      <c r="VT53" s="637"/>
      <c r="VU53" s="637"/>
      <c r="VV53" s="637"/>
      <c r="VW53" s="637"/>
      <c r="VX53" s="637"/>
      <c r="VY53" s="637"/>
      <c r="VZ53" s="637"/>
      <c r="WA53" s="637"/>
      <c r="WB53" s="637"/>
      <c r="WC53" s="637"/>
      <c r="WD53" s="637"/>
      <c r="WE53" s="637"/>
      <c r="WF53" s="637"/>
      <c r="WG53" s="637"/>
      <c r="WH53" s="637"/>
      <c r="WI53" s="637"/>
      <c r="WJ53" s="637"/>
      <c r="WK53" s="637"/>
      <c r="WL53" s="637"/>
      <c r="WM53" s="637"/>
      <c r="WN53" s="637"/>
      <c r="WO53" s="637"/>
      <c r="WP53" s="637"/>
      <c r="WQ53" s="637"/>
      <c r="WR53" s="637"/>
      <c r="WS53" s="637"/>
      <c r="WT53" s="637"/>
      <c r="WU53" s="637"/>
      <c r="WV53" s="637"/>
      <c r="WW53" s="637"/>
      <c r="WX53" s="637"/>
      <c r="WY53" s="637"/>
      <c r="WZ53" s="637"/>
      <c r="XA53" s="637"/>
      <c r="XB53" s="637"/>
      <c r="XC53" s="637"/>
      <c r="XD53" s="637"/>
      <c r="XE53" s="637"/>
      <c r="XF53" s="637"/>
      <c r="XG53" s="637"/>
      <c r="XH53" s="637"/>
      <c r="XI53" s="637"/>
      <c r="XJ53" s="637"/>
      <c r="XK53" s="637"/>
      <c r="XL53" s="637"/>
      <c r="XM53" s="637"/>
      <c r="XN53" s="637"/>
      <c r="XO53" s="637"/>
      <c r="XP53" s="637"/>
      <c r="XQ53" s="637"/>
      <c r="XR53" s="637"/>
      <c r="XS53" s="637"/>
      <c r="XT53" s="637"/>
      <c r="XU53" s="637"/>
      <c r="XV53" s="637"/>
      <c r="XW53" s="637"/>
      <c r="XX53" s="637"/>
      <c r="XY53" s="637"/>
      <c r="XZ53" s="637"/>
      <c r="YA53" s="637"/>
      <c r="YB53" s="637"/>
      <c r="YC53" s="637"/>
      <c r="YD53" s="637"/>
      <c r="YE53" s="637"/>
      <c r="YF53" s="637"/>
      <c r="YG53" s="637"/>
      <c r="YH53" s="637"/>
      <c r="YI53" s="637"/>
      <c r="YJ53" s="637"/>
      <c r="YK53" s="637"/>
      <c r="YL53" s="637"/>
      <c r="YM53" s="637"/>
      <c r="YN53" s="637"/>
      <c r="YO53" s="637"/>
      <c r="YP53" s="637"/>
      <c r="YQ53" s="637"/>
      <c r="YR53" s="637"/>
      <c r="YS53" s="637"/>
      <c r="YT53" s="637"/>
      <c r="YU53" s="637"/>
      <c r="YV53" s="637"/>
      <c r="YW53" s="637"/>
      <c r="YX53" s="637"/>
      <c r="YY53" s="637"/>
      <c r="YZ53" s="637"/>
      <c r="ZA53" s="637"/>
      <c r="ZB53" s="637"/>
      <c r="ZC53" s="637"/>
      <c r="ZD53" s="637"/>
      <c r="ZE53" s="637"/>
      <c r="ZF53" s="637"/>
      <c r="ZG53" s="637"/>
      <c r="ZH53" s="637"/>
      <c r="ZI53" s="637"/>
      <c r="ZJ53" s="637"/>
      <c r="ZK53" s="637"/>
      <c r="ZL53" s="637"/>
      <c r="ZM53" s="637"/>
      <c r="ZN53" s="637"/>
      <c r="ZO53" s="637"/>
      <c r="ZP53" s="637"/>
      <c r="ZQ53" s="637"/>
      <c r="ZR53" s="637"/>
      <c r="ZS53" s="637"/>
      <c r="ZT53" s="637"/>
      <c r="ZU53" s="637"/>
      <c r="ZV53" s="637"/>
      <c r="ZW53" s="637"/>
      <c r="ZX53" s="637"/>
      <c r="ZY53" s="637"/>
      <c r="ZZ53" s="637"/>
      <c r="AAA53" s="637"/>
      <c r="AAB53" s="637"/>
      <c r="AAC53" s="637"/>
      <c r="AAD53" s="637"/>
      <c r="AAE53" s="637"/>
      <c r="AAF53" s="637"/>
      <c r="AAG53" s="637"/>
      <c r="AAH53" s="637"/>
      <c r="AAI53" s="637"/>
      <c r="AAJ53" s="637"/>
      <c r="AAK53" s="637"/>
      <c r="AAL53" s="637"/>
      <c r="AAM53" s="637"/>
      <c r="AAN53" s="637"/>
      <c r="AAO53" s="637"/>
      <c r="AAP53" s="637"/>
      <c r="AAQ53" s="637"/>
      <c r="AAR53" s="637"/>
      <c r="AAS53" s="637"/>
      <c r="AAT53" s="637"/>
      <c r="AAU53" s="637"/>
      <c r="AAV53" s="637"/>
      <c r="AAW53" s="637"/>
      <c r="AAX53" s="637"/>
      <c r="AAY53" s="637"/>
      <c r="AAZ53" s="637"/>
      <c r="ABA53" s="637"/>
      <c r="ABB53" s="637"/>
      <c r="ABC53" s="637"/>
      <c r="ABD53" s="637"/>
      <c r="ABE53" s="637"/>
      <c r="ABF53" s="637"/>
      <c r="ABG53" s="637"/>
      <c r="ABH53" s="637"/>
      <c r="ABI53" s="637"/>
      <c r="ABJ53" s="637"/>
      <c r="ABK53" s="637"/>
      <c r="ABL53" s="637"/>
      <c r="ABM53" s="637"/>
      <c r="ABN53" s="637"/>
      <c r="ABO53" s="637"/>
      <c r="ABP53" s="637"/>
      <c r="ABQ53" s="637"/>
      <c r="ABR53" s="637"/>
      <c r="ABS53" s="637"/>
      <c r="ABT53" s="637"/>
      <c r="ABU53" s="637"/>
      <c r="ABV53" s="637"/>
      <c r="ABW53" s="637"/>
      <c r="ABX53" s="637"/>
      <c r="ABY53" s="637"/>
      <c r="ABZ53" s="637"/>
      <c r="ACA53" s="637"/>
      <c r="ACB53" s="637"/>
      <c r="ACC53" s="637"/>
      <c r="ACD53" s="637"/>
      <c r="ACE53" s="637"/>
      <c r="ACF53" s="637"/>
      <c r="ACG53" s="637"/>
      <c r="ACH53" s="637"/>
      <c r="ACI53" s="637"/>
      <c r="ACJ53" s="637"/>
      <c r="ACK53" s="637"/>
      <c r="ACL53" s="637"/>
      <c r="ACM53" s="637"/>
      <c r="ACN53" s="637"/>
      <c r="ACO53" s="637"/>
      <c r="ACP53" s="637"/>
      <c r="ACQ53" s="637"/>
      <c r="ACR53" s="637"/>
      <c r="ACS53" s="637"/>
      <c r="ACT53" s="637"/>
      <c r="ACU53" s="637"/>
      <c r="ACV53" s="637"/>
      <c r="ACW53" s="637"/>
      <c r="ACX53" s="637"/>
      <c r="ACY53" s="637"/>
      <c r="ACZ53" s="637"/>
      <c r="ADA53" s="637"/>
      <c r="ADB53" s="637"/>
      <c r="ADC53" s="637"/>
      <c r="ADD53" s="637"/>
      <c r="ADE53" s="637"/>
      <c r="ADF53" s="637"/>
      <c r="ADG53" s="637"/>
      <c r="ADH53" s="637"/>
      <c r="ADI53" s="637"/>
      <c r="ADJ53" s="637"/>
      <c r="ADK53" s="637"/>
      <c r="ADL53" s="637"/>
      <c r="ADM53" s="637"/>
      <c r="ADN53" s="637"/>
      <c r="ADO53" s="637"/>
      <c r="ADP53" s="637"/>
      <c r="ADQ53" s="637"/>
      <c r="ADR53" s="637"/>
      <c r="ADS53" s="637"/>
      <c r="ADT53" s="637"/>
      <c r="ADU53" s="637"/>
      <c r="ADV53" s="637"/>
      <c r="ADW53" s="637"/>
      <c r="ADX53" s="637"/>
      <c r="ADY53" s="637"/>
      <c r="ADZ53" s="637"/>
      <c r="AEA53" s="637"/>
      <c r="AEB53" s="637"/>
      <c r="AEC53" s="637"/>
      <c r="AED53" s="637"/>
      <c r="AEE53" s="637"/>
      <c r="AEF53" s="637"/>
      <c r="AEG53" s="637"/>
      <c r="AEH53" s="637"/>
      <c r="AEI53" s="637"/>
      <c r="AEJ53" s="637"/>
      <c r="AEK53" s="637"/>
      <c r="AEL53" s="637"/>
      <c r="AEM53" s="637"/>
      <c r="AEN53" s="637"/>
      <c r="AEO53" s="637"/>
      <c r="AEP53" s="637"/>
      <c r="AEQ53" s="637"/>
      <c r="AER53" s="637"/>
      <c r="AES53" s="637"/>
      <c r="AET53" s="637"/>
      <c r="AEU53" s="637"/>
      <c r="AEV53" s="637"/>
      <c r="AEW53" s="637"/>
      <c r="AEX53" s="637"/>
      <c r="AEY53" s="637"/>
      <c r="AEZ53" s="637"/>
      <c r="AFA53" s="637"/>
      <c r="AFB53" s="637"/>
      <c r="AFC53" s="637"/>
      <c r="AFD53" s="637"/>
      <c r="AFE53" s="637"/>
      <c r="AFF53" s="637"/>
      <c r="AFG53" s="637"/>
      <c r="AFH53" s="637"/>
      <c r="AFI53" s="637"/>
      <c r="AFJ53" s="637"/>
      <c r="AFK53" s="637"/>
      <c r="AFL53" s="637"/>
      <c r="AFM53" s="637"/>
      <c r="AFN53" s="637"/>
      <c r="AFO53" s="637"/>
      <c r="AFP53" s="637"/>
      <c r="AFQ53" s="637"/>
      <c r="AFR53" s="637"/>
      <c r="AFS53" s="637"/>
      <c r="AFT53" s="637"/>
      <c r="AFU53" s="637"/>
      <c r="AFV53" s="637"/>
      <c r="AFW53" s="637"/>
      <c r="AFX53" s="637"/>
      <c r="AFY53" s="637"/>
      <c r="AFZ53" s="637"/>
      <c r="AGA53" s="637"/>
      <c r="AGB53" s="637"/>
      <c r="AGC53" s="637"/>
      <c r="AGD53" s="637"/>
      <c r="AGE53" s="637"/>
      <c r="AGF53" s="637"/>
      <c r="AGG53" s="637"/>
      <c r="AGH53" s="637"/>
      <c r="AGI53" s="637"/>
      <c r="AGJ53" s="637"/>
      <c r="AGK53" s="637"/>
      <c r="AGL53" s="637"/>
      <c r="AGM53" s="637"/>
      <c r="AGN53" s="637"/>
      <c r="AGO53" s="637"/>
      <c r="AGP53" s="637"/>
      <c r="AGQ53" s="637"/>
      <c r="AGR53" s="637"/>
      <c r="AGS53" s="637"/>
      <c r="AGT53" s="637"/>
      <c r="AGU53" s="637"/>
      <c r="AGV53" s="637"/>
      <c r="AGW53" s="637"/>
      <c r="AGX53" s="637"/>
      <c r="AGY53" s="637"/>
      <c r="AGZ53" s="637"/>
      <c r="AHA53" s="637"/>
      <c r="AHB53" s="637"/>
      <c r="AHC53" s="637"/>
      <c r="AHD53" s="637"/>
      <c r="AHE53" s="637"/>
      <c r="AHF53" s="637"/>
      <c r="AHG53" s="637"/>
      <c r="AHH53" s="637"/>
      <c r="AHI53" s="637"/>
      <c r="AHJ53" s="637"/>
      <c r="AHK53" s="637"/>
      <c r="AHL53" s="637"/>
      <c r="AHM53" s="637"/>
      <c r="AHN53" s="637"/>
      <c r="AHO53" s="637"/>
      <c r="AHP53" s="637"/>
      <c r="AHQ53" s="637"/>
      <c r="AHR53" s="637"/>
      <c r="AHS53" s="637"/>
      <c r="AHT53" s="637"/>
      <c r="AHU53" s="637"/>
      <c r="AHV53" s="637"/>
      <c r="AHW53" s="637"/>
      <c r="AHX53" s="637"/>
      <c r="AHY53" s="637"/>
      <c r="AHZ53" s="637"/>
      <c r="AIA53" s="637"/>
      <c r="AIB53" s="637"/>
      <c r="AIC53" s="637"/>
      <c r="AID53" s="637"/>
      <c r="AIE53" s="637"/>
      <c r="AIF53" s="637"/>
      <c r="AIG53" s="637"/>
      <c r="AIH53" s="637"/>
      <c r="AII53" s="637"/>
      <c r="AIJ53" s="637"/>
      <c r="AIK53" s="637"/>
      <c r="AIL53" s="637"/>
      <c r="AIM53" s="637"/>
      <c r="AIN53" s="637"/>
      <c r="AIO53" s="637"/>
      <c r="AIP53" s="637"/>
      <c r="AIQ53" s="637"/>
      <c r="AIR53" s="637"/>
      <c r="AIS53" s="637"/>
      <c r="AIT53" s="637"/>
      <c r="AIU53" s="637"/>
      <c r="AIV53" s="637"/>
      <c r="AIW53" s="637"/>
      <c r="AIX53" s="637"/>
      <c r="AIY53" s="637"/>
      <c r="AIZ53" s="637"/>
      <c r="AJA53" s="637"/>
      <c r="AJB53" s="637"/>
      <c r="AJC53" s="637"/>
      <c r="AJD53" s="637"/>
      <c r="AJE53" s="637"/>
      <c r="AJF53" s="637"/>
      <c r="AJG53" s="637"/>
      <c r="AJH53" s="637"/>
      <c r="AJI53" s="637"/>
      <c r="AJJ53" s="637"/>
      <c r="AJK53" s="637"/>
      <c r="AJL53" s="637"/>
      <c r="AJM53" s="637"/>
      <c r="AJN53" s="637"/>
      <c r="AJO53" s="637"/>
      <c r="AJP53" s="637"/>
      <c r="AJQ53" s="637"/>
      <c r="AJR53" s="637"/>
      <c r="AJS53" s="637"/>
      <c r="AJT53" s="637"/>
      <c r="AJU53" s="637"/>
      <c r="AJV53" s="637"/>
      <c r="AJW53" s="637"/>
      <c r="AJX53" s="637"/>
      <c r="AJY53" s="637"/>
      <c r="AJZ53" s="637"/>
      <c r="AKA53" s="637"/>
      <c r="AKB53" s="637"/>
      <c r="AKC53" s="637"/>
      <c r="AKD53" s="637"/>
      <c r="AKE53" s="637"/>
      <c r="AKF53" s="637"/>
      <c r="AKG53" s="637"/>
      <c r="AKH53" s="637"/>
      <c r="AKI53" s="637"/>
      <c r="AKJ53" s="637"/>
      <c r="AKK53" s="637"/>
      <c r="AKL53" s="637"/>
      <c r="AKM53" s="637"/>
      <c r="AKN53" s="637"/>
      <c r="AKO53" s="637"/>
      <c r="AKP53" s="637"/>
      <c r="AKQ53" s="637"/>
      <c r="AKR53" s="637"/>
      <c r="AKS53" s="637"/>
      <c r="AKT53" s="637"/>
      <c r="AKU53" s="637"/>
      <c r="AKV53" s="637"/>
      <c r="AKW53" s="637"/>
      <c r="AKX53" s="637"/>
      <c r="AKY53" s="637"/>
      <c r="AKZ53" s="637"/>
      <c r="ALA53" s="637"/>
      <c r="ALB53" s="637"/>
      <c r="ALC53" s="637"/>
      <c r="ALD53" s="637"/>
      <c r="ALE53" s="637"/>
      <c r="ALF53" s="637"/>
      <c r="ALG53" s="637"/>
      <c r="ALH53" s="637"/>
      <c r="ALI53" s="637"/>
      <c r="ALJ53" s="637"/>
      <c r="ALK53" s="637"/>
      <c r="ALL53" s="637"/>
      <c r="ALM53" s="637"/>
      <c r="ALN53" s="637"/>
      <c r="ALO53" s="637"/>
      <c r="ALP53" s="637"/>
      <c r="ALQ53" s="637"/>
      <c r="ALR53" s="637"/>
      <c r="ALS53" s="637"/>
      <c r="ALT53" s="637"/>
      <c r="ALU53" s="637"/>
      <c r="ALV53" s="637"/>
      <c r="ALW53" s="637"/>
      <c r="ALX53" s="637"/>
      <c r="ALY53" s="637"/>
      <c r="ALZ53" s="637"/>
      <c r="AMA53" s="637"/>
      <c r="AMB53" s="637"/>
      <c r="AMC53" s="637"/>
      <c r="AMD53" s="637"/>
      <c r="AME53" s="637"/>
      <c r="AMF53" s="637"/>
      <c r="AMG53" s="637"/>
      <c r="AMH53" s="637"/>
      <c r="AMI53" s="637"/>
      <c r="AMJ53" s="637"/>
    </row>
    <row r="54" spans="1:1024" s="638" customFormat="1" ht="12.75">
      <c r="A54" s="984"/>
      <c r="B54" s="985"/>
      <c r="C54" s="986"/>
      <c r="D54" s="981" t="s">
        <v>1041</v>
      </c>
      <c r="E54" s="982"/>
      <c r="F54" s="982">
        <f t="shared" si="3"/>
        <v>5780</v>
      </c>
      <c r="G54" s="987">
        <f>7111-133-3000</f>
        <v>3978</v>
      </c>
      <c r="H54" s="987">
        <f>1960-291</f>
        <v>1669</v>
      </c>
      <c r="I54" s="987">
        <v>133</v>
      </c>
      <c r="J54" s="987"/>
      <c r="K54" s="987"/>
      <c r="L54" s="987"/>
      <c r="M54" s="987"/>
      <c r="N54" s="987"/>
      <c r="O54" s="987"/>
      <c r="P54" s="987"/>
      <c r="Q54" s="987"/>
      <c r="R54" s="984"/>
      <c r="S54" s="637"/>
      <c r="T54" s="637"/>
      <c r="U54" s="637"/>
      <c r="V54" s="637"/>
      <c r="W54" s="637"/>
      <c r="X54" s="637"/>
      <c r="Y54" s="637"/>
      <c r="Z54" s="637"/>
      <c r="AA54" s="637"/>
      <c r="AB54" s="637"/>
      <c r="AC54" s="637"/>
      <c r="AD54" s="637"/>
      <c r="AE54" s="637"/>
      <c r="AF54" s="637"/>
      <c r="AG54" s="637"/>
      <c r="AH54" s="637"/>
      <c r="AI54" s="637"/>
      <c r="AJ54" s="637"/>
      <c r="AK54" s="637"/>
      <c r="AL54" s="637"/>
      <c r="AM54" s="637"/>
      <c r="AN54" s="637"/>
      <c r="AO54" s="637"/>
      <c r="AP54" s="637"/>
      <c r="AQ54" s="637"/>
      <c r="AR54" s="637"/>
      <c r="AS54" s="637"/>
      <c r="AT54" s="637"/>
      <c r="AU54" s="637"/>
      <c r="AV54" s="637"/>
      <c r="AW54" s="637"/>
      <c r="AX54" s="637"/>
      <c r="AY54" s="637"/>
      <c r="AZ54" s="637"/>
      <c r="BA54" s="637"/>
      <c r="BB54" s="637"/>
      <c r="BC54" s="637"/>
      <c r="BD54" s="637"/>
      <c r="BE54" s="637"/>
      <c r="BF54" s="637"/>
      <c r="BG54" s="637"/>
      <c r="BH54" s="637"/>
      <c r="BI54" s="637"/>
      <c r="BJ54" s="637"/>
      <c r="BK54" s="637"/>
      <c r="BL54" s="637"/>
      <c r="BM54" s="637"/>
      <c r="BN54" s="637"/>
      <c r="BO54" s="637"/>
      <c r="BP54" s="637"/>
      <c r="BQ54" s="637"/>
      <c r="BR54" s="637"/>
      <c r="BS54" s="637"/>
      <c r="BT54" s="637"/>
      <c r="BU54" s="637"/>
      <c r="BV54" s="637"/>
      <c r="BW54" s="637"/>
      <c r="BX54" s="637"/>
      <c r="BY54" s="637"/>
      <c r="BZ54" s="637"/>
      <c r="CA54" s="637"/>
      <c r="CB54" s="637"/>
      <c r="CC54" s="637"/>
      <c r="CD54" s="637"/>
      <c r="CE54" s="637"/>
      <c r="CF54" s="637"/>
      <c r="CG54" s="637"/>
      <c r="CH54" s="637"/>
      <c r="CI54" s="637"/>
      <c r="CJ54" s="637"/>
      <c r="CK54" s="637"/>
      <c r="CL54" s="637"/>
      <c r="CM54" s="637"/>
      <c r="CN54" s="637"/>
      <c r="CO54" s="637"/>
      <c r="CP54" s="637"/>
      <c r="CQ54" s="637"/>
      <c r="CR54" s="637"/>
      <c r="CS54" s="637"/>
      <c r="CT54" s="637"/>
      <c r="CU54" s="637"/>
      <c r="CV54" s="637"/>
      <c r="CW54" s="637"/>
      <c r="CX54" s="637"/>
      <c r="CY54" s="637"/>
      <c r="CZ54" s="637"/>
      <c r="DA54" s="637"/>
      <c r="DB54" s="637"/>
      <c r="DC54" s="637"/>
      <c r="DD54" s="637"/>
      <c r="DE54" s="637"/>
      <c r="DF54" s="637"/>
      <c r="DG54" s="637"/>
      <c r="DH54" s="637"/>
      <c r="DI54" s="637"/>
      <c r="DJ54" s="637"/>
      <c r="DK54" s="637"/>
      <c r="DL54" s="637"/>
      <c r="DM54" s="637"/>
      <c r="DN54" s="637"/>
      <c r="DO54" s="637"/>
      <c r="DP54" s="637"/>
      <c r="DQ54" s="637"/>
      <c r="DR54" s="637"/>
      <c r="DS54" s="637"/>
      <c r="DT54" s="637"/>
      <c r="DU54" s="637"/>
      <c r="DV54" s="637"/>
      <c r="DW54" s="637"/>
      <c r="DX54" s="637"/>
      <c r="DY54" s="637"/>
      <c r="DZ54" s="637"/>
      <c r="EA54" s="637"/>
      <c r="EB54" s="637"/>
      <c r="EC54" s="637"/>
      <c r="ED54" s="637"/>
      <c r="EE54" s="637"/>
      <c r="EF54" s="637"/>
      <c r="EG54" s="637"/>
      <c r="EH54" s="637"/>
      <c r="EI54" s="637"/>
      <c r="EJ54" s="637"/>
      <c r="EK54" s="637"/>
      <c r="EL54" s="637"/>
      <c r="EM54" s="637"/>
      <c r="EN54" s="637"/>
      <c r="EO54" s="637"/>
      <c r="EP54" s="637"/>
      <c r="EQ54" s="637"/>
      <c r="ER54" s="637"/>
      <c r="ES54" s="637"/>
      <c r="ET54" s="637"/>
      <c r="EU54" s="637"/>
      <c r="EV54" s="637"/>
      <c r="EW54" s="637"/>
      <c r="EX54" s="637"/>
      <c r="EY54" s="637"/>
      <c r="EZ54" s="637"/>
      <c r="FA54" s="637"/>
      <c r="FB54" s="637"/>
      <c r="FC54" s="637"/>
      <c r="FD54" s="637"/>
      <c r="FE54" s="637"/>
      <c r="FF54" s="637"/>
      <c r="FG54" s="637"/>
      <c r="FH54" s="637"/>
      <c r="FI54" s="637"/>
      <c r="FJ54" s="637"/>
      <c r="FK54" s="637"/>
      <c r="FL54" s="637"/>
      <c r="FM54" s="637"/>
      <c r="FN54" s="637"/>
      <c r="FO54" s="637"/>
      <c r="FP54" s="637"/>
      <c r="FQ54" s="637"/>
      <c r="FR54" s="637"/>
      <c r="FS54" s="637"/>
      <c r="FT54" s="637"/>
      <c r="FU54" s="637"/>
      <c r="FV54" s="637"/>
      <c r="FW54" s="637"/>
      <c r="FX54" s="637"/>
      <c r="FY54" s="637"/>
      <c r="FZ54" s="637"/>
      <c r="GA54" s="637"/>
      <c r="GB54" s="637"/>
      <c r="GC54" s="637"/>
      <c r="GD54" s="637"/>
      <c r="GE54" s="637"/>
      <c r="GF54" s="637"/>
      <c r="GG54" s="637"/>
      <c r="GH54" s="637"/>
      <c r="GI54" s="637"/>
      <c r="GJ54" s="637"/>
      <c r="GK54" s="637"/>
      <c r="GL54" s="637"/>
      <c r="GM54" s="637"/>
      <c r="GN54" s="637"/>
      <c r="GO54" s="637"/>
      <c r="GP54" s="637"/>
      <c r="GQ54" s="637"/>
      <c r="GR54" s="637"/>
      <c r="GS54" s="637"/>
      <c r="GT54" s="637"/>
      <c r="GU54" s="637"/>
      <c r="GV54" s="637"/>
      <c r="GW54" s="637"/>
      <c r="GX54" s="637"/>
      <c r="GY54" s="637"/>
      <c r="GZ54" s="637"/>
      <c r="HA54" s="637"/>
      <c r="HB54" s="637"/>
      <c r="HC54" s="637"/>
      <c r="HD54" s="637"/>
      <c r="HE54" s="637"/>
      <c r="HF54" s="637"/>
      <c r="HG54" s="637"/>
      <c r="HH54" s="637"/>
      <c r="HI54" s="637"/>
      <c r="HJ54" s="637"/>
      <c r="HK54" s="637"/>
      <c r="HL54" s="637"/>
      <c r="HM54" s="637"/>
      <c r="HN54" s="637"/>
      <c r="HO54" s="637"/>
      <c r="HP54" s="637"/>
      <c r="HQ54" s="637"/>
      <c r="HR54" s="637"/>
      <c r="HS54" s="637"/>
      <c r="HT54" s="637"/>
      <c r="HU54" s="637"/>
      <c r="HV54" s="637"/>
      <c r="HW54" s="637"/>
      <c r="HX54" s="637"/>
      <c r="HY54" s="637"/>
      <c r="HZ54" s="637"/>
      <c r="IA54" s="637"/>
      <c r="IB54" s="637"/>
      <c r="IC54" s="637"/>
      <c r="ID54" s="637"/>
      <c r="IE54" s="637"/>
      <c r="IF54" s="637"/>
      <c r="IG54" s="637"/>
      <c r="IH54" s="637"/>
      <c r="II54" s="637"/>
      <c r="IJ54" s="637"/>
      <c r="IK54" s="637"/>
      <c r="IL54" s="637"/>
      <c r="IM54" s="637"/>
      <c r="IN54" s="637"/>
      <c r="IO54" s="637"/>
      <c r="IP54" s="637"/>
      <c r="IQ54" s="637"/>
      <c r="IR54" s="637"/>
      <c r="IS54" s="637"/>
      <c r="IT54" s="637"/>
      <c r="IU54" s="637"/>
      <c r="IV54" s="637"/>
      <c r="IW54" s="637"/>
      <c r="IX54" s="637"/>
      <c r="IY54" s="637"/>
      <c r="IZ54" s="637"/>
      <c r="JA54" s="637"/>
      <c r="JB54" s="637"/>
      <c r="JC54" s="637"/>
      <c r="JD54" s="637"/>
      <c r="JE54" s="637"/>
      <c r="JF54" s="637"/>
      <c r="JG54" s="637"/>
      <c r="JH54" s="637"/>
      <c r="JI54" s="637"/>
      <c r="JJ54" s="637"/>
      <c r="JK54" s="637"/>
      <c r="JL54" s="637"/>
      <c r="JM54" s="637"/>
      <c r="JN54" s="637"/>
      <c r="JO54" s="637"/>
      <c r="JP54" s="637"/>
      <c r="JQ54" s="637"/>
      <c r="JR54" s="637"/>
      <c r="JS54" s="637"/>
      <c r="JT54" s="637"/>
      <c r="JU54" s="637"/>
      <c r="JV54" s="637"/>
      <c r="JW54" s="637"/>
      <c r="JX54" s="637"/>
      <c r="JY54" s="637"/>
      <c r="JZ54" s="637"/>
      <c r="KA54" s="637"/>
      <c r="KB54" s="637"/>
      <c r="KC54" s="637"/>
      <c r="KD54" s="637"/>
      <c r="KE54" s="637"/>
      <c r="KF54" s="637"/>
      <c r="KG54" s="637"/>
      <c r="KH54" s="637"/>
      <c r="KI54" s="637"/>
      <c r="KJ54" s="637"/>
      <c r="KK54" s="637"/>
      <c r="KL54" s="637"/>
      <c r="KM54" s="637"/>
      <c r="KN54" s="637"/>
      <c r="KO54" s="637"/>
      <c r="KP54" s="637"/>
      <c r="KQ54" s="637"/>
      <c r="KR54" s="637"/>
      <c r="KS54" s="637"/>
      <c r="KT54" s="637"/>
      <c r="KU54" s="637"/>
      <c r="KV54" s="637"/>
      <c r="KW54" s="637"/>
      <c r="KX54" s="637"/>
      <c r="KY54" s="637"/>
      <c r="KZ54" s="637"/>
      <c r="LA54" s="637"/>
      <c r="LB54" s="637"/>
      <c r="LC54" s="637"/>
      <c r="LD54" s="637"/>
      <c r="LE54" s="637"/>
      <c r="LF54" s="637"/>
      <c r="LG54" s="637"/>
      <c r="LH54" s="637"/>
      <c r="LI54" s="637"/>
      <c r="LJ54" s="637"/>
      <c r="LK54" s="637"/>
      <c r="LL54" s="637"/>
      <c r="LM54" s="637"/>
      <c r="LN54" s="637"/>
      <c r="LO54" s="637"/>
      <c r="LP54" s="637"/>
      <c r="LQ54" s="637"/>
      <c r="LR54" s="637"/>
      <c r="LS54" s="637"/>
      <c r="LT54" s="637"/>
      <c r="LU54" s="637"/>
      <c r="LV54" s="637"/>
      <c r="LW54" s="637"/>
      <c r="LX54" s="637"/>
      <c r="LY54" s="637"/>
      <c r="LZ54" s="637"/>
      <c r="MA54" s="637"/>
      <c r="MB54" s="637"/>
      <c r="MC54" s="637"/>
      <c r="MD54" s="637"/>
      <c r="ME54" s="637"/>
      <c r="MF54" s="637"/>
      <c r="MG54" s="637"/>
      <c r="MH54" s="637"/>
      <c r="MI54" s="637"/>
      <c r="MJ54" s="637"/>
      <c r="MK54" s="637"/>
      <c r="ML54" s="637"/>
      <c r="MM54" s="637"/>
      <c r="MN54" s="637"/>
      <c r="MO54" s="637"/>
      <c r="MP54" s="637"/>
      <c r="MQ54" s="637"/>
      <c r="MR54" s="637"/>
      <c r="MS54" s="637"/>
      <c r="MT54" s="637"/>
      <c r="MU54" s="637"/>
      <c r="MV54" s="637"/>
      <c r="MW54" s="637"/>
      <c r="MX54" s="637"/>
      <c r="MY54" s="637"/>
      <c r="MZ54" s="637"/>
      <c r="NA54" s="637"/>
      <c r="NB54" s="637"/>
      <c r="NC54" s="637"/>
      <c r="ND54" s="637"/>
      <c r="NE54" s="637"/>
      <c r="NF54" s="637"/>
      <c r="NG54" s="637"/>
      <c r="NH54" s="637"/>
      <c r="NI54" s="637"/>
      <c r="NJ54" s="637"/>
      <c r="NK54" s="637"/>
      <c r="NL54" s="637"/>
      <c r="NM54" s="637"/>
      <c r="NN54" s="637"/>
      <c r="NO54" s="637"/>
      <c r="NP54" s="637"/>
      <c r="NQ54" s="637"/>
      <c r="NR54" s="637"/>
      <c r="NS54" s="637"/>
      <c r="NT54" s="637"/>
      <c r="NU54" s="637"/>
      <c r="NV54" s="637"/>
      <c r="NW54" s="637"/>
      <c r="NX54" s="637"/>
      <c r="NY54" s="637"/>
      <c r="NZ54" s="637"/>
      <c r="OA54" s="637"/>
      <c r="OB54" s="637"/>
      <c r="OC54" s="637"/>
      <c r="OD54" s="637"/>
      <c r="OE54" s="637"/>
      <c r="OF54" s="637"/>
      <c r="OG54" s="637"/>
      <c r="OH54" s="637"/>
      <c r="OI54" s="637"/>
      <c r="OJ54" s="637"/>
      <c r="OK54" s="637"/>
      <c r="OL54" s="637"/>
      <c r="OM54" s="637"/>
      <c r="ON54" s="637"/>
      <c r="OO54" s="637"/>
      <c r="OP54" s="637"/>
      <c r="OQ54" s="637"/>
      <c r="OR54" s="637"/>
      <c r="OS54" s="637"/>
      <c r="OT54" s="637"/>
      <c r="OU54" s="637"/>
      <c r="OV54" s="637"/>
      <c r="OW54" s="637"/>
      <c r="OX54" s="637"/>
      <c r="OY54" s="637"/>
      <c r="OZ54" s="637"/>
      <c r="PA54" s="637"/>
      <c r="PB54" s="637"/>
      <c r="PC54" s="637"/>
      <c r="PD54" s="637"/>
      <c r="PE54" s="637"/>
      <c r="PF54" s="637"/>
      <c r="PG54" s="637"/>
      <c r="PH54" s="637"/>
      <c r="PI54" s="637"/>
      <c r="PJ54" s="637"/>
      <c r="PK54" s="637"/>
      <c r="PL54" s="637"/>
      <c r="PM54" s="637"/>
      <c r="PN54" s="637"/>
      <c r="PO54" s="637"/>
      <c r="PP54" s="637"/>
      <c r="PQ54" s="637"/>
      <c r="PR54" s="637"/>
      <c r="PS54" s="637"/>
      <c r="PT54" s="637"/>
      <c r="PU54" s="637"/>
      <c r="PV54" s="637"/>
      <c r="PW54" s="637"/>
      <c r="PX54" s="637"/>
      <c r="PY54" s="637"/>
      <c r="PZ54" s="637"/>
      <c r="QA54" s="637"/>
      <c r="QB54" s="637"/>
      <c r="QC54" s="637"/>
      <c r="QD54" s="637"/>
      <c r="QE54" s="637"/>
      <c r="QF54" s="637"/>
      <c r="QG54" s="637"/>
      <c r="QH54" s="637"/>
      <c r="QI54" s="637"/>
      <c r="QJ54" s="637"/>
      <c r="QK54" s="637"/>
      <c r="QL54" s="637"/>
      <c r="QM54" s="637"/>
      <c r="QN54" s="637"/>
      <c r="QO54" s="637"/>
      <c r="QP54" s="637"/>
      <c r="QQ54" s="637"/>
      <c r="QR54" s="637"/>
      <c r="QS54" s="637"/>
      <c r="QT54" s="637"/>
      <c r="QU54" s="637"/>
      <c r="QV54" s="637"/>
      <c r="QW54" s="637"/>
      <c r="QX54" s="637"/>
      <c r="QY54" s="637"/>
      <c r="QZ54" s="637"/>
      <c r="RA54" s="637"/>
      <c r="RB54" s="637"/>
      <c r="RC54" s="637"/>
      <c r="RD54" s="637"/>
      <c r="RE54" s="637"/>
      <c r="RF54" s="637"/>
      <c r="RG54" s="637"/>
      <c r="RH54" s="637"/>
      <c r="RI54" s="637"/>
      <c r="RJ54" s="637"/>
      <c r="RK54" s="637"/>
      <c r="RL54" s="637"/>
      <c r="RM54" s="637"/>
      <c r="RN54" s="637"/>
      <c r="RO54" s="637"/>
      <c r="RP54" s="637"/>
      <c r="RQ54" s="637"/>
      <c r="RR54" s="637"/>
      <c r="RS54" s="637"/>
      <c r="RT54" s="637"/>
      <c r="RU54" s="637"/>
      <c r="RV54" s="637"/>
      <c r="RW54" s="637"/>
      <c r="RX54" s="637"/>
      <c r="RY54" s="637"/>
      <c r="RZ54" s="637"/>
      <c r="SA54" s="637"/>
      <c r="SB54" s="637"/>
      <c r="SC54" s="637"/>
      <c r="SD54" s="637"/>
      <c r="SE54" s="637"/>
      <c r="SF54" s="637"/>
      <c r="SG54" s="637"/>
      <c r="SH54" s="637"/>
      <c r="SI54" s="637"/>
      <c r="SJ54" s="637"/>
      <c r="SK54" s="637"/>
      <c r="SL54" s="637"/>
      <c r="SM54" s="637"/>
      <c r="SN54" s="637"/>
      <c r="SO54" s="637"/>
      <c r="SP54" s="637"/>
      <c r="SQ54" s="637"/>
      <c r="SR54" s="637"/>
      <c r="SS54" s="637"/>
      <c r="ST54" s="637"/>
      <c r="SU54" s="637"/>
      <c r="SV54" s="637"/>
      <c r="SW54" s="637"/>
      <c r="SX54" s="637"/>
      <c r="SY54" s="637"/>
      <c r="SZ54" s="637"/>
      <c r="TA54" s="637"/>
      <c r="TB54" s="637"/>
      <c r="TC54" s="637"/>
      <c r="TD54" s="637"/>
      <c r="TE54" s="637"/>
      <c r="TF54" s="637"/>
      <c r="TG54" s="637"/>
      <c r="TH54" s="637"/>
      <c r="TI54" s="637"/>
      <c r="TJ54" s="637"/>
      <c r="TK54" s="637"/>
      <c r="TL54" s="637"/>
      <c r="TM54" s="637"/>
      <c r="TN54" s="637"/>
      <c r="TO54" s="637"/>
      <c r="TP54" s="637"/>
      <c r="TQ54" s="637"/>
      <c r="TR54" s="637"/>
      <c r="TS54" s="637"/>
      <c r="TT54" s="637"/>
      <c r="TU54" s="637"/>
      <c r="TV54" s="637"/>
      <c r="TW54" s="637"/>
      <c r="TX54" s="637"/>
      <c r="TY54" s="637"/>
      <c r="TZ54" s="637"/>
      <c r="UA54" s="637"/>
      <c r="UB54" s="637"/>
      <c r="UC54" s="637"/>
      <c r="UD54" s="637"/>
      <c r="UE54" s="637"/>
      <c r="UF54" s="637"/>
      <c r="UG54" s="637"/>
      <c r="UH54" s="637"/>
      <c r="UI54" s="637"/>
      <c r="UJ54" s="637"/>
      <c r="UK54" s="637"/>
      <c r="UL54" s="637"/>
      <c r="UM54" s="637"/>
      <c r="UN54" s="637"/>
      <c r="UO54" s="637"/>
      <c r="UP54" s="637"/>
      <c r="UQ54" s="637"/>
      <c r="UR54" s="637"/>
      <c r="US54" s="637"/>
      <c r="UT54" s="637"/>
      <c r="UU54" s="637"/>
      <c r="UV54" s="637"/>
      <c r="UW54" s="637"/>
      <c r="UX54" s="637"/>
      <c r="UY54" s="637"/>
      <c r="UZ54" s="637"/>
      <c r="VA54" s="637"/>
      <c r="VB54" s="637"/>
      <c r="VC54" s="637"/>
      <c r="VD54" s="637"/>
      <c r="VE54" s="637"/>
      <c r="VF54" s="637"/>
      <c r="VG54" s="637"/>
      <c r="VH54" s="637"/>
      <c r="VI54" s="637"/>
      <c r="VJ54" s="637"/>
      <c r="VK54" s="637"/>
      <c r="VL54" s="637"/>
      <c r="VM54" s="637"/>
      <c r="VN54" s="637"/>
      <c r="VO54" s="637"/>
      <c r="VP54" s="637"/>
      <c r="VQ54" s="637"/>
      <c r="VR54" s="637"/>
      <c r="VS54" s="637"/>
      <c r="VT54" s="637"/>
      <c r="VU54" s="637"/>
      <c r="VV54" s="637"/>
      <c r="VW54" s="637"/>
      <c r="VX54" s="637"/>
      <c r="VY54" s="637"/>
      <c r="VZ54" s="637"/>
      <c r="WA54" s="637"/>
      <c r="WB54" s="637"/>
      <c r="WC54" s="637"/>
      <c r="WD54" s="637"/>
      <c r="WE54" s="637"/>
      <c r="WF54" s="637"/>
      <c r="WG54" s="637"/>
      <c r="WH54" s="637"/>
      <c r="WI54" s="637"/>
      <c r="WJ54" s="637"/>
      <c r="WK54" s="637"/>
      <c r="WL54" s="637"/>
      <c r="WM54" s="637"/>
      <c r="WN54" s="637"/>
      <c r="WO54" s="637"/>
      <c r="WP54" s="637"/>
      <c r="WQ54" s="637"/>
      <c r="WR54" s="637"/>
      <c r="WS54" s="637"/>
      <c r="WT54" s="637"/>
      <c r="WU54" s="637"/>
      <c r="WV54" s="637"/>
      <c r="WW54" s="637"/>
      <c r="WX54" s="637"/>
      <c r="WY54" s="637"/>
      <c r="WZ54" s="637"/>
      <c r="XA54" s="637"/>
      <c r="XB54" s="637"/>
      <c r="XC54" s="637"/>
      <c r="XD54" s="637"/>
      <c r="XE54" s="637"/>
      <c r="XF54" s="637"/>
      <c r="XG54" s="637"/>
      <c r="XH54" s="637"/>
      <c r="XI54" s="637"/>
      <c r="XJ54" s="637"/>
      <c r="XK54" s="637"/>
      <c r="XL54" s="637"/>
      <c r="XM54" s="637"/>
      <c r="XN54" s="637"/>
      <c r="XO54" s="637"/>
      <c r="XP54" s="637"/>
      <c r="XQ54" s="637"/>
      <c r="XR54" s="637"/>
      <c r="XS54" s="637"/>
      <c r="XT54" s="637"/>
      <c r="XU54" s="637"/>
      <c r="XV54" s="637"/>
      <c r="XW54" s="637"/>
      <c r="XX54" s="637"/>
      <c r="XY54" s="637"/>
      <c r="XZ54" s="637"/>
      <c r="YA54" s="637"/>
      <c r="YB54" s="637"/>
      <c r="YC54" s="637"/>
      <c r="YD54" s="637"/>
      <c r="YE54" s="637"/>
      <c r="YF54" s="637"/>
      <c r="YG54" s="637"/>
      <c r="YH54" s="637"/>
      <c r="YI54" s="637"/>
      <c r="YJ54" s="637"/>
      <c r="YK54" s="637"/>
      <c r="YL54" s="637"/>
      <c r="YM54" s="637"/>
      <c r="YN54" s="637"/>
      <c r="YO54" s="637"/>
      <c r="YP54" s="637"/>
      <c r="YQ54" s="637"/>
      <c r="YR54" s="637"/>
      <c r="YS54" s="637"/>
      <c r="YT54" s="637"/>
      <c r="YU54" s="637"/>
      <c r="YV54" s="637"/>
      <c r="YW54" s="637"/>
      <c r="YX54" s="637"/>
      <c r="YY54" s="637"/>
      <c r="YZ54" s="637"/>
      <c r="ZA54" s="637"/>
      <c r="ZB54" s="637"/>
      <c r="ZC54" s="637"/>
      <c r="ZD54" s="637"/>
      <c r="ZE54" s="637"/>
      <c r="ZF54" s="637"/>
      <c r="ZG54" s="637"/>
      <c r="ZH54" s="637"/>
      <c r="ZI54" s="637"/>
      <c r="ZJ54" s="637"/>
      <c r="ZK54" s="637"/>
      <c r="ZL54" s="637"/>
      <c r="ZM54" s="637"/>
      <c r="ZN54" s="637"/>
      <c r="ZO54" s="637"/>
      <c r="ZP54" s="637"/>
      <c r="ZQ54" s="637"/>
      <c r="ZR54" s="637"/>
      <c r="ZS54" s="637"/>
      <c r="ZT54" s="637"/>
      <c r="ZU54" s="637"/>
      <c r="ZV54" s="637"/>
      <c r="ZW54" s="637"/>
      <c r="ZX54" s="637"/>
      <c r="ZY54" s="637"/>
      <c r="ZZ54" s="637"/>
      <c r="AAA54" s="637"/>
      <c r="AAB54" s="637"/>
      <c r="AAC54" s="637"/>
      <c r="AAD54" s="637"/>
      <c r="AAE54" s="637"/>
      <c r="AAF54" s="637"/>
      <c r="AAG54" s="637"/>
      <c r="AAH54" s="637"/>
      <c r="AAI54" s="637"/>
      <c r="AAJ54" s="637"/>
      <c r="AAK54" s="637"/>
      <c r="AAL54" s="637"/>
      <c r="AAM54" s="637"/>
      <c r="AAN54" s="637"/>
      <c r="AAO54" s="637"/>
      <c r="AAP54" s="637"/>
      <c r="AAQ54" s="637"/>
      <c r="AAR54" s="637"/>
      <c r="AAS54" s="637"/>
      <c r="AAT54" s="637"/>
      <c r="AAU54" s="637"/>
      <c r="AAV54" s="637"/>
      <c r="AAW54" s="637"/>
      <c r="AAX54" s="637"/>
      <c r="AAY54" s="637"/>
      <c r="AAZ54" s="637"/>
      <c r="ABA54" s="637"/>
      <c r="ABB54" s="637"/>
      <c r="ABC54" s="637"/>
      <c r="ABD54" s="637"/>
      <c r="ABE54" s="637"/>
      <c r="ABF54" s="637"/>
      <c r="ABG54" s="637"/>
      <c r="ABH54" s="637"/>
      <c r="ABI54" s="637"/>
      <c r="ABJ54" s="637"/>
      <c r="ABK54" s="637"/>
      <c r="ABL54" s="637"/>
      <c r="ABM54" s="637"/>
      <c r="ABN54" s="637"/>
      <c r="ABO54" s="637"/>
      <c r="ABP54" s="637"/>
      <c r="ABQ54" s="637"/>
      <c r="ABR54" s="637"/>
      <c r="ABS54" s="637"/>
      <c r="ABT54" s="637"/>
      <c r="ABU54" s="637"/>
      <c r="ABV54" s="637"/>
      <c r="ABW54" s="637"/>
      <c r="ABX54" s="637"/>
      <c r="ABY54" s="637"/>
      <c r="ABZ54" s="637"/>
      <c r="ACA54" s="637"/>
      <c r="ACB54" s="637"/>
      <c r="ACC54" s="637"/>
      <c r="ACD54" s="637"/>
      <c r="ACE54" s="637"/>
      <c r="ACF54" s="637"/>
      <c r="ACG54" s="637"/>
      <c r="ACH54" s="637"/>
      <c r="ACI54" s="637"/>
      <c r="ACJ54" s="637"/>
      <c r="ACK54" s="637"/>
      <c r="ACL54" s="637"/>
      <c r="ACM54" s="637"/>
      <c r="ACN54" s="637"/>
      <c r="ACO54" s="637"/>
      <c r="ACP54" s="637"/>
      <c r="ACQ54" s="637"/>
      <c r="ACR54" s="637"/>
      <c r="ACS54" s="637"/>
      <c r="ACT54" s="637"/>
      <c r="ACU54" s="637"/>
      <c r="ACV54" s="637"/>
      <c r="ACW54" s="637"/>
      <c r="ACX54" s="637"/>
      <c r="ACY54" s="637"/>
      <c r="ACZ54" s="637"/>
      <c r="ADA54" s="637"/>
      <c r="ADB54" s="637"/>
      <c r="ADC54" s="637"/>
      <c r="ADD54" s="637"/>
      <c r="ADE54" s="637"/>
      <c r="ADF54" s="637"/>
      <c r="ADG54" s="637"/>
      <c r="ADH54" s="637"/>
      <c r="ADI54" s="637"/>
      <c r="ADJ54" s="637"/>
      <c r="ADK54" s="637"/>
      <c r="ADL54" s="637"/>
      <c r="ADM54" s="637"/>
      <c r="ADN54" s="637"/>
      <c r="ADO54" s="637"/>
      <c r="ADP54" s="637"/>
      <c r="ADQ54" s="637"/>
      <c r="ADR54" s="637"/>
      <c r="ADS54" s="637"/>
      <c r="ADT54" s="637"/>
      <c r="ADU54" s="637"/>
      <c r="ADV54" s="637"/>
      <c r="ADW54" s="637"/>
      <c r="ADX54" s="637"/>
      <c r="ADY54" s="637"/>
      <c r="ADZ54" s="637"/>
      <c r="AEA54" s="637"/>
      <c r="AEB54" s="637"/>
      <c r="AEC54" s="637"/>
      <c r="AED54" s="637"/>
      <c r="AEE54" s="637"/>
      <c r="AEF54" s="637"/>
      <c r="AEG54" s="637"/>
      <c r="AEH54" s="637"/>
      <c r="AEI54" s="637"/>
      <c r="AEJ54" s="637"/>
      <c r="AEK54" s="637"/>
      <c r="AEL54" s="637"/>
      <c r="AEM54" s="637"/>
      <c r="AEN54" s="637"/>
      <c r="AEO54" s="637"/>
      <c r="AEP54" s="637"/>
      <c r="AEQ54" s="637"/>
      <c r="AER54" s="637"/>
      <c r="AES54" s="637"/>
      <c r="AET54" s="637"/>
      <c r="AEU54" s="637"/>
      <c r="AEV54" s="637"/>
      <c r="AEW54" s="637"/>
      <c r="AEX54" s="637"/>
      <c r="AEY54" s="637"/>
      <c r="AEZ54" s="637"/>
      <c r="AFA54" s="637"/>
      <c r="AFB54" s="637"/>
      <c r="AFC54" s="637"/>
      <c r="AFD54" s="637"/>
      <c r="AFE54" s="637"/>
      <c r="AFF54" s="637"/>
      <c r="AFG54" s="637"/>
      <c r="AFH54" s="637"/>
      <c r="AFI54" s="637"/>
      <c r="AFJ54" s="637"/>
      <c r="AFK54" s="637"/>
      <c r="AFL54" s="637"/>
      <c r="AFM54" s="637"/>
      <c r="AFN54" s="637"/>
      <c r="AFO54" s="637"/>
      <c r="AFP54" s="637"/>
      <c r="AFQ54" s="637"/>
      <c r="AFR54" s="637"/>
      <c r="AFS54" s="637"/>
      <c r="AFT54" s="637"/>
      <c r="AFU54" s="637"/>
      <c r="AFV54" s="637"/>
      <c r="AFW54" s="637"/>
      <c r="AFX54" s="637"/>
      <c r="AFY54" s="637"/>
      <c r="AFZ54" s="637"/>
      <c r="AGA54" s="637"/>
      <c r="AGB54" s="637"/>
      <c r="AGC54" s="637"/>
      <c r="AGD54" s="637"/>
      <c r="AGE54" s="637"/>
      <c r="AGF54" s="637"/>
      <c r="AGG54" s="637"/>
      <c r="AGH54" s="637"/>
      <c r="AGI54" s="637"/>
      <c r="AGJ54" s="637"/>
      <c r="AGK54" s="637"/>
      <c r="AGL54" s="637"/>
      <c r="AGM54" s="637"/>
      <c r="AGN54" s="637"/>
      <c r="AGO54" s="637"/>
      <c r="AGP54" s="637"/>
      <c r="AGQ54" s="637"/>
      <c r="AGR54" s="637"/>
      <c r="AGS54" s="637"/>
      <c r="AGT54" s="637"/>
      <c r="AGU54" s="637"/>
      <c r="AGV54" s="637"/>
      <c r="AGW54" s="637"/>
      <c r="AGX54" s="637"/>
      <c r="AGY54" s="637"/>
      <c r="AGZ54" s="637"/>
      <c r="AHA54" s="637"/>
      <c r="AHB54" s="637"/>
      <c r="AHC54" s="637"/>
      <c r="AHD54" s="637"/>
      <c r="AHE54" s="637"/>
      <c r="AHF54" s="637"/>
      <c r="AHG54" s="637"/>
      <c r="AHH54" s="637"/>
      <c r="AHI54" s="637"/>
      <c r="AHJ54" s="637"/>
      <c r="AHK54" s="637"/>
      <c r="AHL54" s="637"/>
      <c r="AHM54" s="637"/>
      <c r="AHN54" s="637"/>
      <c r="AHO54" s="637"/>
      <c r="AHP54" s="637"/>
      <c r="AHQ54" s="637"/>
      <c r="AHR54" s="637"/>
      <c r="AHS54" s="637"/>
      <c r="AHT54" s="637"/>
      <c r="AHU54" s="637"/>
      <c r="AHV54" s="637"/>
      <c r="AHW54" s="637"/>
      <c r="AHX54" s="637"/>
      <c r="AHY54" s="637"/>
      <c r="AHZ54" s="637"/>
      <c r="AIA54" s="637"/>
      <c r="AIB54" s="637"/>
      <c r="AIC54" s="637"/>
      <c r="AID54" s="637"/>
      <c r="AIE54" s="637"/>
      <c r="AIF54" s="637"/>
      <c r="AIG54" s="637"/>
      <c r="AIH54" s="637"/>
      <c r="AII54" s="637"/>
      <c r="AIJ54" s="637"/>
      <c r="AIK54" s="637"/>
      <c r="AIL54" s="637"/>
      <c r="AIM54" s="637"/>
      <c r="AIN54" s="637"/>
      <c r="AIO54" s="637"/>
      <c r="AIP54" s="637"/>
      <c r="AIQ54" s="637"/>
      <c r="AIR54" s="637"/>
      <c r="AIS54" s="637"/>
      <c r="AIT54" s="637"/>
      <c r="AIU54" s="637"/>
      <c r="AIV54" s="637"/>
      <c r="AIW54" s="637"/>
      <c r="AIX54" s="637"/>
      <c r="AIY54" s="637"/>
      <c r="AIZ54" s="637"/>
      <c r="AJA54" s="637"/>
      <c r="AJB54" s="637"/>
      <c r="AJC54" s="637"/>
      <c r="AJD54" s="637"/>
      <c r="AJE54" s="637"/>
      <c r="AJF54" s="637"/>
      <c r="AJG54" s="637"/>
      <c r="AJH54" s="637"/>
      <c r="AJI54" s="637"/>
      <c r="AJJ54" s="637"/>
      <c r="AJK54" s="637"/>
      <c r="AJL54" s="637"/>
      <c r="AJM54" s="637"/>
      <c r="AJN54" s="637"/>
      <c r="AJO54" s="637"/>
      <c r="AJP54" s="637"/>
      <c r="AJQ54" s="637"/>
      <c r="AJR54" s="637"/>
      <c r="AJS54" s="637"/>
      <c r="AJT54" s="637"/>
      <c r="AJU54" s="637"/>
      <c r="AJV54" s="637"/>
      <c r="AJW54" s="637"/>
      <c r="AJX54" s="637"/>
      <c r="AJY54" s="637"/>
      <c r="AJZ54" s="637"/>
      <c r="AKA54" s="637"/>
      <c r="AKB54" s="637"/>
      <c r="AKC54" s="637"/>
      <c r="AKD54" s="637"/>
      <c r="AKE54" s="637"/>
      <c r="AKF54" s="637"/>
      <c r="AKG54" s="637"/>
      <c r="AKH54" s="637"/>
      <c r="AKI54" s="637"/>
      <c r="AKJ54" s="637"/>
      <c r="AKK54" s="637"/>
      <c r="AKL54" s="637"/>
      <c r="AKM54" s="637"/>
      <c r="AKN54" s="637"/>
      <c r="AKO54" s="637"/>
      <c r="AKP54" s="637"/>
      <c r="AKQ54" s="637"/>
      <c r="AKR54" s="637"/>
      <c r="AKS54" s="637"/>
      <c r="AKT54" s="637"/>
      <c r="AKU54" s="637"/>
      <c r="AKV54" s="637"/>
      <c r="AKW54" s="637"/>
      <c r="AKX54" s="637"/>
      <c r="AKY54" s="637"/>
      <c r="AKZ54" s="637"/>
      <c r="ALA54" s="637"/>
      <c r="ALB54" s="637"/>
      <c r="ALC54" s="637"/>
      <c r="ALD54" s="637"/>
      <c r="ALE54" s="637"/>
      <c r="ALF54" s="637"/>
      <c r="ALG54" s="637"/>
      <c r="ALH54" s="637"/>
      <c r="ALI54" s="637"/>
      <c r="ALJ54" s="637"/>
      <c r="ALK54" s="637"/>
      <c r="ALL54" s="637"/>
      <c r="ALM54" s="637"/>
      <c r="ALN54" s="637"/>
      <c r="ALO54" s="637"/>
      <c r="ALP54" s="637"/>
      <c r="ALQ54" s="637"/>
      <c r="ALR54" s="637"/>
      <c r="ALS54" s="637"/>
      <c r="ALT54" s="637"/>
      <c r="ALU54" s="637"/>
      <c r="ALV54" s="637"/>
      <c r="ALW54" s="637"/>
      <c r="ALX54" s="637"/>
      <c r="ALY54" s="637"/>
      <c r="ALZ54" s="637"/>
      <c r="AMA54" s="637"/>
      <c r="AMB54" s="637"/>
      <c r="AMC54" s="637"/>
      <c r="AMD54" s="637"/>
      <c r="AME54" s="637"/>
      <c r="AMF54" s="637"/>
      <c r="AMG54" s="637"/>
      <c r="AMH54" s="637"/>
      <c r="AMI54" s="637"/>
      <c r="AMJ54" s="637"/>
    </row>
    <row r="55" spans="1:1024" s="638" customFormat="1" ht="12.75" hidden="1">
      <c r="A55" s="984"/>
      <c r="B55" s="985"/>
      <c r="C55" s="986"/>
      <c r="D55" s="988"/>
      <c r="E55" s="989"/>
      <c r="F55" s="989">
        <f t="shared" si="3"/>
        <v>5170</v>
      </c>
      <c r="G55" s="990">
        <v>3860</v>
      </c>
      <c r="H55" s="990">
        <v>1310</v>
      </c>
      <c r="I55" s="990">
        <v>0</v>
      </c>
      <c r="J55" s="990"/>
      <c r="K55" s="990"/>
      <c r="L55" s="990"/>
      <c r="M55" s="990"/>
      <c r="N55" s="990"/>
      <c r="O55" s="990"/>
      <c r="P55" s="990"/>
      <c r="Q55" s="990"/>
      <c r="R55" s="991"/>
      <c r="S55" s="637"/>
      <c r="T55" s="637"/>
      <c r="U55" s="637"/>
      <c r="V55" s="637"/>
      <c r="W55" s="637"/>
      <c r="X55" s="637"/>
      <c r="Y55" s="637"/>
      <c r="Z55" s="637"/>
      <c r="AA55" s="637"/>
      <c r="AB55" s="637"/>
      <c r="AC55" s="637"/>
      <c r="AD55" s="637"/>
      <c r="AE55" s="637"/>
      <c r="AF55" s="637"/>
      <c r="AG55" s="637"/>
      <c r="AH55" s="637"/>
      <c r="AI55" s="637"/>
      <c r="AJ55" s="637"/>
      <c r="AK55" s="637"/>
      <c r="AL55" s="637"/>
      <c r="AM55" s="637"/>
      <c r="AN55" s="637"/>
      <c r="AO55" s="637"/>
      <c r="AP55" s="637"/>
      <c r="AQ55" s="637"/>
      <c r="AR55" s="637"/>
      <c r="AS55" s="637"/>
      <c r="AT55" s="637"/>
      <c r="AU55" s="637"/>
      <c r="AV55" s="637"/>
      <c r="AW55" s="637"/>
      <c r="AX55" s="637"/>
      <c r="AY55" s="637"/>
      <c r="AZ55" s="637"/>
      <c r="BA55" s="637"/>
      <c r="BB55" s="637"/>
      <c r="BC55" s="637"/>
      <c r="BD55" s="637"/>
      <c r="BE55" s="637"/>
      <c r="BF55" s="637"/>
      <c r="BG55" s="637"/>
      <c r="BH55" s="637"/>
      <c r="BI55" s="637"/>
      <c r="BJ55" s="637"/>
      <c r="BK55" s="637"/>
      <c r="BL55" s="637"/>
      <c r="BM55" s="637"/>
      <c r="BN55" s="637"/>
      <c r="BO55" s="637"/>
      <c r="BP55" s="637"/>
      <c r="BQ55" s="637"/>
      <c r="BR55" s="637"/>
      <c r="BS55" s="637"/>
      <c r="BT55" s="637"/>
      <c r="BU55" s="637"/>
      <c r="BV55" s="637"/>
      <c r="BW55" s="637"/>
      <c r="BX55" s="637"/>
      <c r="BY55" s="637"/>
      <c r="BZ55" s="637"/>
      <c r="CA55" s="637"/>
      <c r="CB55" s="637"/>
      <c r="CC55" s="637"/>
      <c r="CD55" s="637"/>
      <c r="CE55" s="637"/>
      <c r="CF55" s="637"/>
      <c r="CG55" s="637"/>
      <c r="CH55" s="637"/>
      <c r="CI55" s="637"/>
      <c r="CJ55" s="637"/>
      <c r="CK55" s="637"/>
      <c r="CL55" s="637"/>
      <c r="CM55" s="637"/>
      <c r="CN55" s="637"/>
      <c r="CO55" s="637"/>
      <c r="CP55" s="637"/>
      <c r="CQ55" s="637"/>
      <c r="CR55" s="637"/>
      <c r="CS55" s="637"/>
      <c r="CT55" s="637"/>
      <c r="CU55" s="637"/>
      <c r="CV55" s="637"/>
      <c r="CW55" s="637"/>
      <c r="CX55" s="637"/>
      <c r="CY55" s="637"/>
      <c r="CZ55" s="637"/>
      <c r="DA55" s="637"/>
      <c r="DB55" s="637"/>
      <c r="DC55" s="637"/>
      <c r="DD55" s="637"/>
      <c r="DE55" s="637"/>
      <c r="DF55" s="637"/>
      <c r="DG55" s="637"/>
      <c r="DH55" s="637"/>
      <c r="DI55" s="637"/>
      <c r="DJ55" s="637"/>
      <c r="DK55" s="637"/>
      <c r="DL55" s="637"/>
      <c r="DM55" s="637"/>
      <c r="DN55" s="637"/>
      <c r="DO55" s="637"/>
      <c r="DP55" s="637"/>
      <c r="DQ55" s="637"/>
      <c r="DR55" s="637"/>
      <c r="DS55" s="637"/>
      <c r="DT55" s="637"/>
      <c r="DU55" s="637"/>
      <c r="DV55" s="637"/>
      <c r="DW55" s="637"/>
      <c r="DX55" s="637"/>
      <c r="DY55" s="637"/>
      <c r="DZ55" s="637"/>
      <c r="EA55" s="637"/>
      <c r="EB55" s="637"/>
      <c r="EC55" s="637"/>
      <c r="ED55" s="637"/>
      <c r="EE55" s="637"/>
      <c r="EF55" s="637"/>
      <c r="EG55" s="637"/>
      <c r="EH55" s="637"/>
      <c r="EI55" s="637"/>
      <c r="EJ55" s="637"/>
      <c r="EK55" s="637"/>
      <c r="EL55" s="637"/>
      <c r="EM55" s="637"/>
      <c r="EN55" s="637"/>
      <c r="EO55" s="637"/>
      <c r="EP55" s="637"/>
      <c r="EQ55" s="637"/>
      <c r="ER55" s="637"/>
      <c r="ES55" s="637"/>
      <c r="ET55" s="637"/>
      <c r="EU55" s="637"/>
      <c r="EV55" s="637"/>
      <c r="EW55" s="637"/>
      <c r="EX55" s="637"/>
      <c r="EY55" s="637"/>
      <c r="EZ55" s="637"/>
      <c r="FA55" s="637"/>
      <c r="FB55" s="637"/>
      <c r="FC55" s="637"/>
      <c r="FD55" s="637"/>
      <c r="FE55" s="637"/>
      <c r="FF55" s="637"/>
      <c r="FG55" s="637"/>
      <c r="FH55" s="637"/>
      <c r="FI55" s="637"/>
      <c r="FJ55" s="637"/>
      <c r="FK55" s="637"/>
      <c r="FL55" s="637"/>
      <c r="FM55" s="637"/>
      <c r="FN55" s="637"/>
      <c r="FO55" s="637"/>
      <c r="FP55" s="637"/>
      <c r="FQ55" s="637"/>
      <c r="FR55" s="637"/>
      <c r="FS55" s="637"/>
      <c r="FT55" s="637"/>
      <c r="FU55" s="637"/>
      <c r="FV55" s="637"/>
      <c r="FW55" s="637"/>
      <c r="FX55" s="637"/>
      <c r="FY55" s="637"/>
      <c r="FZ55" s="637"/>
      <c r="GA55" s="637"/>
      <c r="GB55" s="637"/>
      <c r="GC55" s="637"/>
      <c r="GD55" s="637"/>
      <c r="GE55" s="637"/>
      <c r="GF55" s="637"/>
      <c r="GG55" s="637"/>
      <c r="GH55" s="637"/>
      <c r="GI55" s="637"/>
      <c r="GJ55" s="637"/>
      <c r="GK55" s="637"/>
      <c r="GL55" s="637"/>
      <c r="GM55" s="637"/>
      <c r="GN55" s="637"/>
      <c r="GO55" s="637"/>
      <c r="GP55" s="637"/>
      <c r="GQ55" s="637"/>
      <c r="GR55" s="637"/>
      <c r="GS55" s="637"/>
      <c r="GT55" s="637"/>
      <c r="GU55" s="637"/>
      <c r="GV55" s="637"/>
      <c r="GW55" s="637"/>
      <c r="GX55" s="637"/>
      <c r="GY55" s="637"/>
      <c r="GZ55" s="637"/>
      <c r="HA55" s="637"/>
      <c r="HB55" s="637"/>
      <c r="HC55" s="637"/>
      <c r="HD55" s="637"/>
      <c r="HE55" s="637"/>
      <c r="HF55" s="637"/>
      <c r="HG55" s="637"/>
      <c r="HH55" s="637"/>
      <c r="HI55" s="637"/>
      <c r="HJ55" s="637"/>
      <c r="HK55" s="637"/>
      <c r="HL55" s="637"/>
      <c r="HM55" s="637"/>
      <c r="HN55" s="637"/>
      <c r="HO55" s="637"/>
      <c r="HP55" s="637"/>
      <c r="HQ55" s="637"/>
      <c r="HR55" s="637"/>
      <c r="HS55" s="637"/>
      <c r="HT55" s="637"/>
      <c r="HU55" s="637"/>
      <c r="HV55" s="637"/>
      <c r="HW55" s="637"/>
      <c r="HX55" s="637"/>
      <c r="HY55" s="637"/>
      <c r="HZ55" s="637"/>
      <c r="IA55" s="637"/>
      <c r="IB55" s="637"/>
      <c r="IC55" s="637"/>
      <c r="ID55" s="637"/>
      <c r="IE55" s="637"/>
      <c r="IF55" s="637"/>
      <c r="IG55" s="637"/>
      <c r="IH55" s="637"/>
      <c r="II55" s="637"/>
      <c r="IJ55" s="637"/>
      <c r="IK55" s="637"/>
      <c r="IL55" s="637"/>
      <c r="IM55" s="637"/>
      <c r="IN55" s="637"/>
      <c r="IO55" s="637"/>
      <c r="IP55" s="637"/>
      <c r="IQ55" s="637"/>
      <c r="IR55" s="637"/>
      <c r="IS55" s="637"/>
      <c r="IT55" s="637"/>
      <c r="IU55" s="637"/>
      <c r="IV55" s="637"/>
      <c r="IW55" s="637"/>
      <c r="IX55" s="637"/>
      <c r="IY55" s="637"/>
      <c r="IZ55" s="637"/>
      <c r="JA55" s="637"/>
      <c r="JB55" s="637"/>
      <c r="JC55" s="637"/>
      <c r="JD55" s="637"/>
      <c r="JE55" s="637"/>
      <c r="JF55" s="637"/>
      <c r="JG55" s="637"/>
      <c r="JH55" s="637"/>
      <c r="JI55" s="637"/>
      <c r="JJ55" s="637"/>
      <c r="JK55" s="637"/>
      <c r="JL55" s="637"/>
      <c r="JM55" s="637"/>
      <c r="JN55" s="637"/>
      <c r="JO55" s="637"/>
      <c r="JP55" s="637"/>
      <c r="JQ55" s="637"/>
      <c r="JR55" s="637"/>
      <c r="JS55" s="637"/>
      <c r="JT55" s="637"/>
      <c r="JU55" s="637"/>
      <c r="JV55" s="637"/>
      <c r="JW55" s="637"/>
      <c r="JX55" s="637"/>
      <c r="JY55" s="637"/>
      <c r="JZ55" s="637"/>
      <c r="KA55" s="637"/>
      <c r="KB55" s="637"/>
      <c r="KC55" s="637"/>
      <c r="KD55" s="637"/>
      <c r="KE55" s="637"/>
      <c r="KF55" s="637"/>
      <c r="KG55" s="637"/>
      <c r="KH55" s="637"/>
      <c r="KI55" s="637"/>
      <c r="KJ55" s="637"/>
      <c r="KK55" s="637"/>
      <c r="KL55" s="637"/>
      <c r="KM55" s="637"/>
      <c r="KN55" s="637"/>
      <c r="KO55" s="637"/>
      <c r="KP55" s="637"/>
      <c r="KQ55" s="637"/>
      <c r="KR55" s="637"/>
      <c r="KS55" s="637"/>
      <c r="KT55" s="637"/>
      <c r="KU55" s="637"/>
      <c r="KV55" s="637"/>
      <c r="KW55" s="637"/>
      <c r="KX55" s="637"/>
      <c r="KY55" s="637"/>
      <c r="KZ55" s="637"/>
      <c r="LA55" s="637"/>
      <c r="LB55" s="637"/>
      <c r="LC55" s="637"/>
      <c r="LD55" s="637"/>
      <c r="LE55" s="637"/>
      <c r="LF55" s="637"/>
      <c r="LG55" s="637"/>
      <c r="LH55" s="637"/>
      <c r="LI55" s="637"/>
      <c r="LJ55" s="637"/>
      <c r="LK55" s="637"/>
      <c r="LL55" s="637"/>
      <c r="LM55" s="637"/>
      <c r="LN55" s="637"/>
      <c r="LO55" s="637"/>
      <c r="LP55" s="637"/>
      <c r="LQ55" s="637"/>
      <c r="LR55" s="637"/>
      <c r="LS55" s="637"/>
      <c r="LT55" s="637"/>
      <c r="LU55" s="637"/>
      <c r="LV55" s="637"/>
      <c r="LW55" s="637"/>
      <c r="LX55" s="637"/>
      <c r="LY55" s="637"/>
      <c r="LZ55" s="637"/>
      <c r="MA55" s="637"/>
      <c r="MB55" s="637"/>
      <c r="MC55" s="637"/>
      <c r="MD55" s="637"/>
      <c r="ME55" s="637"/>
      <c r="MF55" s="637"/>
      <c r="MG55" s="637"/>
      <c r="MH55" s="637"/>
      <c r="MI55" s="637"/>
      <c r="MJ55" s="637"/>
      <c r="MK55" s="637"/>
      <c r="ML55" s="637"/>
      <c r="MM55" s="637"/>
      <c r="MN55" s="637"/>
      <c r="MO55" s="637"/>
      <c r="MP55" s="637"/>
      <c r="MQ55" s="637"/>
      <c r="MR55" s="637"/>
      <c r="MS55" s="637"/>
      <c r="MT55" s="637"/>
      <c r="MU55" s="637"/>
      <c r="MV55" s="637"/>
      <c r="MW55" s="637"/>
      <c r="MX55" s="637"/>
      <c r="MY55" s="637"/>
      <c r="MZ55" s="637"/>
      <c r="NA55" s="637"/>
      <c r="NB55" s="637"/>
      <c r="NC55" s="637"/>
      <c r="ND55" s="637"/>
      <c r="NE55" s="637"/>
      <c r="NF55" s="637"/>
      <c r="NG55" s="637"/>
      <c r="NH55" s="637"/>
      <c r="NI55" s="637"/>
      <c r="NJ55" s="637"/>
      <c r="NK55" s="637"/>
      <c r="NL55" s="637"/>
      <c r="NM55" s="637"/>
      <c r="NN55" s="637"/>
      <c r="NO55" s="637"/>
      <c r="NP55" s="637"/>
      <c r="NQ55" s="637"/>
      <c r="NR55" s="637"/>
      <c r="NS55" s="637"/>
      <c r="NT55" s="637"/>
      <c r="NU55" s="637"/>
      <c r="NV55" s="637"/>
      <c r="NW55" s="637"/>
      <c r="NX55" s="637"/>
      <c r="NY55" s="637"/>
      <c r="NZ55" s="637"/>
      <c r="OA55" s="637"/>
      <c r="OB55" s="637"/>
      <c r="OC55" s="637"/>
      <c r="OD55" s="637"/>
      <c r="OE55" s="637"/>
      <c r="OF55" s="637"/>
      <c r="OG55" s="637"/>
      <c r="OH55" s="637"/>
      <c r="OI55" s="637"/>
      <c r="OJ55" s="637"/>
      <c r="OK55" s="637"/>
      <c r="OL55" s="637"/>
      <c r="OM55" s="637"/>
      <c r="ON55" s="637"/>
      <c r="OO55" s="637"/>
      <c r="OP55" s="637"/>
      <c r="OQ55" s="637"/>
      <c r="OR55" s="637"/>
      <c r="OS55" s="637"/>
      <c r="OT55" s="637"/>
      <c r="OU55" s="637"/>
      <c r="OV55" s="637"/>
      <c r="OW55" s="637"/>
      <c r="OX55" s="637"/>
      <c r="OY55" s="637"/>
      <c r="OZ55" s="637"/>
      <c r="PA55" s="637"/>
      <c r="PB55" s="637"/>
      <c r="PC55" s="637"/>
      <c r="PD55" s="637"/>
      <c r="PE55" s="637"/>
      <c r="PF55" s="637"/>
      <c r="PG55" s="637"/>
      <c r="PH55" s="637"/>
      <c r="PI55" s="637"/>
      <c r="PJ55" s="637"/>
      <c r="PK55" s="637"/>
      <c r="PL55" s="637"/>
      <c r="PM55" s="637"/>
      <c r="PN55" s="637"/>
      <c r="PO55" s="637"/>
      <c r="PP55" s="637"/>
      <c r="PQ55" s="637"/>
      <c r="PR55" s="637"/>
      <c r="PS55" s="637"/>
      <c r="PT55" s="637"/>
      <c r="PU55" s="637"/>
      <c r="PV55" s="637"/>
      <c r="PW55" s="637"/>
      <c r="PX55" s="637"/>
      <c r="PY55" s="637"/>
      <c r="PZ55" s="637"/>
      <c r="QA55" s="637"/>
      <c r="QB55" s="637"/>
      <c r="QC55" s="637"/>
      <c r="QD55" s="637"/>
      <c r="QE55" s="637"/>
      <c r="QF55" s="637"/>
      <c r="QG55" s="637"/>
      <c r="QH55" s="637"/>
      <c r="QI55" s="637"/>
      <c r="QJ55" s="637"/>
      <c r="QK55" s="637"/>
      <c r="QL55" s="637"/>
      <c r="QM55" s="637"/>
      <c r="QN55" s="637"/>
      <c r="QO55" s="637"/>
      <c r="QP55" s="637"/>
      <c r="QQ55" s="637"/>
      <c r="QR55" s="637"/>
      <c r="QS55" s="637"/>
      <c r="QT55" s="637"/>
      <c r="QU55" s="637"/>
      <c r="QV55" s="637"/>
      <c r="QW55" s="637"/>
      <c r="QX55" s="637"/>
      <c r="QY55" s="637"/>
      <c r="QZ55" s="637"/>
      <c r="RA55" s="637"/>
      <c r="RB55" s="637"/>
      <c r="RC55" s="637"/>
      <c r="RD55" s="637"/>
      <c r="RE55" s="637"/>
      <c r="RF55" s="637"/>
      <c r="RG55" s="637"/>
      <c r="RH55" s="637"/>
      <c r="RI55" s="637"/>
      <c r="RJ55" s="637"/>
      <c r="RK55" s="637"/>
      <c r="RL55" s="637"/>
      <c r="RM55" s="637"/>
      <c r="RN55" s="637"/>
      <c r="RO55" s="637"/>
      <c r="RP55" s="637"/>
      <c r="RQ55" s="637"/>
      <c r="RR55" s="637"/>
      <c r="RS55" s="637"/>
      <c r="RT55" s="637"/>
      <c r="RU55" s="637"/>
      <c r="RV55" s="637"/>
      <c r="RW55" s="637"/>
      <c r="RX55" s="637"/>
      <c r="RY55" s="637"/>
      <c r="RZ55" s="637"/>
      <c r="SA55" s="637"/>
      <c r="SB55" s="637"/>
      <c r="SC55" s="637"/>
      <c r="SD55" s="637"/>
      <c r="SE55" s="637"/>
      <c r="SF55" s="637"/>
      <c r="SG55" s="637"/>
      <c r="SH55" s="637"/>
      <c r="SI55" s="637"/>
      <c r="SJ55" s="637"/>
      <c r="SK55" s="637"/>
      <c r="SL55" s="637"/>
      <c r="SM55" s="637"/>
      <c r="SN55" s="637"/>
      <c r="SO55" s="637"/>
      <c r="SP55" s="637"/>
      <c r="SQ55" s="637"/>
      <c r="SR55" s="637"/>
      <c r="SS55" s="637"/>
      <c r="ST55" s="637"/>
      <c r="SU55" s="637"/>
      <c r="SV55" s="637"/>
      <c r="SW55" s="637"/>
      <c r="SX55" s="637"/>
      <c r="SY55" s="637"/>
      <c r="SZ55" s="637"/>
      <c r="TA55" s="637"/>
      <c r="TB55" s="637"/>
      <c r="TC55" s="637"/>
      <c r="TD55" s="637"/>
      <c r="TE55" s="637"/>
      <c r="TF55" s="637"/>
      <c r="TG55" s="637"/>
      <c r="TH55" s="637"/>
      <c r="TI55" s="637"/>
      <c r="TJ55" s="637"/>
      <c r="TK55" s="637"/>
      <c r="TL55" s="637"/>
      <c r="TM55" s="637"/>
      <c r="TN55" s="637"/>
      <c r="TO55" s="637"/>
      <c r="TP55" s="637"/>
      <c r="TQ55" s="637"/>
      <c r="TR55" s="637"/>
      <c r="TS55" s="637"/>
      <c r="TT55" s="637"/>
      <c r="TU55" s="637"/>
      <c r="TV55" s="637"/>
      <c r="TW55" s="637"/>
      <c r="TX55" s="637"/>
      <c r="TY55" s="637"/>
      <c r="TZ55" s="637"/>
      <c r="UA55" s="637"/>
      <c r="UB55" s="637"/>
      <c r="UC55" s="637"/>
      <c r="UD55" s="637"/>
      <c r="UE55" s="637"/>
      <c r="UF55" s="637"/>
      <c r="UG55" s="637"/>
      <c r="UH55" s="637"/>
      <c r="UI55" s="637"/>
      <c r="UJ55" s="637"/>
      <c r="UK55" s="637"/>
      <c r="UL55" s="637"/>
      <c r="UM55" s="637"/>
      <c r="UN55" s="637"/>
      <c r="UO55" s="637"/>
      <c r="UP55" s="637"/>
      <c r="UQ55" s="637"/>
      <c r="UR55" s="637"/>
      <c r="US55" s="637"/>
      <c r="UT55" s="637"/>
      <c r="UU55" s="637"/>
      <c r="UV55" s="637"/>
      <c r="UW55" s="637"/>
      <c r="UX55" s="637"/>
      <c r="UY55" s="637"/>
      <c r="UZ55" s="637"/>
      <c r="VA55" s="637"/>
      <c r="VB55" s="637"/>
      <c r="VC55" s="637"/>
      <c r="VD55" s="637"/>
      <c r="VE55" s="637"/>
      <c r="VF55" s="637"/>
      <c r="VG55" s="637"/>
      <c r="VH55" s="637"/>
      <c r="VI55" s="637"/>
      <c r="VJ55" s="637"/>
      <c r="VK55" s="637"/>
      <c r="VL55" s="637"/>
      <c r="VM55" s="637"/>
      <c r="VN55" s="637"/>
      <c r="VO55" s="637"/>
      <c r="VP55" s="637"/>
      <c r="VQ55" s="637"/>
      <c r="VR55" s="637"/>
      <c r="VS55" s="637"/>
      <c r="VT55" s="637"/>
      <c r="VU55" s="637"/>
      <c r="VV55" s="637"/>
      <c r="VW55" s="637"/>
      <c r="VX55" s="637"/>
      <c r="VY55" s="637"/>
      <c r="VZ55" s="637"/>
      <c r="WA55" s="637"/>
      <c r="WB55" s="637"/>
      <c r="WC55" s="637"/>
      <c r="WD55" s="637"/>
      <c r="WE55" s="637"/>
      <c r="WF55" s="637"/>
      <c r="WG55" s="637"/>
      <c r="WH55" s="637"/>
      <c r="WI55" s="637"/>
      <c r="WJ55" s="637"/>
      <c r="WK55" s="637"/>
      <c r="WL55" s="637"/>
      <c r="WM55" s="637"/>
      <c r="WN55" s="637"/>
      <c r="WO55" s="637"/>
      <c r="WP55" s="637"/>
      <c r="WQ55" s="637"/>
      <c r="WR55" s="637"/>
      <c r="WS55" s="637"/>
      <c r="WT55" s="637"/>
      <c r="WU55" s="637"/>
      <c r="WV55" s="637"/>
      <c r="WW55" s="637"/>
      <c r="WX55" s="637"/>
      <c r="WY55" s="637"/>
      <c r="WZ55" s="637"/>
      <c r="XA55" s="637"/>
      <c r="XB55" s="637"/>
      <c r="XC55" s="637"/>
      <c r="XD55" s="637"/>
      <c r="XE55" s="637"/>
      <c r="XF55" s="637"/>
      <c r="XG55" s="637"/>
      <c r="XH55" s="637"/>
      <c r="XI55" s="637"/>
      <c r="XJ55" s="637"/>
      <c r="XK55" s="637"/>
      <c r="XL55" s="637"/>
      <c r="XM55" s="637"/>
      <c r="XN55" s="637"/>
      <c r="XO55" s="637"/>
      <c r="XP55" s="637"/>
      <c r="XQ55" s="637"/>
      <c r="XR55" s="637"/>
      <c r="XS55" s="637"/>
      <c r="XT55" s="637"/>
      <c r="XU55" s="637"/>
      <c r="XV55" s="637"/>
      <c r="XW55" s="637"/>
      <c r="XX55" s="637"/>
      <c r="XY55" s="637"/>
      <c r="XZ55" s="637"/>
      <c r="YA55" s="637"/>
      <c r="YB55" s="637"/>
      <c r="YC55" s="637"/>
      <c r="YD55" s="637"/>
      <c r="YE55" s="637"/>
      <c r="YF55" s="637"/>
      <c r="YG55" s="637"/>
      <c r="YH55" s="637"/>
      <c r="YI55" s="637"/>
      <c r="YJ55" s="637"/>
      <c r="YK55" s="637"/>
      <c r="YL55" s="637"/>
      <c r="YM55" s="637"/>
      <c r="YN55" s="637"/>
      <c r="YO55" s="637"/>
      <c r="YP55" s="637"/>
      <c r="YQ55" s="637"/>
      <c r="YR55" s="637"/>
      <c r="YS55" s="637"/>
      <c r="YT55" s="637"/>
      <c r="YU55" s="637"/>
      <c r="YV55" s="637"/>
      <c r="YW55" s="637"/>
      <c r="YX55" s="637"/>
      <c r="YY55" s="637"/>
      <c r="YZ55" s="637"/>
      <c r="ZA55" s="637"/>
      <c r="ZB55" s="637"/>
      <c r="ZC55" s="637"/>
      <c r="ZD55" s="637"/>
      <c r="ZE55" s="637"/>
      <c r="ZF55" s="637"/>
      <c r="ZG55" s="637"/>
      <c r="ZH55" s="637"/>
      <c r="ZI55" s="637"/>
      <c r="ZJ55" s="637"/>
      <c r="ZK55" s="637"/>
      <c r="ZL55" s="637"/>
      <c r="ZM55" s="637"/>
      <c r="ZN55" s="637"/>
      <c r="ZO55" s="637"/>
      <c r="ZP55" s="637"/>
      <c r="ZQ55" s="637"/>
      <c r="ZR55" s="637"/>
      <c r="ZS55" s="637"/>
      <c r="ZT55" s="637"/>
      <c r="ZU55" s="637"/>
      <c r="ZV55" s="637"/>
      <c r="ZW55" s="637"/>
      <c r="ZX55" s="637"/>
      <c r="ZY55" s="637"/>
      <c r="ZZ55" s="637"/>
      <c r="AAA55" s="637"/>
      <c r="AAB55" s="637"/>
      <c r="AAC55" s="637"/>
      <c r="AAD55" s="637"/>
      <c r="AAE55" s="637"/>
      <c r="AAF55" s="637"/>
      <c r="AAG55" s="637"/>
      <c r="AAH55" s="637"/>
      <c r="AAI55" s="637"/>
      <c r="AAJ55" s="637"/>
      <c r="AAK55" s="637"/>
      <c r="AAL55" s="637"/>
      <c r="AAM55" s="637"/>
      <c r="AAN55" s="637"/>
      <c r="AAO55" s="637"/>
      <c r="AAP55" s="637"/>
      <c r="AAQ55" s="637"/>
      <c r="AAR55" s="637"/>
      <c r="AAS55" s="637"/>
      <c r="AAT55" s="637"/>
      <c r="AAU55" s="637"/>
      <c r="AAV55" s="637"/>
      <c r="AAW55" s="637"/>
      <c r="AAX55" s="637"/>
      <c r="AAY55" s="637"/>
      <c r="AAZ55" s="637"/>
      <c r="ABA55" s="637"/>
      <c r="ABB55" s="637"/>
      <c r="ABC55" s="637"/>
      <c r="ABD55" s="637"/>
      <c r="ABE55" s="637"/>
      <c r="ABF55" s="637"/>
      <c r="ABG55" s="637"/>
      <c r="ABH55" s="637"/>
      <c r="ABI55" s="637"/>
      <c r="ABJ55" s="637"/>
      <c r="ABK55" s="637"/>
      <c r="ABL55" s="637"/>
      <c r="ABM55" s="637"/>
      <c r="ABN55" s="637"/>
      <c r="ABO55" s="637"/>
      <c r="ABP55" s="637"/>
      <c r="ABQ55" s="637"/>
      <c r="ABR55" s="637"/>
      <c r="ABS55" s="637"/>
      <c r="ABT55" s="637"/>
      <c r="ABU55" s="637"/>
      <c r="ABV55" s="637"/>
      <c r="ABW55" s="637"/>
      <c r="ABX55" s="637"/>
      <c r="ABY55" s="637"/>
      <c r="ABZ55" s="637"/>
      <c r="ACA55" s="637"/>
      <c r="ACB55" s="637"/>
      <c r="ACC55" s="637"/>
      <c r="ACD55" s="637"/>
      <c r="ACE55" s="637"/>
      <c r="ACF55" s="637"/>
      <c r="ACG55" s="637"/>
      <c r="ACH55" s="637"/>
      <c r="ACI55" s="637"/>
      <c r="ACJ55" s="637"/>
      <c r="ACK55" s="637"/>
      <c r="ACL55" s="637"/>
      <c r="ACM55" s="637"/>
      <c r="ACN55" s="637"/>
      <c r="ACO55" s="637"/>
      <c r="ACP55" s="637"/>
      <c r="ACQ55" s="637"/>
      <c r="ACR55" s="637"/>
      <c r="ACS55" s="637"/>
      <c r="ACT55" s="637"/>
      <c r="ACU55" s="637"/>
      <c r="ACV55" s="637"/>
      <c r="ACW55" s="637"/>
      <c r="ACX55" s="637"/>
      <c r="ACY55" s="637"/>
      <c r="ACZ55" s="637"/>
      <c r="ADA55" s="637"/>
      <c r="ADB55" s="637"/>
      <c r="ADC55" s="637"/>
      <c r="ADD55" s="637"/>
      <c r="ADE55" s="637"/>
      <c r="ADF55" s="637"/>
      <c r="ADG55" s="637"/>
      <c r="ADH55" s="637"/>
      <c r="ADI55" s="637"/>
      <c r="ADJ55" s="637"/>
      <c r="ADK55" s="637"/>
      <c r="ADL55" s="637"/>
      <c r="ADM55" s="637"/>
      <c r="ADN55" s="637"/>
      <c r="ADO55" s="637"/>
      <c r="ADP55" s="637"/>
      <c r="ADQ55" s="637"/>
      <c r="ADR55" s="637"/>
      <c r="ADS55" s="637"/>
      <c r="ADT55" s="637"/>
      <c r="ADU55" s="637"/>
      <c r="ADV55" s="637"/>
      <c r="ADW55" s="637"/>
      <c r="ADX55" s="637"/>
      <c r="ADY55" s="637"/>
      <c r="ADZ55" s="637"/>
      <c r="AEA55" s="637"/>
      <c r="AEB55" s="637"/>
      <c r="AEC55" s="637"/>
      <c r="AED55" s="637"/>
      <c r="AEE55" s="637"/>
      <c r="AEF55" s="637"/>
      <c r="AEG55" s="637"/>
      <c r="AEH55" s="637"/>
      <c r="AEI55" s="637"/>
      <c r="AEJ55" s="637"/>
      <c r="AEK55" s="637"/>
      <c r="AEL55" s="637"/>
      <c r="AEM55" s="637"/>
      <c r="AEN55" s="637"/>
      <c r="AEO55" s="637"/>
      <c r="AEP55" s="637"/>
      <c r="AEQ55" s="637"/>
      <c r="AER55" s="637"/>
      <c r="AES55" s="637"/>
      <c r="AET55" s="637"/>
      <c r="AEU55" s="637"/>
      <c r="AEV55" s="637"/>
      <c r="AEW55" s="637"/>
      <c r="AEX55" s="637"/>
      <c r="AEY55" s="637"/>
      <c r="AEZ55" s="637"/>
      <c r="AFA55" s="637"/>
      <c r="AFB55" s="637"/>
      <c r="AFC55" s="637"/>
      <c r="AFD55" s="637"/>
      <c r="AFE55" s="637"/>
      <c r="AFF55" s="637"/>
      <c r="AFG55" s="637"/>
      <c r="AFH55" s="637"/>
      <c r="AFI55" s="637"/>
      <c r="AFJ55" s="637"/>
      <c r="AFK55" s="637"/>
      <c r="AFL55" s="637"/>
      <c r="AFM55" s="637"/>
      <c r="AFN55" s="637"/>
      <c r="AFO55" s="637"/>
      <c r="AFP55" s="637"/>
      <c r="AFQ55" s="637"/>
      <c r="AFR55" s="637"/>
      <c r="AFS55" s="637"/>
      <c r="AFT55" s="637"/>
      <c r="AFU55" s="637"/>
      <c r="AFV55" s="637"/>
      <c r="AFW55" s="637"/>
      <c r="AFX55" s="637"/>
      <c r="AFY55" s="637"/>
      <c r="AFZ55" s="637"/>
      <c r="AGA55" s="637"/>
      <c r="AGB55" s="637"/>
      <c r="AGC55" s="637"/>
      <c r="AGD55" s="637"/>
      <c r="AGE55" s="637"/>
      <c r="AGF55" s="637"/>
      <c r="AGG55" s="637"/>
      <c r="AGH55" s="637"/>
      <c r="AGI55" s="637"/>
      <c r="AGJ55" s="637"/>
      <c r="AGK55" s="637"/>
      <c r="AGL55" s="637"/>
      <c r="AGM55" s="637"/>
      <c r="AGN55" s="637"/>
      <c r="AGO55" s="637"/>
      <c r="AGP55" s="637"/>
      <c r="AGQ55" s="637"/>
      <c r="AGR55" s="637"/>
      <c r="AGS55" s="637"/>
      <c r="AGT55" s="637"/>
      <c r="AGU55" s="637"/>
      <c r="AGV55" s="637"/>
      <c r="AGW55" s="637"/>
      <c r="AGX55" s="637"/>
      <c r="AGY55" s="637"/>
      <c r="AGZ55" s="637"/>
      <c r="AHA55" s="637"/>
      <c r="AHB55" s="637"/>
      <c r="AHC55" s="637"/>
      <c r="AHD55" s="637"/>
      <c r="AHE55" s="637"/>
      <c r="AHF55" s="637"/>
      <c r="AHG55" s="637"/>
      <c r="AHH55" s="637"/>
      <c r="AHI55" s="637"/>
      <c r="AHJ55" s="637"/>
      <c r="AHK55" s="637"/>
      <c r="AHL55" s="637"/>
      <c r="AHM55" s="637"/>
      <c r="AHN55" s="637"/>
      <c r="AHO55" s="637"/>
      <c r="AHP55" s="637"/>
      <c r="AHQ55" s="637"/>
      <c r="AHR55" s="637"/>
      <c r="AHS55" s="637"/>
      <c r="AHT55" s="637"/>
      <c r="AHU55" s="637"/>
      <c r="AHV55" s="637"/>
      <c r="AHW55" s="637"/>
      <c r="AHX55" s="637"/>
      <c r="AHY55" s="637"/>
      <c r="AHZ55" s="637"/>
      <c r="AIA55" s="637"/>
      <c r="AIB55" s="637"/>
      <c r="AIC55" s="637"/>
      <c r="AID55" s="637"/>
      <c r="AIE55" s="637"/>
      <c r="AIF55" s="637"/>
      <c r="AIG55" s="637"/>
      <c r="AIH55" s="637"/>
      <c r="AII55" s="637"/>
      <c r="AIJ55" s="637"/>
      <c r="AIK55" s="637"/>
      <c r="AIL55" s="637"/>
      <c r="AIM55" s="637"/>
      <c r="AIN55" s="637"/>
      <c r="AIO55" s="637"/>
      <c r="AIP55" s="637"/>
      <c r="AIQ55" s="637"/>
      <c r="AIR55" s="637"/>
      <c r="AIS55" s="637"/>
      <c r="AIT55" s="637"/>
      <c r="AIU55" s="637"/>
      <c r="AIV55" s="637"/>
      <c r="AIW55" s="637"/>
      <c r="AIX55" s="637"/>
      <c r="AIY55" s="637"/>
      <c r="AIZ55" s="637"/>
      <c r="AJA55" s="637"/>
      <c r="AJB55" s="637"/>
      <c r="AJC55" s="637"/>
      <c r="AJD55" s="637"/>
      <c r="AJE55" s="637"/>
      <c r="AJF55" s="637"/>
      <c r="AJG55" s="637"/>
      <c r="AJH55" s="637"/>
      <c r="AJI55" s="637"/>
      <c r="AJJ55" s="637"/>
      <c r="AJK55" s="637"/>
      <c r="AJL55" s="637"/>
      <c r="AJM55" s="637"/>
      <c r="AJN55" s="637"/>
      <c r="AJO55" s="637"/>
      <c r="AJP55" s="637"/>
      <c r="AJQ55" s="637"/>
      <c r="AJR55" s="637"/>
      <c r="AJS55" s="637"/>
      <c r="AJT55" s="637"/>
      <c r="AJU55" s="637"/>
      <c r="AJV55" s="637"/>
      <c r="AJW55" s="637"/>
      <c r="AJX55" s="637"/>
      <c r="AJY55" s="637"/>
      <c r="AJZ55" s="637"/>
      <c r="AKA55" s="637"/>
      <c r="AKB55" s="637"/>
      <c r="AKC55" s="637"/>
      <c r="AKD55" s="637"/>
      <c r="AKE55" s="637"/>
      <c r="AKF55" s="637"/>
      <c r="AKG55" s="637"/>
      <c r="AKH55" s="637"/>
      <c r="AKI55" s="637"/>
      <c r="AKJ55" s="637"/>
      <c r="AKK55" s="637"/>
      <c r="AKL55" s="637"/>
      <c r="AKM55" s="637"/>
      <c r="AKN55" s="637"/>
      <c r="AKO55" s="637"/>
      <c r="AKP55" s="637"/>
      <c r="AKQ55" s="637"/>
      <c r="AKR55" s="637"/>
      <c r="AKS55" s="637"/>
      <c r="AKT55" s="637"/>
      <c r="AKU55" s="637"/>
      <c r="AKV55" s="637"/>
      <c r="AKW55" s="637"/>
      <c r="AKX55" s="637"/>
      <c r="AKY55" s="637"/>
      <c r="AKZ55" s="637"/>
      <c r="ALA55" s="637"/>
      <c r="ALB55" s="637"/>
      <c r="ALC55" s="637"/>
      <c r="ALD55" s="637"/>
      <c r="ALE55" s="637"/>
      <c r="ALF55" s="637"/>
      <c r="ALG55" s="637"/>
      <c r="ALH55" s="637"/>
      <c r="ALI55" s="637"/>
      <c r="ALJ55" s="637"/>
      <c r="ALK55" s="637"/>
      <c r="ALL55" s="637"/>
      <c r="ALM55" s="637"/>
      <c r="ALN55" s="637"/>
      <c r="ALO55" s="637"/>
      <c r="ALP55" s="637"/>
      <c r="ALQ55" s="637"/>
      <c r="ALR55" s="637"/>
      <c r="ALS55" s="637"/>
      <c r="ALT55" s="637"/>
      <c r="ALU55" s="637"/>
      <c r="ALV55" s="637"/>
      <c r="ALW55" s="637"/>
      <c r="ALX55" s="637"/>
      <c r="ALY55" s="637"/>
      <c r="ALZ55" s="637"/>
      <c r="AMA55" s="637"/>
      <c r="AMB55" s="637"/>
      <c r="AMC55" s="637"/>
      <c r="AMD55" s="637"/>
      <c r="AME55" s="637"/>
      <c r="AMF55" s="637"/>
      <c r="AMG55" s="637"/>
      <c r="AMH55" s="637"/>
      <c r="AMI55" s="637"/>
      <c r="AMJ55" s="637"/>
    </row>
    <row r="56" spans="1:1024" s="638" customFormat="1" ht="12.75">
      <c r="A56" s="984" t="s">
        <v>121</v>
      </c>
      <c r="B56" s="985" t="s">
        <v>150</v>
      </c>
      <c r="C56" s="986" t="s">
        <v>151</v>
      </c>
      <c r="D56" s="996" t="s">
        <v>4</v>
      </c>
      <c r="E56" s="982"/>
      <c r="F56" s="982">
        <f t="shared" si="3"/>
        <v>0</v>
      </c>
      <c r="G56" s="987"/>
      <c r="H56" s="987"/>
      <c r="I56" s="987"/>
      <c r="J56" s="987"/>
      <c r="K56" s="987"/>
      <c r="L56" s="987"/>
      <c r="M56" s="987"/>
      <c r="N56" s="987"/>
      <c r="O56" s="987"/>
      <c r="P56" s="987"/>
      <c r="Q56" s="987"/>
      <c r="R56" s="984"/>
      <c r="S56" s="637"/>
      <c r="T56" s="637"/>
      <c r="U56" s="637"/>
      <c r="V56" s="637"/>
      <c r="W56" s="637"/>
      <c r="X56" s="637"/>
      <c r="Y56" s="637"/>
      <c r="Z56" s="637"/>
      <c r="AA56" s="637"/>
      <c r="AB56" s="637"/>
      <c r="AC56" s="637"/>
      <c r="AD56" s="637"/>
      <c r="AE56" s="637"/>
      <c r="AF56" s="637"/>
      <c r="AG56" s="637"/>
      <c r="AH56" s="637"/>
      <c r="AI56" s="637"/>
      <c r="AJ56" s="637"/>
      <c r="AK56" s="637"/>
      <c r="AL56" s="637"/>
      <c r="AM56" s="637"/>
      <c r="AN56" s="637"/>
      <c r="AO56" s="637"/>
      <c r="AP56" s="637"/>
      <c r="AQ56" s="637"/>
      <c r="AR56" s="637"/>
      <c r="AS56" s="637"/>
      <c r="AT56" s="637"/>
      <c r="AU56" s="637"/>
      <c r="AV56" s="637"/>
      <c r="AW56" s="637"/>
      <c r="AX56" s="637"/>
      <c r="AY56" s="637"/>
      <c r="AZ56" s="637"/>
      <c r="BA56" s="637"/>
      <c r="BB56" s="637"/>
      <c r="BC56" s="637"/>
      <c r="BD56" s="637"/>
      <c r="BE56" s="637"/>
      <c r="BF56" s="637"/>
      <c r="BG56" s="637"/>
      <c r="BH56" s="637"/>
      <c r="BI56" s="637"/>
      <c r="BJ56" s="637"/>
      <c r="BK56" s="637"/>
      <c r="BL56" s="637"/>
      <c r="BM56" s="637"/>
      <c r="BN56" s="637"/>
      <c r="BO56" s="637"/>
      <c r="BP56" s="637"/>
      <c r="BQ56" s="637"/>
      <c r="BR56" s="637"/>
      <c r="BS56" s="637"/>
      <c r="BT56" s="637"/>
      <c r="BU56" s="637"/>
      <c r="BV56" s="637"/>
      <c r="BW56" s="637"/>
      <c r="BX56" s="637"/>
      <c r="BY56" s="637"/>
      <c r="BZ56" s="637"/>
      <c r="CA56" s="637"/>
      <c r="CB56" s="637"/>
      <c r="CC56" s="637"/>
      <c r="CD56" s="637"/>
      <c r="CE56" s="637"/>
      <c r="CF56" s="637"/>
      <c r="CG56" s="637"/>
      <c r="CH56" s="637"/>
      <c r="CI56" s="637"/>
      <c r="CJ56" s="637"/>
      <c r="CK56" s="637"/>
      <c r="CL56" s="637"/>
      <c r="CM56" s="637"/>
      <c r="CN56" s="637"/>
      <c r="CO56" s="637"/>
      <c r="CP56" s="637"/>
      <c r="CQ56" s="637"/>
      <c r="CR56" s="637"/>
      <c r="CS56" s="637"/>
      <c r="CT56" s="637"/>
      <c r="CU56" s="637"/>
      <c r="CV56" s="637"/>
      <c r="CW56" s="637"/>
      <c r="CX56" s="637"/>
      <c r="CY56" s="637"/>
      <c r="CZ56" s="637"/>
      <c r="DA56" s="637"/>
      <c r="DB56" s="637"/>
      <c r="DC56" s="637"/>
      <c r="DD56" s="637"/>
      <c r="DE56" s="637"/>
      <c r="DF56" s="637"/>
      <c r="DG56" s="637"/>
      <c r="DH56" s="637"/>
      <c r="DI56" s="637"/>
      <c r="DJ56" s="637"/>
      <c r="DK56" s="637"/>
      <c r="DL56" s="637"/>
      <c r="DM56" s="637"/>
      <c r="DN56" s="637"/>
      <c r="DO56" s="637"/>
      <c r="DP56" s="637"/>
      <c r="DQ56" s="637"/>
      <c r="DR56" s="637"/>
      <c r="DS56" s="637"/>
      <c r="DT56" s="637"/>
      <c r="DU56" s="637"/>
      <c r="DV56" s="637"/>
      <c r="DW56" s="637"/>
      <c r="DX56" s="637"/>
      <c r="DY56" s="637"/>
      <c r="DZ56" s="637"/>
      <c r="EA56" s="637"/>
      <c r="EB56" s="637"/>
      <c r="EC56" s="637"/>
      <c r="ED56" s="637"/>
      <c r="EE56" s="637"/>
      <c r="EF56" s="637"/>
      <c r="EG56" s="637"/>
      <c r="EH56" s="637"/>
      <c r="EI56" s="637"/>
      <c r="EJ56" s="637"/>
      <c r="EK56" s="637"/>
      <c r="EL56" s="637"/>
      <c r="EM56" s="637"/>
      <c r="EN56" s="637"/>
      <c r="EO56" s="637"/>
      <c r="EP56" s="637"/>
      <c r="EQ56" s="637"/>
      <c r="ER56" s="637"/>
      <c r="ES56" s="637"/>
      <c r="ET56" s="637"/>
      <c r="EU56" s="637"/>
      <c r="EV56" s="637"/>
      <c r="EW56" s="637"/>
      <c r="EX56" s="637"/>
      <c r="EY56" s="637"/>
      <c r="EZ56" s="637"/>
      <c r="FA56" s="637"/>
      <c r="FB56" s="637"/>
      <c r="FC56" s="637"/>
      <c r="FD56" s="637"/>
      <c r="FE56" s="637"/>
      <c r="FF56" s="637"/>
      <c r="FG56" s="637"/>
      <c r="FH56" s="637"/>
      <c r="FI56" s="637"/>
      <c r="FJ56" s="637"/>
      <c r="FK56" s="637"/>
      <c r="FL56" s="637"/>
      <c r="FM56" s="637"/>
      <c r="FN56" s="637"/>
      <c r="FO56" s="637"/>
      <c r="FP56" s="637"/>
      <c r="FQ56" s="637"/>
      <c r="FR56" s="637"/>
      <c r="FS56" s="637"/>
      <c r="FT56" s="637"/>
      <c r="FU56" s="637"/>
      <c r="FV56" s="637"/>
      <c r="FW56" s="637"/>
      <c r="FX56" s="637"/>
      <c r="FY56" s="637"/>
      <c r="FZ56" s="637"/>
      <c r="GA56" s="637"/>
      <c r="GB56" s="637"/>
      <c r="GC56" s="637"/>
      <c r="GD56" s="637"/>
      <c r="GE56" s="637"/>
      <c r="GF56" s="637"/>
      <c r="GG56" s="637"/>
      <c r="GH56" s="637"/>
      <c r="GI56" s="637"/>
      <c r="GJ56" s="637"/>
      <c r="GK56" s="637"/>
      <c r="GL56" s="637"/>
      <c r="GM56" s="637"/>
      <c r="GN56" s="637"/>
      <c r="GO56" s="637"/>
      <c r="GP56" s="637"/>
      <c r="GQ56" s="637"/>
      <c r="GR56" s="637"/>
      <c r="GS56" s="637"/>
      <c r="GT56" s="637"/>
      <c r="GU56" s="637"/>
      <c r="GV56" s="637"/>
      <c r="GW56" s="637"/>
      <c r="GX56" s="637"/>
      <c r="GY56" s="637"/>
      <c r="GZ56" s="637"/>
      <c r="HA56" s="637"/>
      <c r="HB56" s="637"/>
      <c r="HC56" s="637"/>
      <c r="HD56" s="637"/>
      <c r="HE56" s="637"/>
      <c r="HF56" s="637"/>
      <c r="HG56" s="637"/>
      <c r="HH56" s="637"/>
      <c r="HI56" s="637"/>
      <c r="HJ56" s="637"/>
      <c r="HK56" s="637"/>
      <c r="HL56" s="637"/>
      <c r="HM56" s="637"/>
      <c r="HN56" s="637"/>
      <c r="HO56" s="637"/>
      <c r="HP56" s="637"/>
      <c r="HQ56" s="637"/>
      <c r="HR56" s="637"/>
      <c r="HS56" s="637"/>
      <c r="HT56" s="637"/>
      <c r="HU56" s="637"/>
      <c r="HV56" s="637"/>
      <c r="HW56" s="637"/>
      <c r="HX56" s="637"/>
      <c r="HY56" s="637"/>
      <c r="HZ56" s="637"/>
      <c r="IA56" s="637"/>
      <c r="IB56" s="637"/>
      <c r="IC56" s="637"/>
      <c r="ID56" s="637"/>
      <c r="IE56" s="637"/>
      <c r="IF56" s="637"/>
      <c r="IG56" s="637"/>
      <c r="IH56" s="637"/>
      <c r="II56" s="637"/>
      <c r="IJ56" s="637"/>
      <c r="IK56" s="637"/>
      <c r="IL56" s="637"/>
      <c r="IM56" s="637"/>
      <c r="IN56" s="637"/>
      <c r="IO56" s="637"/>
      <c r="IP56" s="637"/>
      <c r="IQ56" s="637"/>
      <c r="IR56" s="637"/>
      <c r="IS56" s="637"/>
      <c r="IT56" s="637"/>
      <c r="IU56" s="637"/>
      <c r="IV56" s="637"/>
      <c r="IW56" s="637"/>
      <c r="IX56" s="637"/>
      <c r="IY56" s="637"/>
      <c r="IZ56" s="637"/>
      <c r="JA56" s="637"/>
      <c r="JB56" s="637"/>
      <c r="JC56" s="637"/>
      <c r="JD56" s="637"/>
      <c r="JE56" s="637"/>
      <c r="JF56" s="637"/>
      <c r="JG56" s="637"/>
      <c r="JH56" s="637"/>
      <c r="JI56" s="637"/>
      <c r="JJ56" s="637"/>
      <c r="JK56" s="637"/>
      <c r="JL56" s="637"/>
      <c r="JM56" s="637"/>
      <c r="JN56" s="637"/>
      <c r="JO56" s="637"/>
      <c r="JP56" s="637"/>
      <c r="JQ56" s="637"/>
      <c r="JR56" s="637"/>
      <c r="JS56" s="637"/>
      <c r="JT56" s="637"/>
      <c r="JU56" s="637"/>
      <c r="JV56" s="637"/>
      <c r="JW56" s="637"/>
      <c r="JX56" s="637"/>
      <c r="JY56" s="637"/>
      <c r="JZ56" s="637"/>
      <c r="KA56" s="637"/>
      <c r="KB56" s="637"/>
      <c r="KC56" s="637"/>
      <c r="KD56" s="637"/>
      <c r="KE56" s="637"/>
      <c r="KF56" s="637"/>
      <c r="KG56" s="637"/>
      <c r="KH56" s="637"/>
      <c r="KI56" s="637"/>
      <c r="KJ56" s="637"/>
      <c r="KK56" s="637"/>
      <c r="KL56" s="637"/>
      <c r="KM56" s="637"/>
      <c r="KN56" s="637"/>
      <c r="KO56" s="637"/>
      <c r="KP56" s="637"/>
      <c r="KQ56" s="637"/>
      <c r="KR56" s="637"/>
      <c r="KS56" s="637"/>
      <c r="KT56" s="637"/>
      <c r="KU56" s="637"/>
      <c r="KV56" s="637"/>
      <c r="KW56" s="637"/>
      <c r="KX56" s="637"/>
      <c r="KY56" s="637"/>
      <c r="KZ56" s="637"/>
      <c r="LA56" s="637"/>
      <c r="LB56" s="637"/>
      <c r="LC56" s="637"/>
      <c r="LD56" s="637"/>
      <c r="LE56" s="637"/>
      <c r="LF56" s="637"/>
      <c r="LG56" s="637"/>
      <c r="LH56" s="637"/>
      <c r="LI56" s="637"/>
      <c r="LJ56" s="637"/>
      <c r="LK56" s="637"/>
      <c r="LL56" s="637"/>
      <c r="LM56" s="637"/>
      <c r="LN56" s="637"/>
      <c r="LO56" s="637"/>
      <c r="LP56" s="637"/>
      <c r="LQ56" s="637"/>
      <c r="LR56" s="637"/>
      <c r="LS56" s="637"/>
      <c r="LT56" s="637"/>
      <c r="LU56" s="637"/>
      <c r="LV56" s="637"/>
      <c r="LW56" s="637"/>
      <c r="LX56" s="637"/>
      <c r="LY56" s="637"/>
      <c r="LZ56" s="637"/>
      <c r="MA56" s="637"/>
      <c r="MB56" s="637"/>
      <c r="MC56" s="637"/>
      <c r="MD56" s="637"/>
      <c r="ME56" s="637"/>
      <c r="MF56" s="637"/>
      <c r="MG56" s="637"/>
      <c r="MH56" s="637"/>
      <c r="MI56" s="637"/>
      <c r="MJ56" s="637"/>
      <c r="MK56" s="637"/>
      <c r="ML56" s="637"/>
      <c r="MM56" s="637"/>
      <c r="MN56" s="637"/>
      <c r="MO56" s="637"/>
      <c r="MP56" s="637"/>
      <c r="MQ56" s="637"/>
      <c r="MR56" s="637"/>
      <c r="MS56" s="637"/>
      <c r="MT56" s="637"/>
      <c r="MU56" s="637"/>
      <c r="MV56" s="637"/>
      <c r="MW56" s="637"/>
      <c r="MX56" s="637"/>
      <c r="MY56" s="637"/>
      <c r="MZ56" s="637"/>
      <c r="NA56" s="637"/>
      <c r="NB56" s="637"/>
      <c r="NC56" s="637"/>
      <c r="ND56" s="637"/>
      <c r="NE56" s="637"/>
      <c r="NF56" s="637"/>
      <c r="NG56" s="637"/>
      <c r="NH56" s="637"/>
      <c r="NI56" s="637"/>
      <c r="NJ56" s="637"/>
      <c r="NK56" s="637"/>
      <c r="NL56" s="637"/>
      <c r="NM56" s="637"/>
      <c r="NN56" s="637"/>
      <c r="NO56" s="637"/>
      <c r="NP56" s="637"/>
      <c r="NQ56" s="637"/>
      <c r="NR56" s="637"/>
      <c r="NS56" s="637"/>
      <c r="NT56" s="637"/>
      <c r="NU56" s="637"/>
      <c r="NV56" s="637"/>
      <c r="NW56" s="637"/>
      <c r="NX56" s="637"/>
      <c r="NY56" s="637"/>
      <c r="NZ56" s="637"/>
      <c r="OA56" s="637"/>
      <c r="OB56" s="637"/>
      <c r="OC56" s="637"/>
      <c r="OD56" s="637"/>
      <c r="OE56" s="637"/>
      <c r="OF56" s="637"/>
      <c r="OG56" s="637"/>
      <c r="OH56" s="637"/>
      <c r="OI56" s="637"/>
      <c r="OJ56" s="637"/>
      <c r="OK56" s="637"/>
      <c r="OL56" s="637"/>
      <c r="OM56" s="637"/>
      <c r="ON56" s="637"/>
      <c r="OO56" s="637"/>
      <c r="OP56" s="637"/>
      <c r="OQ56" s="637"/>
      <c r="OR56" s="637"/>
      <c r="OS56" s="637"/>
      <c r="OT56" s="637"/>
      <c r="OU56" s="637"/>
      <c r="OV56" s="637"/>
      <c r="OW56" s="637"/>
      <c r="OX56" s="637"/>
      <c r="OY56" s="637"/>
      <c r="OZ56" s="637"/>
      <c r="PA56" s="637"/>
      <c r="PB56" s="637"/>
      <c r="PC56" s="637"/>
      <c r="PD56" s="637"/>
      <c r="PE56" s="637"/>
      <c r="PF56" s="637"/>
      <c r="PG56" s="637"/>
      <c r="PH56" s="637"/>
      <c r="PI56" s="637"/>
      <c r="PJ56" s="637"/>
      <c r="PK56" s="637"/>
      <c r="PL56" s="637"/>
      <c r="PM56" s="637"/>
      <c r="PN56" s="637"/>
      <c r="PO56" s="637"/>
      <c r="PP56" s="637"/>
      <c r="PQ56" s="637"/>
      <c r="PR56" s="637"/>
      <c r="PS56" s="637"/>
      <c r="PT56" s="637"/>
      <c r="PU56" s="637"/>
      <c r="PV56" s="637"/>
      <c r="PW56" s="637"/>
      <c r="PX56" s="637"/>
      <c r="PY56" s="637"/>
      <c r="PZ56" s="637"/>
      <c r="QA56" s="637"/>
      <c r="QB56" s="637"/>
      <c r="QC56" s="637"/>
      <c r="QD56" s="637"/>
      <c r="QE56" s="637"/>
      <c r="QF56" s="637"/>
      <c r="QG56" s="637"/>
      <c r="QH56" s="637"/>
      <c r="QI56" s="637"/>
      <c r="QJ56" s="637"/>
      <c r="QK56" s="637"/>
      <c r="QL56" s="637"/>
      <c r="QM56" s="637"/>
      <c r="QN56" s="637"/>
      <c r="QO56" s="637"/>
      <c r="QP56" s="637"/>
      <c r="QQ56" s="637"/>
      <c r="QR56" s="637"/>
      <c r="QS56" s="637"/>
      <c r="QT56" s="637"/>
      <c r="QU56" s="637"/>
      <c r="QV56" s="637"/>
      <c r="QW56" s="637"/>
      <c r="QX56" s="637"/>
      <c r="QY56" s="637"/>
      <c r="QZ56" s="637"/>
      <c r="RA56" s="637"/>
      <c r="RB56" s="637"/>
      <c r="RC56" s="637"/>
      <c r="RD56" s="637"/>
      <c r="RE56" s="637"/>
      <c r="RF56" s="637"/>
      <c r="RG56" s="637"/>
      <c r="RH56" s="637"/>
      <c r="RI56" s="637"/>
      <c r="RJ56" s="637"/>
      <c r="RK56" s="637"/>
      <c r="RL56" s="637"/>
      <c r="RM56" s="637"/>
      <c r="RN56" s="637"/>
      <c r="RO56" s="637"/>
      <c r="RP56" s="637"/>
      <c r="RQ56" s="637"/>
      <c r="RR56" s="637"/>
      <c r="RS56" s="637"/>
      <c r="RT56" s="637"/>
      <c r="RU56" s="637"/>
      <c r="RV56" s="637"/>
      <c r="RW56" s="637"/>
      <c r="RX56" s="637"/>
      <c r="RY56" s="637"/>
      <c r="RZ56" s="637"/>
      <c r="SA56" s="637"/>
      <c r="SB56" s="637"/>
      <c r="SC56" s="637"/>
      <c r="SD56" s="637"/>
      <c r="SE56" s="637"/>
      <c r="SF56" s="637"/>
      <c r="SG56" s="637"/>
      <c r="SH56" s="637"/>
      <c r="SI56" s="637"/>
      <c r="SJ56" s="637"/>
      <c r="SK56" s="637"/>
      <c r="SL56" s="637"/>
      <c r="SM56" s="637"/>
      <c r="SN56" s="637"/>
      <c r="SO56" s="637"/>
      <c r="SP56" s="637"/>
      <c r="SQ56" s="637"/>
      <c r="SR56" s="637"/>
      <c r="SS56" s="637"/>
      <c r="ST56" s="637"/>
      <c r="SU56" s="637"/>
      <c r="SV56" s="637"/>
      <c r="SW56" s="637"/>
      <c r="SX56" s="637"/>
      <c r="SY56" s="637"/>
      <c r="SZ56" s="637"/>
      <c r="TA56" s="637"/>
      <c r="TB56" s="637"/>
      <c r="TC56" s="637"/>
      <c r="TD56" s="637"/>
      <c r="TE56" s="637"/>
      <c r="TF56" s="637"/>
      <c r="TG56" s="637"/>
      <c r="TH56" s="637"/>
      <c r="TI56" s="637"/>
      <c r="TJ56" s="637"/>
      <c r="TK56" s="637"/>
      <c r="TL56" s="637"/>
      <c r="TM56" s="637"/>
      <c r="TN56" s="637"/>
      <c r="TO56" s="637"/>
      <c r="TP56" s="637"/>
      <c r="TQ56" s="637"/>
      <c r="TR56" s="637"/>
      <c r="TS56" s="637"/>
      <c r="TT56" s="637"/>
      <c r="TU56" s="637"/>
      <c r="TV56" s="637"/>
      <c r="TW56" s="637"/>
      <c r="TX56" s="637"/>
      <c r="TY56" s="637"/>
      <c r="TZ56" s="637"/>
      <c r="UA56" s="637"/>
      <c r="UB56" s="637"/>
      <c r="UC56" s="637"/>
      <c r="UD56" s="637"/>
      <c r="UE56" s="637"/>
      <c r="UF56" s="637"/>
      <c r="UG56" s="637"/>
      <c r="UH56" s="637"/>
      <c r="UI56" s="637"/>
      <c r="UJ56" s="637"/>
      <c r="UK56" s="637"/>
      <c r="UL56" s="637"/>
      <c r="UM56" s="637"/>
      <c r="UN56" s="637"/>
      <c r="UO56" s="637"/>
      <c r="UP56" s="637"/>
      <c r="UQ56" s="637"/>
      <c r="UR56" s="637"/>
      <c r="US56" s="637"/>
      <c r="UT56" s="637"/>
      <c r="UU56" s="637"/>
      <c r="UV56" s="637"/>
      <c r="UW56" s="637"/>
      <c r="UX56" s="637"/>
      <c r="UY56" s="637"/>
      <c r="UZ56" s="637"/>
      <c r="VA56" s="637"/>
      <c r="VB56" s="637"/>
      <c r="VC56" s="637"/>
      <c r="VD56" s="637"/>
      <c r="VE56" s="637"/>
      <c r="VF56" s="637"/>
      <c r="VG56" s="637"/>
      <c r="VH56" s="637"/>
      <c r="VI56" s="637"/>
      <c r="VJ56" s="637"/>
      <c r="VK56" s="637"/>
      <c r="VL56" s="637"/>
      <c r="VM56" s="637"/>
      <c r="VN56" s="637"/>
      <c r="VO56" s="637"/>
      <c r="VP56" s="637"/>
      <c r="VQ56" s="637"/>
      <c r="VR56" s="637"/>
      <c r="VS56" s="637"/>
      <c r="VT56" s="637"/>
      <c r="VU56" s="637"/>
      <c r="VV56" s="637"/>
      <c r="VW56" s="637"/>
      <c r="VX56" s="637"/>
      <c r="VY56" s="637"/>
      <c r="VZ56" s="637"/>
      <c r="WA56" s="637"/>
      <c r="WB56" s="637"/>
      <c r="WC56" s="637"/>
      <c r="WD56" s="637"/>
      <c r="WE56" s="637"/>
      <c r="WF56" s="637"/>
      <c r="WG56" s="637"/>
      <c r="WH56" s="637"/>
      <c r="WI56" s="637"/>
      <c r="WJ56" s="637"/>
      <c r="WK56" s="637"/>
      <c r="WL56" s="637"/>
      <c r="WM56" s="637"/>
      <c r="WN56" s="637"/>
      <c r="WO56" s="637"/>
      <c r="WP56" s="637"/>
      <c r="WQ56" s="637"/>
      <c r="WR56" s="637"/>
      <c r="WS56" s="637"/>
      <c r="WT56" s="637"/>
      <c r="WU56" s="637"/>
      <c r="WV56" s="637"/>
      <c r="WW56" s="637"/>
      <c r="WX56" s="637"/>
      <c r="WY56" s="637"/>
      <c r="WZ56" s="637"/>
      <c r="XA56" s="637"/>
      <c r="XB56" s="637"/>
      <c r="XC56" s="637"/>
      <c r="XD56" s="637"/>
      <c r="XE56" s="637"/>
      <c r="XF56" s="637"/>
      <c r="XG56" s="637"/>
      <c r="XH56" s="637"/>
      <c r="XI56" s="637"/>
      <c r="XJ56" s="637"/>
      <c r="XK56" s="637"/>
      <c r="XL56" s="637"/>
      <c r="XM56" s="637"/>
      <c r="XN56" s="637"/>
      <c r="XO56" s="637"/>
      <c r="XP56" s="637"/>
      <c r="XQ56" s="637"/>
      <c r="XR56" s="637"/>
      <c r="XS56" s="637"/>
      <c r="XT56" s="637"/>
      <c r="XU56" s="637"/>
      <c r="XV56" s="637"/>
      <c r="XW56" s="637"/>
      <c r="XX56" s="637"/>
      <c r="XY56" s="637"/>
      <c r="XZ56" s="637"/>
      <c r="YA56" s="637"/>
      <c r="YB56" s="637"/>
      <c r="YC56" s="637"/>
      <c r="YD56" s="637"/>
      <c r="YE56" s="637"/>
      <c r="YF56" s="637"/>
      <c r="YG56" s="637"/>
      <c r="YH56" s="637"/>
      <c r="YI56" s="637"/>
      <c r="YJ56" s="637"/>
      <c r="YK56" s="637"/>
      <c r="YL56" s="637"/>
      <c r="YM56" s="637"/>
      <c r="YN56" s="637"/>
      <c r="YO56" s="637"/>
      <c r="YP56" s="637"/>
      <c r="YQ56" s="637"/>
      <c r="YR56" s="637"/>
      <c r="YS56" s="637"/>
      <c r="YT56" s="637"/>
      <c r="YU56" s="637"/>
      <c r="YV56" s="637"/>
      <c r="YW56" s="637"/>
      <c r="YX56" s="637"/>
      <c r="YY56" s="637"/>
      <c r="YZ56" s="637"/>
      <c r="ZA56" s="637"/>
      <c r="ZB56" s="637"/>
      <c r="ZC56" s="637"/>
      <c r="ZD56" s="637"/>
      <c r="ZE56" s="637"/>
      <c r="ZF56" s="637"/>
      <c r="ZG56" s="637"/>
      <c r="ZH56" s="637"/>
      <c r="ZI56" s="637"/>
      <c r="ZJ56" s="637"/>
      <c r="ZK56" s="637"/>
      <c r="ZL56" s="637"/>
      <c r="ZM56" s="637"/>
      <c r="ZN56" s="637"/>
      <c r="ZO56" s="637"/>
      <c r="ZP56" s="637"/>
      <c r="ZQ56" s="637"/>
      <c r="ZR56" s="637"/>
      <c r="ZS56" s="637"/>
      <c r="ZT56" s="637"/>
      <c r="ZU56" s="637"/>
      <c r="ZV56" s="637"/>
      <c r="ZW56" s="637"/>
      <c r="ZX56" s="637"/>
      <c r="ZY56" s="637"/>
      <c r="ZZ56" s="637"/>
      <c r="AAA56" s="637"/>
      <c r="AAB56" s="637"/>
      <c r="AAC56" s="637"/>
      <c r="AAD56" s="637"/>
      <c r="AAE56" s="637"/>
      <c r="AAF56" s="637"/>
      <c r="AAG56" s="637"/>
      <c r="AAH56" s="637"/>
      <c r="AAI56" s="637"/>
      <c r="AAJ56" s="637"/>
      <c r="AAK56" s="637"/>
      <c r="AAL56" s="637"/>
      <c r="AAM56" s="637"/>
      <c r="AAN56" s="637"/>
      <c r="AAO56" s="637"/>
      <c r="AAP56" s="637"/>
      <c r="AAQ56" s="637"/>
      <c r="AAR56" s="637"/>
      <c r="AAS56" s="637"/>
      <c r="AAT56" s="637"/>
      <c r="AAU56" s="637"/>
      <c r="AAV56" s="637"/>
      <c r="AAW56" s="637"/>
      <c r="AAX56" s="637"/>
      <c r="AAY56" s="637"/>
      <c r="AAZ56" s="637"/>
      <c r="ABA56" s="637"/>
      <c r="ABB56" s="637"/>
      <c r="ABC56" s="637"/>
      <c r="ABD56" s="637"/>
      <c r="ABE56" s="637"/>
      <c r="ABF56" s="637"/>
      <c r="ABG56" s="637"/>
      <c r="ABH56" s="637"/>
      <c r="ABI56" s="637"/>
      <c r="ABJ56" s="637"/>
      <c r="ABK56" s="637"/>
      <c r="ABL56" s="637"/>
      <c r="ABM56" s="637"/>
      <c r="ABN56" s="637"/>
      <c r="ABO56" s="637"/>
      <c r="ABP56" s="637"/>
      <c r="ABQ56" s="637"/>
      <c r="ABR56" s="637"/>
      <c r="ABS56" s="637"/>
      <c r="ABT56" s="637"/>
      <c r="ABU56" s="637"/>
      <c r="ABV56" s="637"/>
      <c r="ABW56" s="637"/>
      <c r="ABX56" s="637"/>
      <c r="ABY56" s="637"/>
      <c r="ABZ56" s="637"/>
      <c r="ACA56" s="637"/>
      <c r="ACB56" s="637"/>
      <c r="ACC56" s="637"/>
      <c r="ACD56" s="637"/>
      <c r="ACE56" s="637"/>
      <c r="ACF56" s="637"/>
      <c r="ACG56" s="637"/>
      <c r="ACH56" s="637"/>
      <c r="ACI56" s="637"/>
      <c r="ACJ56" s="637"/>
      <c r="ACK56" s="637"/>
      <c r="ACL56" s="637"/>
      <c r="ACM56" s="637"/>
      <c r="ACN56" s="637"/>
      <c r="ACO56" s="637"/>
      <c r="ACP56" s="637"/>
      <c r="ACQ56" s="637"/>
      <c r="ACR56" s="637"/>
      <c r="ACS56" s="637"/>
      <c r="ACT56" s="637"/>
      <c r="ACU56" s="637"/>
      <c r="ACV56" s="637"/>
      <c r="ACW56" s="637"/>
      <c r="ACX56" s="637"/>
      <c r="ACY56" s="637"/>
      <c r="ACZ56" s="637"/>
      <c r="ADA56" s="637"/>
      <c r="ADB56" s="637"/>
      <c r="ADC56" s="637"/>
      <c r="ADD56" s="637"/>
      <c r="ADE56" s="637"/>
      <c r="ADF56" s="637"/>
      <c r="ADG56" s="637"/>
      <c r="ADH56" s="637"/>
      <c r="ADI56" s="637"/>
      <c r="ADJ56" s="637"/>
      <c r="ADK56" s="637"/>
      <c r="ADL56" s="637"/>
      <c r="ADM56" s="637"/>
      <c r="ADN56" s="637"/>
      <c r="ADO56" s="637"/>
      <c r="ADP56" s="637"/>
      <c r="ADQ56" s="637"/>
      <c r="ADR56" s="637"/>
      <c r="ADS56" s="637"/>
      <c r="ADT56" s="637"/>
      <c r="ADU56" s="637"/>
      <c r="ADV56" s="637"/>
      <c r="ADW56" s="637"/>
      <c r="ADX56" s="637"/>
      <c r="ADY56" s="637"/>
      <c r="ADZ56" s="637"/>
      <c r="AEA56" s="637"/>
      <c r="AEB56" s="637"/>
      <c r="AEC56" s="637"/>
      <c r="AED56" s="637"/>
      <c r="AEE56" s="637"/>
      <c r="AEF56" s="637"/>
      <c r="AEG56" s="637"/>
      <c r="AEH56" s="637"/>
      <c r="AEI56" s="637"/>
      <c r="AEJ56" s="637"/>
      <c r="AEK56" s="637"/>
      <c r="AEL56" s="637"/>
      <c r="AEM56" s="637"/>
      <c r="AEN56" s="637"/>
      <c r="AEO56" s="637"/>
      <c r="AEP56" s="637"/>
      <c r="AEQ56" s="637"/>
      <c r="AER56" s="637"/>
      <c r="AES56" s="637"/>
      <c r="AET56" s="637"/>
      <c r="AEU56" s="637"/>
      <c r="AEV56" s="637"/>
      <c r="AEW56" s="637"/>
      <c r="AEX56" s="637"/>
      <c r="AEY56" s="637"/>
      <c r="AEZ56" s="637"/>
      <c r="AFA56" s="637"/>
      <c r="AFB56" s="637"/>
      <c r="AFC56" s="637"/>
      <c r="AFD56" s="637"/>
      <c r="AFE56" s="637"/>
      <c r="AFF56" s="637"/>
      <c r="AFG56" s="637"/>
      <c r="AFH56" s="637"/>
      <c r="AFI56" s="637"/>
      <c r="AFJ56" s="637"/>
      <c r="AFK56" s="637"/>
      <c r="AFL56" s="637"/>
      <c r="AFM56" s="637"/>
      <c r="AFN56" s="637"/>
      <c r="AFO56" s="637"/>
      <c r="AFP56" s="637"/>
      <c r="AFQ56" s="637"/>
      <c r="AFR56" s="637"/>
      <c r="AFS56" s="637"/>
      <c r="AFT56" s="637"/>
      <c r="AFU56" s="637"/>
      <c r="AFV56" s="637"/>
      <c r="AFW56" s="637"/>
      <c r="AFX56" s="637"/>
      <c r="AFY56" s="637"/>
      <c r="AFZ56" s="637"/>
      <c r="AGA56" s="637"/>
      <c r="AGB56" s="637"/>
      <c r="AGC56" s="637"/>
      <c r="AGD56" s="637"/>
      <c r="AGE56" s="637"/>
      <c r="AGF56" s="637"/>
      <c r="AGG56" s="637"/>
      <c r="AGH56" s="637"/>
      <c r="AGI56" s="637"/>
      <c r="AGJ56" s="637"/>
      <c r="AGK56" s="637"/>
      <c r="AGL56" s="637"/>
      <c r="AGM56" s="637"/>
      <c r="AGN56" s="637"/>
      <c r="AGO56" s="637"/>
      <c r="AGP56" s="637"/>
      <c r="AGQ56" s="637"/>
      <c r="AGR56" s="637"/>
      <c r="AGS56" s="637"/>
      <c r="AGT56" s="637"/>
      <c r="AGU56" s="637"/>
      <c r="AGV56" s="637"/>
      <c r="AGW56" s="637"/>
      <c r="AGX56" s="637"/>
      <c r="AGY56" s="637"/>
      <c r="AGZ56" s="637"/>
      <c r="AHA56" s="637"/>
      <c r="AHB56" s="637"/>
      <c r="AHC56" s="637"/>
      <c r="AHD56" s="637"/>
      <c r="AHE56" s="637"/>
      <c r="AHF56" s="637"/>
      <c r="AHG56" s="637"/>
      <c r="AHH56" s="637"/>
      <c r="AHI56" s="637"/>
      <c r="AHJ56" s="637"/>
      <c r="AHK56" s="637"/>
      <c r="AHL56" s="637"/>
      <c r="AHM56" s="637"/>
      <c r="AHN56" s="637"/>
      <c r="AHO56" s="637"/>
      <c r="AHP56" s="637"/>
      <c r="AHQ56" s="637"/>
      <c r="AHR56" s="637"/>
      <c r="AHS56" s="637"/>
      <c r="AHT56" s="637"/>
      <c r="AHU56" s="637"/>
      <c r="AHV56" s="637"/>
      <c r="AHW56" s="637"/>
      <c r="AHX56" s="637"/>
      <c r="AHY56" s="637"/>
      <c r="AHZ56" s="637"/>
      <c r="AIA56" s="637"/>
      <c r="AIB56" s="637"/>
      <c r="AIC56" s="637"/>
      <c r="AID56" s="637"/>
      <c r="AIE56" s="637"/>
      <c r="AIF56" s="637"/>
      <c r="AIG56" s="637"/>
      <c r="AIH56" s="637"/>
      <c r="AII56" s="637"/>
      <c r="AIJ56" s="637"/>
      <c r="AIK56" s="637"/>
      <c r="AIL56" s="637"/>
      <c r="AIM56" s="637"/>
      <c r="AIN56" s="637"/>
      <c r="AIO56" s="637"/>
      <c r="AIP56" s="637"/>
      <c r="AIQ56" s="637"/>
      <c r="AIR56" s="637"/>
      <c r="AIS56" s="637"/>
      <c r="AIT56" s="637"/>
      <c r="AIU56" s="637"/>
      <c r="AIV56" s="637"/>
      <c r="AIW56" s="637"/>
      <c r="AIX56" s="637"/>
      <c r="AIY56" s="637"/>
      <c r="AIZ56" s="637"/>
      <c r="AJA56" s="637"/>
      <c r="AJB56" s="637"/>
      <c r="AJC56" s="637"/>
      <c r="AJD56" s="637"/>
      <c r="AJE56" s="637"/>
      <c r="AJF56" s="637"/>
      <c r="AJG56" s="637"/>
      <c r="AJH56" s="637"/>
      <c r="AJI56" s="637"/>
      <c r="AJJ56" s="637"/>
      <c r="AJK56" s="637"/>
      <c r="AJL56" s="637"/>
      <c r="AJM56" s="637"/>
      <c r="AJN56" s="637"/>
      <c r="AJO56" s="637"/>
      <c r="AJP56" s="637"/>
      <c r="AJQ56" s="637"/>
      <c r="AJR56" s="637"/>
      <c r="AJS56" s="637"/>
      <c r="AJT56" s="637"/>
      <c r="AJU56" s="637"/>
      <c r="AJV56" s="637"/>
      <c r="AJW56" s="637"/>
      <c r="AJX56" s="637"/>
      <c r="AJY56" s="637"/>
      <c r="AJZ56" s="637"/>
      <c r="AKA56" s="637"/>
      <c r="AKB56" s="637"/>
      <c r="AKC56" s="637"/>
      <c r="AKD56" s="637"/>
      <c r="AKE56" s="637"/>
      <c r="AKF56" s="637"/>
      <c r="AKG56" s="637"/>
      <c r="AKH56" s="637"/>
      <c r="AKI56" s="637"/>
      <c r="AKJ56" s="637"/>
      <c r="AKK56" s="637"/>
      <c r="AKL56" s="637"/>
      <c r="AKM56" s="637"/>
      <c r="AKN56" s="637"/>
      <c r="AKO56" s="637"/>
      <c r="AKP56" s="637"/>
      <c r="AKQ56" s="637"/>
      <c r="AKR56" s="637"/>
      <c r="AKS56" s="637"/>
      <c r="AKT56" s="637"/>
      <c r="AKU56" s="637"/>
      <c r="AKV56" s="637"/>
      <c r="AKW56" s="637"/>
      <c r="AKX56" s="637"/>
      <c r="AKY56" s="637"/>
      <c r="AKZ56" s="637"/>
      <c r="ALA56" s="637"/>
      <c r="ALB56" s="637"/>
      <c r="ALC56" s="637"/>
      <c r="ALD56" s="637"/>
      <c r="ALE56" s="637"/>
      <c r="ALF56" s="637"/>
      <c r="ALG56" s="637"/>
      <c r="ALH56" s="637"/>
      <c r="ALI56" s="637"/>
      <c r="ALJ56" s="637"/>
      <c r="ALK56" s="637"/>
      <c r="ALL56" s="637"/>
      <c r="ALM56" s="637"/>
      <c r="ALN56" s="637"/>
      <c r="ALO56" s="637"/>
      <c r="ALP56" s="637"/>
      <c r="ALQ56" s="637"/>
      <c r="ALR56" s="637"/>
      <c r="ALS56" s="637"/>
      <c r="ALT56" s="637"/>
      <c r="ALU56" s="637"/>
      <c r="ALV56" s="637"/>
      <c r="ALW56" s="637"/>
      <c r="ALX56" s="637"/>
      <c r="ALY56" s="637"/>
      <c r="ALZ56" s="637"/>
      <c r="AMA56" s="637"/>
      <c r="AMB56" s="637"/>
      <c r="AMC56" s="637"/>
      <c r="AMD56" s="637"/>
      <c r="AME56" s="637"/>
      <c r="AMF56" s="637"/>
      <c r="AMG56" s="637"/>
      <c r="AMH56" s="637"/>
      <c r="AMI56" s="637"/>
      <c r="AMJ56" s="637"/>
    </row>
    <row r="57" spans="1:1024" s="638" customFormat="1" ht="12.75">
      <c r="A57" s="984"/>
      <c r="B57" s="985"/>
      <c r="C57" s="986"/>
      <c r="D57" s="981" t="s">
        <v>861</v>
      </c>
      <c r="E57" s="982"/>
      <c r="F57" s="982">
        <f t="shared" si="3"/>
        <v>6</v>
      </c>
      <c r="G57" s="987"/>
      <c r="H57" s="987"/>
      <c r="I57" s="987"/>
      <c r="J57" s="987"/>
      <c r="K57" s="987">
        <f>2871-2865</f>
        <v>6</v>
      </c>
      <c r="L57" s="987"/>
      <c r="M57" s="987"/>
      <c r="N57" s="987"/>
      <c r="O57" s="987"/>
      <c r="P57" s="987"/>
      <c r="Q57" s="987"/>
      <c r="R57" s="984"/>
      <c r="S57" s="637"/>
      <c r="T57" s="637"/>
      <c r="U57" s="637"/>
      <c r="V57" s="637"/>
      <c r="W57" s="637"/>
      <c r="X57" s="637"/>
      <c r="Y57" s="637"/>
      <c r="Z57" s="637"/>
      <c r="AA57" s="637"/>
      <c r="AB57" s="637"/>
      <c r="AC57" s="637"/>
      <c r="AD57" s="637"/>
      <c r="AE57" s="637"/>
      <c r="AF57" s="637"/>
      <c r="AG57" s="637"/>
      <c r="AH57" s="637"/>
      <c r="AI57" s="637"/>
      <c r="AJ57" s="637"/>
      <c r="AK57" s="637"/>
      <c r="AL57" s="637"/>
      <c r="AM57" s="637"/>
      <c r="AN57" s="637"/>
      <c r="AO57" s="637"/>
      <c r="AP57" s="637"/>
      <c r="AQ57" s="637"/>
      <c r="AR57" s="637"/>
      <c r="AS57" s="637"/>
      <c r="AT57" s="637"/>
      <c r="AU57" s="637"/>
      <c r="AV57" s="637"/>
      <c r="AW57" s="637"/>
      <c r="AX57" s="637"/>
      <c r="AY57" s="637"/>
      <c r="AZ57" s="637"/>
      <c r="BA57" s="637"/>
      <c r="BB57" s="637"/>
      <c r="BC57" s="637"/>
      <c r="BD57" s="637"/>
      <c r="BE57" s="637"/>
      <c r="BF57" s="637"/>
      <c r="BG57" s="637"/>
      <c r="BH57" s="637"/>
      <c r="BI57" s="637"/>
      <c r="BJ57" s="637"/>
      <c r="BK57" s="637"/>
      <c r="BL57" s="637"/>
      <c r="BM57" s="637"/>
      <c r="BN57" s="637"/>
      <c r="BO57" s="637"/>
      <c r="BP57" s="637"/>
      <c r="BQ57" s="637"/>
      <c r="BR57" s="637"/>
      <c r="BS57" s="637"/>
      <c r="BT57" s="637"/>
      <c r="BU57" s="637"/>
      <c r="BV57" s="637"/>
      <c r="BW57" s="637"/>
      <c r="BX57" s="637"/>
      <c r="BY57" s="637"/>
      <c r="BZ57" s="637"/>
      <c r="CA57" s="637"/>
      <c r="CB57" s="637"/>
      <c r="CC57" s="637"/>
      <c r="CD57" s="637"/>
      <c r="CE57" s="637"/>
      <c r="CF57" s="637"/>
      <c r="CG57" s="637"/>
      <c r="CH57" s="637"/>
      <c r="CI57" s="637"/>
      <c r="CJ57" s="637"/>
      <c r="CK57" s="637"/>
      <c r="CL57" s="637"/>
      <c r="CM57" s="637"/>
      <c r="CN57" s="637"/>
      <c r="CO57" s="637"/>
      <c r="CP57" s="637"/>
      <c r="CQ57" s="637"/>
      <c r="CR57" s="637"/>
      <c r="CS57" s="637"/>
      <c r="CT57" s="637"/>
      <c r="CU57" s="637"/>
      <c r="CV57" s="637"/>
      <c r="CW57" s="637"/>
      <c r="CX57" s="637"/>
      <c r="CY57" s="637"/>
      <c r="CZ57" s="637"/>
      <c r="DA57" s="637"/>
      <c r="DB57" s="637"/>
      <c r="DC57" s="637"/>
      <c r="DD57" s="637"/>
      <c r="DE57" s="637"/>
      <c r="DF57" s="637"/>
      <c r="DG57" s="637"/>
      <c r="DH57" s="637"/>
      <c r="DI57" s="637"/>
      <c r="DJ57" s="637"/>
      <c r="DK57" s="637"/>
      <c r="DL57" s="637"/>
      <c r="DM57" s="637"/>
      <c r="DN57" s="637"/>
      <c r="DO57" s="637"/>
      <c r="DP57" s="637"/>
      <c r="DQ57" s="637"/>
      <c r="DR57" s="637"/>
      <c r="DS57" s="637"/>
      <c r="DT57" s="637"/>
      <c r="DU57" s="637"/>
      <c r="DV57" s="637"/>
      <c r="DW57" s="637"/>
      <c r="DX57" s="637"/>
      <c r="DY57" s="637"/>
      <c r="DZ57" s="637"/>
      <c r="EA57" s="637"/>
      <c r="EB57" s="637"/>
      <c r="EC57" s="637"/>
      <c r="ED57" s="637"/>
      <c r="EE57" s="637"/>
      <c r="EF57" s="637"/>
      <c r="EG57" s="637"/>
      <c r="EH57" s="637"/>
      <c r="EI57" s="637"/>
      <c r="EJ57" s="637"/>
      <c r="EK57" s="637"/>
      <c r="EL57" s="637"/>
      <c r="EM57" s="637"/>
      <c r="EN57" s="637"/>
      <c r="EO57" s="637"/>
      <c r="EP57" s="637"/>
      <c r="EQ57" s="637"/>
      <c r="ER57" s="637"/>
      <c r="ES57" s="637"/>
      <c r="ET57" s="637"/>
      <c r="EU57" s="637"/>
      <c r="EV57" s="637"/>
      <c r="EW57" s="637"/>
      <c r="EX57" s="637"/>
      <c r="EY57" s="637"/>
      <c r="EZ57" s="637"/>
      <c r="FA57" s="637"/>
      <c r="FB57" s="637"/>
      <c r="FC57" s="637"/>
      <c r="FD57" s="637"/>
      <c r="FE57" s="637"/>
      <c r="FF57" s="637"/>
      <c r="FG57" s="637"/>
      <c r="FH57" s="637"/>
      <c r="FI57" s="637"/>
      <c r="FJ57" s="637"/>
      <c r="FK57" s="637"/>
      <c r="FL57" s="637"/>
      <c r="FM57" s="637"/>
      <c r="FN57" s="637"/>
      <c r="FO57" s="637"/>
      <c r="FP57" s="637"/>
      <c r="FQ57" s="637"/>
      <c r="FR57" s="637"/>
      <c r="FS57" s="637"/>
      <c r="FT57" s="637"/>
      <c r="FU57" s="637"/>
      <c r="FV57" s="637"/>
      <c r="FW57" s="637"/>
      <c r="FX57" s="637"/>
      <c r="FY57" s="637"/>
      <c r="FZ57" s="637"/>
      <c r="GA57" s="637"/>
      <c r="GB57" s="637"/>
      <c r="GC57" s="637"/>
      <c r="GD57" s="637"/>
      <c r="GE57" s="637"/>
      <c r="GF57" s="637"/>
      <c r="GG57" s="637"/>
      <c r="GH57" s="637"/>
      <c r="GI57" s="637"/>
      <c r="GJ57" s="637"/>
      <c r="GK57" s="637"/>
      <c r="GL57" s="637"/>
      <c r="GM57" s="637"/>
      <c r="GN57" s="637"/>
      <c r="GO57" s="637"/>
      <c r="GP57" s="637"/>
      <c r="GQ57" s="637"/>
      <c r="GR57" s="637"/>
      <c r="GS57" s="637"/>
      <c r="GT57" s="637"/>
      <c r="GU57" s="637"/>
      <c r="GV57" s="637"/>
      <c r="GW57" s="637"/>
      <c r="GX57" s="637"/>
      <c r="GY57" s="637"/>
      <c r="GZ57" s="637"/>
      <c r="HA57" s="637"/>
      <c r="HB57" s="637"/>
      <c r="HC57" s="637"/>
      <c r="HD57" s="637"/>
      <c r="HE57" s="637"/>
      <c r="HF57" s="637"/>
      <c r="HG57" s="637"/>
      <c r="HH57" s="637"/>
      <c r="HI57" s="637"/>
      <c r="HJ57" s="637"/>
      <c r="HK57" s="637"/>
      <c r="HL57" s="637"/>
      <c r="HM57" s="637"/>
      <c r="HN57" s="637"/>
      <c r="HO57" s="637"/>
      <c r="HP57" s="637"/>
      <c r="HQ57" s="637"/>
      <c r="HR57" s="637"/>
      <c r="HS57" s="637"/>
      <c r="HT57" s="637"/>
      <c r="HU57" s="637"/>
      <c r="HV57" s="637"/>
      <c r="HW57" s="637"/>
      <c r="HX57" s="637"/>
      <c r="HY57" s="637"/>
      <c r="HZ57" s="637"/>
      <c r="IA57" s="637"/>
      <c r="IB57" s="637"/>
      <c r="IC57" s="637"/>
      <c r="ID57" s="637"/>
      <c r="IE57" s="637"/>
      <c r="IF57" s="637"/>
      <c r="IG57" s="637"/>
      <c r="IH57" s="637"/>
      <c r="II57" s="637"/>
      <c r="IJ57" s="637"/>
      <c r="IK57" s="637"/>
      <c r="IL57" s="637"/>
      <c r="IM57" s="637"/>
      <c r="IN57" s="637"/>
      <c r="IO57" s="637"/>
      <c r="IP57" s="637"/>
      <c r="IQ57" s="637"/>
      <c r="IR57" s="637"/>
      <c r="IS57" s="637"/>
      <c r="IT57" s="637"/>
      <c r="IU57" s="637"/>
      <c r="IV57" s="637"/>
      <c r="IW57" s="637"/>
      <c r="IX57" s="637"/>
      <c r="IY57" s="637"/>
      <c r="IZ57" s="637"/>
      <c r="JA57" s="637"/>
      <c r="JB57" s="637"/>
      <c r="JC57" s="637"/>
      <c r="JD57" s="637"/>
      <c r="JE57" s="637"/>
      <c r="JF57" s="637"/>
      <c r="JG57" s="637"/>
      <c r="JH57" s="637"/>
      <c r="JI57" s="637"/>
      <c r="JJ57" s="637"/>
      <c r="JK57" s="637"/>
      <c r="JL57" s="637"/>
      <c r="JM57" s="637"/>
      <c r="JN57" s="637"/>
      <c r="JO57" s="637"/>
      <c r="JP57" s="637"/>
      <c r="JQ57" s="637"/>
      <c r="JR57" s="637"/>
      <c r="JS57" s="637"/>
      <c r="JT57" s="637"/>
      <c r="JU57" s="637"/>
      <c r="JV57" s="637"/>
      <c r="JW57" s="637"/>
      <c r="JX57" s="637"/>
      <c r="JY57" s="637"/>
      <c r="JZ57" s="637"/>
      <c r="KA57" s="637"/>
      <c r="KB57" s="637"/>
      <c r="KC57" s="637"/>
      <c r="KD57" s="637"/>
      <c r="KE57" s="637"/>
      <c r="KF57" s="637"/>
      <c r="KG57" s="637"/>
      <c r="KH57" s="637"/>
      <c r="KI57" s="637"/>
      <c r="KJ57" s="637"/>
      <c r="KK57" s="637"/>
      <c r="KL57" s="637"/>
      <c r="KM57" s="637"/>
      <c r="KN57" s="637"/>
      <c r="KO57" s="637"/>
      <c r="KP57" s="637"/>
      <c r="KQ57" s="637"/>
      <c r="KR57" s="637"/>
      <c r="KS57" s="637"/>
      <c r="KT57" s="637"/>
      <c r="KU57" s="637"/>
      <c r="KV57" s="637"/>
      <c r="KW57" s="637"/>
      <c r="KX57" s="637"/>
      <c r="KY57" s="637"/>
      <c r="KZ57" s="637"/>
      <c r="LA57" s="637"/>
      <c r="LB57" s="637"/>
      <c r="LC57" s="637"/>
      <c r="LD57" s="637"/>
      <c r="LE57" s="637"/>
      <c r="LF57" s="637"/>
      <c r="LG57" s="637"/>
      <c r="LH57" s="637"/>
      <c r="LI57" s="637"/>
      <c r="LJ57" s="637"/>
      <c r="LK57" s="637"/>
      <c r="LL57" s="637"/>
      <c r="LM57" s="637"/>
      <c r="LN57" s="637"/>
      <c r="LO57" s="637"/>
      <c r="LP57" s="637"/>
      <c r="LQ57" s="637"/>
      <c r="LR57" s="637"/>
      <c r="LS57" s="637"/>
      <c r="LT57" s="637"/>
      <c r="LU57" s="637"/>
      <c r="LV57" s="637"/>
      <c r="LW57" s="637"/>
      <c r="LX57" s="637"/>
      <c r="LY57" s="637"/>
      <c r="LZ57" s="637"/>
      <c r="MA57" s="637"/>
      <c r="MB57" s="637"/>
      <c r="MC57" s="637"/>
      <c r="MD57" s="637"/>
      <c r="ME57" s="637"/>
      <c r="MF57" s="637"/>
      <c r="MG57" s="637"/>
      <c r="MH57" s="637"/>
      <c r="MI57" s="637"/>
      <c r="MJ57" s="637"/>
      <c r="MK57" s="637"/>
      <c r="ML57" s="637"/>
      <c r="MM57" s="637"/>
      <c r="MN57" s="637"/>
      <c r="MO57" s="637"/>
      <c r="MP57" s="637"/>
      <c r="MQ57" s="637"/>
      <c r="MR57" s="637"/>
      <c r="MS57" s="637"/>
      <c r="MT57" s="637"/>
      <c r="MU57" s="637"/>
      <c r="MV57" s="637"/>
      <c r="MW57" s="637"/>
      <c r="MX57" s="637"/>
      <c r="MY57" s="637"/>
      <c r="MZ57" s="637"/>
      <c r="NA57" s="637"/>
      <c r="NB57" s="637"/>
      <c r="NC57" s="637"/>
      <c r="ND57" s="637"/>
      <c r="NE57" s="637"/>
      <c r="NF57" s="637"/>
      <c r="NG57" s="637"/>
      <c r="NH57" s="637"/>
      <c r="NI57" s="637"/>
      <c r="NJ57" s="637"/>
      <c r="NK57" s="637"/>
      <c r="NL57" s="637"/>
      <c r="NM57" s="637"/>
      <c r="NN57" s="637"/>
      <c r="NO57" s="637"/>
      <c r="NP57" s="637"/>
      <c r="NQ57" s="637"/>
      <c r="NR57" s="637"/>
      <c r="NS57" s="637"/>
      <c r="NT57" s="637"/>
      <c r="NU57" s="637"/>
      <c r="NV57" s="637"/>
      <c r="NW57" s="637"/>
      <c r="NX57" s="637"/>
      <c r="NY57" s="637"/>
      <c r="NZ57" s="637"/>
      <c r="OA57" s="637"/>
      <c r="OB57" s="637"/>
      <c r="OC57" s="637"/>
      <c r="OD57" s="637"/>
      <c r="OE57" s="637"/>
      <c r="OF57" s="637"/>
      <c r="OG57" s="637"/>
      <c r="OH57" s="637"/>
      <c r="OI57" s="637"/>
      <c r="OJ57" s="637"/>
      <c r="OK57" s="637"/>
      <c r="OL57" s="637"/>
      <c r="OM57" s="637"/>
      <c r="ON57" s="637"/>
      <c r="OO57" s="637"/>
      <c r="OP57" s="637"/>
      <c r="OQ57" s="637"/>
      <c r="OR57" s="637"/>
      <c r="OS57" s="637"/>
      <c r="OT57" s="637"/>
      <c r="OU57" s="637"/>
      <c r="OV57" s="637"/>
      <c r="OW57" s="637"/>
      <c r="OX57" s="637"/>
      <c r="OY57" s="637"/>
      <c r="OZ57" s="637"/>
      <c r="PA57" s="637"/>
      <c r="PB57" s="637"/>
      <c r="PC57" s="637"/>
      <c r="PD57" s="637"/>
      <c r="PE57" s="637"/>
      <c r="PF57" s="637"/>
      <c r="PG57" s="637"/>
      <c r="PH57" s="637"/>
      <c r="PI57" s="637"/>
      <c r="PJ57" s="637"/>
      <c r="PK57" s="637"/>
      <c r="PL57" s="637"/>
      <c r="PM57" s="637"/>
      <c r="PN57" s="637"/>
      <c r="PO57" s="637"/>
      <c r="PP57" s="637"/>
      <c r="PQ57" s="637"/>
      <c r="PR57" s="637"/>
      <c r="PS57" s="637"/>
      <c r="PT57" s="637"/>
      <c r="PU57" s="637"/>
      <c r="PV57" s="637"/>
      <c r="PW57" s="637"/>
      <c r="PX57" s="637"/>
      <c r="PY57" s="637"/>
      <c r="PZ57" s="637"/>
      <c r="QA57" s="637"/>
      <c r="QB57" s="637"/>
      <c r="QC57" s="637"/>
      <c r="QD57" s="637"/>
      <c r="QE57" s="637"/>
      <c r="QF57" s="637"/>
      <c r="QG57" s="637"/>
      <c r="QH57" s="637"/>
      <c r="QI57" s="637"/>
      <c r="QJ57" s="637"/>
      <c r="QK57" s="637"/>
      <c r="QL57" s="637"/>
      <c r="QM57" s="637"/>
      <c r="QN57" s="637"/>
      <c r="QO57" s="637"/>
      <c r="QP57" s="637"/>
      <c r="QQ57" s="637"/>
      <c r="QR57" s="637"/>
      <c r="QS57" s="637"/>
      <c r="QT57" s="637"/>
      <c r="QU57" s="637"/>
      <c r="QV57" s="637"/>
      <c r="QW57" s="637"/>
      <c r="QX57" s="637"/>
      <c r="QY57" s="637"/>
      <c r="QZ57" s="637"/>
      <c r="RA57" s="637"/>
      <c r="RB57" s="637"/>
      <c r="RC57" s="637"/>
      <c r="RD57" s="637"/>
      <c r="RE57" s="637"/>
      <c r="RF57" s="637"/>
      <c r="RG57" s="637"/>
      <c r="RH57" s="637"/>
      <c r="RI57" s="637"/>
      <c r="RJ57" s="637"/>
      <c r="RK57" s="637"/>
      <c r="RL57" s="637"/>
      <c r="RM57" s="637"/>
      <c r="RN57" s="637"/>
      <c r="RO57" s="637"/>
      <c r="RP57" s="637"/>
      <c r="RQ57" s="637"/>
      <c r="RR57" s="637"/>
      <c r="RS57" s="637"/>
      <c r="RT57" s="637"/>
      <c r="RU57" s="637"/>
      <c r="RV57" s="637"/>
      <c r="RW57" s="637"/>
      <c r="RX57" s="637"/>
      <c r="RY57" s="637"/>
      <c r="RZ57" s="637"/>
      <c r="SA57" s="637"/>
      <c r="SB57" s="637"/>
      <c r="SC57" s="637"/>
      <c r="SD57" s="637"/>
      <c r="SE57" s="637"/>
      <c r="SF57" s="637"/>
      <c r="SG57" s="637"/>
      <c r="SH57" s="637"/>
      <c r="SI57" s="637"/>
      <c r="SJ57" s="637"/>
      <c r="SK57" s="637"/>
      <c r="SL57" s="637"/>
      <c r="SM57" s="637"/>
      <c r="SN57" s="637"/>
      <c r="SO57" s="637"/>
      <c r="SP57" s="637"/>
      <c r="SQ57" s="637"/>
      <c r="SR57" s="637"/>
      <c r="SS57" s="637"/>
      <c r="ST57" s="637"/>
      <c r="SU57" s="637"/>
      <c r="SV57" s="637"/>
      <c r="SW57" s="637"/>
      <c r="SX57" s="637"/>
      <c r="SY57" s="637"/>
      <c r="SZ57" s="637"/>
      <c r="TA57" s="637"/>
      <c r="TB57" s="637"/>
      <c r="TC57" s="637"/>
      <c r="TD57" s="637"/>
      <c r="TE57" s="637"/>
      <c r="TF57" s="637"/>
      <c r="TG57" s="637"/>
      <c r="TH57" s="637"/>
      <c r="TI57" s="637"/>
      <c r="TJ57" s="637"/>
      <c r="TK57" s="637"/>
      <c r="TL57" s="637"/>
      <c r="TM57" s="637"/>
      <c r="TN57" s="637"/>
      <c r="TO57" s="637"/>
      <c r="TP57" s="637"/>
      <c r="TQ57" s="637"/>
      <c r="TR57" s="637"/>
      <c r="TS57" s="637"/>
      <c r="TT57" s="637"/>
      <c r="TU57" s="637"/>
      <c r="TV57" s="637"/>
      <c r="TW57" s="637"/>
      <c r="TX57" s="637"/>
      <c r="TY57" s="637"/>
      <c r="TZ57" s="637"/>
      <c r="UA57" s="637"/>
      <c r="UB57" s="637"/>
      <c r="UC57" s="637"/>
      <c r="UD57" s="637"/>
      <c r="UE57" s="637"/>
      <c r="UF57" s="637"/>
      <c r="UG57" s="637"/>
      <c r="UH57" s="637"/>
      <c r="UI57" s="637"/>
      <c r="UJ57" s="637"/>
      <c r="UK57" s="637"/>
      <c r="UL57" s="637"/>
      <c r="UM57" s="637"/>
      <c r="UN57" s="637"/>
      <c r="UO57" s="637"/>
      <c r="UP57" s="637"/>
      <c r="UQ57" s="637"/>
      <c r="UR57" s="637"/>
      <c r="US57" s="637"/>
      <c r="UT57" s="637"/>
      <c r="UU57" s="637"/>
      <c r="UV57" s="637"/>
      <c r="UW57" s="637"/>
      <c r="UX57" s="637"/>
      <c r="UY57" s="637"/>
      <c r="UZ57" s="637"/>
      <c r="VA57" s="637"/>
      <c r="VB57" s="637"/>
      <c r="VC57" s="637"/>
      <c r="VD57" s="637"/>
      <c r="VE57" s="637"/>
      <c r="VF57" s="637"/>
      <c r="VG57" s="637"/>
      <c r="VH57" s="637"/>
      <c r="VI57" s="637"/>
      <c r="VJ57" s="637"/>
      <c r="VK57" s="637"/>
      <c r="VL57" s="637"/>
      <c r="VM57" s="637"/>
      <c r="VN57" s="637"/>
      <c r="VO57" s="637"/>
      <c r="VP57" s="637"/>
      <c r="VQ57" s="637"/>
      <c r="VR57" s="637"/>
      <c r="VS57" s="637"/>
      <c r="VT57" s="637"/>
      <c r="VU57" s="637"/>
      <c r="VV57" s="637"/>
      <c r="VW57" s="637"/>
      <c r="VX57" s="637"/>
      <c r="VY57" s="637"/>
      <c r="VZ57" s="637"/>
      <c r="WA57" s="637"/>
      <c r="WB57" s="637"/>
      <c r="WC57" s="637"/>
      <c r="WD57" s="637"/>
      <c r="WE57" s="637"/>
      <c r="WF57" s="637"/>
      <c r="WG57" s="637"/>
      <c r="WH57" s="637"/>
      <c r="WI57" s="637"/>
      <c r="WJ57" s="637"/>
      <c r="WK57" s="637"/>
      <c r="WL57" s="637"/>
      <c r="WM57" s="637"/>
      <c r="WN57" s="637"/>
      <c r="WO57" s="637"/>
      <c r="WP57" s="637"/>
      <c r="WQ57" s="637"/>
      <c r="WR57" s="637"/>
      <c r="WS57" s="637"/>
      <c r="WT57" s="637"/>
      <c r="WU57" s="637"/>
      <c r="WV57" s="637"/>
      <c r="WW57" s="637"/>
      <c r="WX57" s="637"/>
      <c r="WY57" s="637"/>
      <c r="WZ57" s="637"/>
      <c r="XA57" s="637"/>
      <c r="XB57" s="637"/>
      <c r="XC57" s="637"/>
      <c r="XD57" s="637"/>
      <c r="XE57" s="637"/>
      <c r="XF57" s="637"/>
      <c r="XG57" s="637"/>
      <c r="XH57" s="637"/>
      <c r="XI57" s="637"/>
      <c r="XJ57" s="637"/>
      <c r="XK57" s="637"/>
      <c r="XL57" s="637"/>
      <c r="XM57" s="637"/>
      <c r="XN57" s="637"/>
      <c r="XO57" s="637"/>
      <c r="XP57" s="637"/>
      <c r="XQ57" s="637"/>
      <c r="XR57" s="637"/>
      <c r="XS57" s="637"/>
      <c r="XT57" s="637"/>
      <c r="XU57" s="637"/>
      <c r="XV57" s="637"/>
      <c r="XW57" s="637"/>
      <c r="XX57" s="637"/>
      <c r="XY57" s="637"/>
      <c r="XZ57" s="637"/>
      <c r="YA57" s="637"/>
      <c r="YB57" s="637"/>
      <c r="YC57" s="637"/>
      <c r="YD57" s="637"/>
      <c r="YE57" s="637"/>
      <c r="YF57" s="637"/>
      <c r="YG57" s="637"/>
      <c r="YH57" s="637"/>
      <c r="YI57" s="637"/>
      <c r="YJ57" s="637"/>
      <c r="YK57" s="637"/>
      <c r="YL57" s="637"/>
      <c r="YM57" s="637"/>
      <c r="YN57" s="637"/>
      <c r="YO57" s="637"/>
      <c r="YP57" s="637"/>
      <c r="YQ57" s="637"/>
      <c r="YR57" s="637"/>
      <c r="YS57" s="637"/>
      <c r="YT57" s="637"/>
      <c r="YU57" s="637"/>
      <c r="YV57" s="637"/>
      <c r="YW57" s="637"/>
      <c r="YX57" s="637"/>
      <c r="YY57" s="637"/>
      <c r="YZ57" s="637"/>
      <c r="ZA57" s="637"/>
      <c r="ZB57" s="637"/>
      <c r="ZC57" s="637"/>
      <c r="ZD57" s="637"/>
      <c r="ZE57" s="637"/>
      <c r="ZF57" s="637"/>
      <c r="ZG57" s="637"/>
      <c r="ZH57" s="637"/>
      <c r="ZI57" s="637"/>
      <c r="ZJ57" s="637"/>
      <c r="ZK57" s="637"/>
      <c r="ZL57" s="637"/>
      <c r="ZM57" s="637"/>
      <c r="ZN57" s="637"/>
      <c r="ZO57" s="637"/>
      <c r="ZP57" s="637"/>
      <c r="ZQ57" s="637"/>
      <c r="ZR57" s="637"/>
      <c r="ZS57" s="637"/>
      <c r="ZT57" s="637"/>
      <c r="ZU57" s="637"/>
      <c r="ZV57" s="637"/>
      <c r="ZW57" s="637"/>
      <c r="ZX57" s="637"/>
      <c r="ZY57" s="637"/>
      <c r="ZZ57" s="637"/>
      <c r="AAA57" s="637"/>
      <c r="AAB57" s="637"/>
      <c r="AAC57" s="637"/>
      <c r="AAD57" s="637"/>
      <c r="AAE57" s="637"/>
      <c r="AAF57" s="637"/>
      <c r="AAG57" s="637"/>
      <c r="AAH57" s="637"/>
      <c r="AAI57" s="637"/>
      <c r="AAJ57" s="637"/>
      <c r="AAK57" s="637"/>
      <c r="AAL57" s="637"/>
      <c r="AAM57" s="637"/>
      <c r="AAN57" s="637"/>
      <c r="AAO57" s="637"/>
      <c r="AAP57" s="637"/>
      <c r="AAQ57" s="637"/>
      <c r="AAR57" s="637"/>
      <c r="AAS57" s="637"/>
      <c r="AAT57" s="637"/>
      <c r="AAU57" s="637"/>
      <c r="AAV57" s="637"/>
      <c r="AAW57" s="637"/>
      <c r="AAX57" s="637"/>
      <c r="AAY57" s="637"/>
      <c r="AAZ57" s="637"/>
      <c r="ABA57" s="637"/>
      <c r="ABB57" s="637"/>
      <c r="ABC57" s="637"/>
      <c r="ABD57" s="637"/>
      <c r="ABE57" s="637"/>
      <c r="ABF57" s="637"/>
      <c r="ABG57" s="637"/>
      <c r="ABH57" s="637"/>
      <c r="ABI57" s="637"/>
      <c r="ABJ57" s="637"/>
      <c r="ABK57" s="637"/>
      <c r="ABL57" s="637"/>
      <c r="ABM57" s="637"/>
      <c r="ABN57" s="637"/>
      <c r="ABO57" s="637"/>
      <c r="ABP57" s="637"/>
      <c r="ABQ57" s="637"/>
      <c r="ABR57" s="637"/>
      <c r="ABS57" s="637"/>
      <c r="ABT57" s="637"/>
      <c r="ABU57" s="637"/>
      <c r="ABV57" s="637"/>
      <c r="ABW57" s="637"/>
      <c r="ABX57" s="637"/>
      <c r="ABY57" s="637"/>
      <c r="ABZ57" s="637"/>
      <c r="ACA57" s="637"/>
      <c r="ACB57" s="637"/>
      <c r="ACC57" s="637"/>
      <c r="ACD57" s="637"/>
      <c r="ACE57" s="637"/>
      <c r="ACF57" s="637"/>
      <c r="ACG57" s="637"/>
      <c r="ACH57" s="637"/>
      <c r="ACI57" s="637"/>
      <c r="ACJ57" s="637"/>
      <c r="ACK57" s="637"/>
      <c r="ACL57" s="637"/>
      <c r="ACM57" s="637"/>
      <c r="ACN57" s="637"/>
      <c r="ACO57" s="637"/>
      <c r="ACP57" s="637"/>
      <c r="ACQ57" s="637"/>
      <c r="ACR57" s="637"/>
      <c r="ACS57" s="637"/>
      <c r="ACT57" s="637"/>
      <c r="ACU57" s="637"/>
      <c r="ACV57" s="637"/>
      <c r="ACW57" s="637"/>
      <c r="ACX57" s="637"/>
      <c r="ACY57" s="637"/>
      <c r="ACZ57" s="637"/>
      <c r="ADA57" s="637"/>
      <c r="ADB57" s="637"/>
      <c r="ADC57" s="637"/>
      <c r="ADD57" s="637"/>
      <c r="ADE57" s="637"/>
      <c r="ADF57" s="637"/>
      <c r="ADG57" s="637"/>
      <c r="ADH57" s="637"/>
      <c r="ADI57" s="637"/>
      <c r="ADJ57" s="637"/>
      <c r="ADK57" s="637"/>
      <c r="ADL57" s="637"/>
      <c r="ADM57" s="637"/>
      <c r="ADN57" s="637"/>
      <c r="ADO57" s="637"/>
      <c r="ADP57" s="637"/>
      <c r="ADQ57" s="637"/>
      <c r="ADR57" s="637"/>
      <c r="ADS57" s="637"/>
      <c r="ADT57" s="637"/>
      <c r="ADU57" s="637"/>
      <c r="ADV57" s="637"/>
      <c r="ADW57" s="637"/>
      <c r="ADX57" s="637"/>
      <c r="ADY57" s="637"/>
      <c r="ADZ57" s="637"/>
      <c r="AEA57" s="637"/>
      <c r="AEB57" s="637"/>
      <c r="AEC57" s="637"/>
      <c r="AED57" s="637"/>
      <c r="AEE57" s="637"/>
      <c r="AEF57" s="637"/>
      <c r="AEG57" s="637"/>
      <c r="AEH57" s="637"/>
      <c r="AEI57" s="637"/>
      <c r="AEJ57" s="637"/>
      <c r="AEK57" s="637"/>
      <c r="AEL57" s="637"/>
      <c r="AEM57" s="637"/>
      <c r="AEN57" s="637"/>
      <c r="AEO57" s="637"/>
      <c r="AEP57" s="637"/>
      <c r="AEQ57" s="637"/>
      <c r="AER57" s="637"/>
      <c r="AES57" s="637"/>
      <c r="AET57" s="637"/>
      <c r="AEU57" s="637"/>
      <c r="AEV57" s="637"/>
      <c r="AEW57" s="637"/>
      <c r="AEX57" s="637"/>
      <c r="AEY57" s="637"/>
      <c r="AEZ57" s="637"/>
      <c r="AFA57" s="637"/>
      <c r="AFB57" s="637"/>
      <c r="AFC57" s="637"/>
      <c r="AFD57" s="637"/>
      <c r="AFE57" s="637"/>
      <c r="AFF57" s="637"/>
      <c r="AFG57" s="637"/>
      <c r="AFH57" s="637"/>
      <c r="AFI57" s="637"/>
      <c r="AFJ57" s="637"/>
      <c r="AFK57" s="637"/>
      <c r="AFL57" s="637"/>
      <c r="AFM57" s="637"/>
      <c r="AFN57" s="637"/>
      <c r="AFO57" s="637"/>
      <c r="AFP57" s="637"/>
      <c r="AFQ57" s="637"/>
      <c r="AFR57" s="637"/>
      <c r="AFS57" s="637"/>
      <c r="AFT57" s="637"/>
      <c r="AFU57" s="637"/>
      <c r="AFV57" s="637"/>
      <c r="AFW57" s="637"/>
      <c r="AFX57" s="637"/>
      <c r="AFY57" s="637"/>
      <c r="AFZ57" s="637"/>
      <c r="AGA57" s="637"/>
      <c r="AGB57" s="637"/>
      <c r="AGC57" s="637"/>
      <c r="AGD57" s="637"/>
      <c r="AGE57" s="637"/>
      <c r="AGF57" s="637"/>
      <c r="AGG57" s="637"/>
      <c r="AGH57" s="637"/>
      <c r="AGI57" s="637"/>
      <c r="AGJ57" s="637"/>
      <c r="AGK57" s="637"/>
      <c r="AGL57" s="637"/>
      <c r="AGM57" s="637"/>
      <c r="AGN57" s="637"/>
      <c r="AGO57" s="637"/>
      <c r="AGP57" s="637"/>
      <c r="AGQ57" s="637"/>
      <c r="AGR57" s="637"/>
      <c r="AGS57" s="637"/>
      <c r="AGT57" s="637"/>
      <c r="AGU57" s="637"/>
      <c r="AGV57" s="637"/>
      <c r="AGW57" s="637"/>
      <c r="AGX57" s="637"/>
      <c r="AGY57" s="637"/>
      <c r="AGZ57" s="637"/>
      <c r="AHA57" s="637"/>
      <c r="AHB57" s="637"/>
      <c r="AHC57" s="637"/>
      <c r="AHD57" s="637"/>
      <c r="AHE57" s="637"/>
      <c r="AHF57" s="637"/>
      <c r="AHG57" s="637"/>
      <c r="AHH57" s="637"/>
      <c r="AHI57" s="637"/>
      <c r="AHJ57" s="637"/>
      <c r="AHK57" s="637"/>
      <c r="AHL57" s="637"/>
      <c r="AHM57" s="637"/>
      <c r="AHN57" s="637"/>
      <c r="AHO57" s="637"/>
      <c r="AHP57" s="637"/>
      <c r="AHQ57" s="637"/>
      <c r="AHR57" s="637"/>
      <c r="AHS57" s="637"/>
      <c r="AHT57" s="637"/>
      <c r="AHU57" s="637"/>
      <c r="AHV57" s="637"/>
      <c r="AHW57" s="637"/>
      <c r="AHX57" s="637"/>
      <c r="AHY57" s="637"/>
      <c r="AHZ57" s="637"/>
      <c r="AIA57" s="637"/>
      <c r="AIB57" s="637"/>
      <c r="AIC57" s="637"/>
      <c r="AID57" s="637"/>
      <c r="AIE57" s="637"/>
      <c r="AIF57" s="637"/>
      <c r="AIG57" s="637"/>
      <c r="AIH57" s="637"/>
      <c r="AII57" s="637"/>
      <c r="AIJ57" s="637"/>
      <c r="AIK57" s="637"/>
      <c r="AIL57" s="637"/>
      <c r="AIM57" s="637"/>
      <c r="AIN57" s="637"/>
      <c r="AIO57" s="637"/>
      <c r="AIP57" s="637"/>
      <c r="AIQ57" s="637"/>
      <c r="AIR57" s="637"/>
      <c r="AIS57" s="637"/>
      <c r="AIT57" s="637"/>
      <c r="AIU57" s="637"/>
      <c r="AIV57" s="637"/>
      <c r="AIW57" s="637"/>
      <c r="AIX57" s="637"/>
      <c r="AIY57" s="637"/>
      <c r="AIZ57" s="637"/>
      <c r="AJA57" s="637"/>
      <c r="AJB57" s="637"/>
      <c r="AJC57" s="637"/>
      <c r="AJD57" s="637"/>
      <c r="AJE57" s="637"/>
      <c r="AJF57" s="637"/>
      <c r="AJG57" s="637"/>
      <c r="AJH57" s="637"/>
      <c r="AJI57" s="637"/>
      <c r="AJJ57" s="637"/>
      <c r="AJK57" s="637"/>
      <c r="AJL57" s="637"/>
      <c r="AJM57" s="637"/>
      <c r="AJN57" s="637"/>
      <c r="AJO57" s="637"/>
      <c r="AJP57" s="637"/>
      <c r="AJQ57" s="637"/>
      <c r="AJR57" s="637"/>
      <c r="AJS57" s="637"/>
      <c r="AJT57" s="637"/>
      <c r="AJU57" s="637"/>
      <c r="AJV57" s="637"/>
      <c r="AJW57" s="637"/>
      <c r="AJX57" s="637"/>
      <c r="AJY57" s="637"/>
      <c r="AJZ57" s="637"/>
      <c r="AKA57" s="637"/>
      <c r="AKB57" s="637"/>
      <c r="AKC57" s="637"/>
      <c r="AKD57" s="637"/>
      <c r="AKE57" s="637"/>
      <c r="AKF57" s="637"/>
      <c r="AKG57" s="637"/>
      <c r="AKH57" s="637"/>
      <c r="AKI57" s="637"/>
      <c r="AKJ57" s="637"/>
      <c r="AKK57" s="637"/>
      <c r="AKL57" s="637"/>
      <c r="AKM57" s="637"/>
      <c r="AKN57" s="637"/>
      <c r="AKO57" s="637"/>
      <c r="AKP57" s="637"/>
      <c r="AKQ57" s="637"/>
      <c r="AKR57" s="637"/>
      <c r="AKS57" s="637"/>
      <c r="AKT57" s="637"/>
      <c r="AKU57" s="637"/>
      <c r="AKV57" s="637"/>
      <c r="AKW57" s="637"/>
      <c r="AKX57" s="637"/>
      <c r="AKY57" s="637"/>
      <c r="AKZ57" s="637"/>
      <c r="ALA57" s="637"/>
      <c r="ALB57" s="637"/>
      <c r="ALC57" s="637"/>
      <c r="ALD57" s="637"/>
      <c r="ALE57" s="637"/>
      <c r="ALF57" s="637"/>
      <c r="ALG57" s="637"/>
      <c r="ALH57" s="637"/>
      <c r="ALI57" s="637"/>
      <c r="ALJ57" s="637"/>
      <c r="ALK57" s="637"/>
      <c r="ALL57" s="637"/>
      <c r="ALM57" s="637"/>
      <c r="ALN57" s="637"/>
      <c r="ALO57" s="637"/>
      <c r="ALP57" s="637"/>
      <c r="ALQ57" s="637"/>
      <c r="ALR57" s="637"/>
      <c r="ALS57" s="637"/>
      <c r="ALT57" s="637"/>
      <c r="ALU57" s="637"/>
      <c r="ALV57" s="637"/>
      <c r="ALW57" s="637"/>
      <c r="ALX57" s="637"/>
      <c r="ALY57" s="637"/>
      <c r="ALZ57" s="637"/>
      <c r="AMA57" s="637"/>
      <c r="AMB57" s="637"/>
      <c r="AMC57" s="637"/>
      <c r="AMD57" s="637"/>
      <c r="AME57" s="637"/>
      <c r="AMF57" s="637"/>
      <c r="AMG57" s="637"/>
      <c r="AMH57" s="637"/>
      <c r="AMI57" s="637"/>
      <c r="AMJ57" s="637"/>
    </row>
    <row r="58" spans="1:1024" s="638" customFormat="1" ht="12.75">
      <c r="A58" s="984"/>
      <c r="B58" s="985"/>
      <c r="C58" s="986"/>
      <c r="D58" s="981" t="s">
        <v>1041</v>
      </c>
      <c r="E58" s="982"/>
      <c r="F58" s="982">
        <v>6</v>
      </c>
      <c r="G58" s="987"/>
      <c r="H58" s="987"/>
      <c r="I58" s="987"/>
      <c r="J58" s="987"/>
      <c r="K58" s="987">
        <v>6</v>
      </c>
      <c r="L58" s="987"/>
      <c r="M58" s="987"/>
      <c r="N58" s="987"/>
      <c r="O58" s="987"/>
      <c r="P58" s="987"/>
      <c r="Q58" s="987"/>
      <c r="R58" s="984"/>
      <c r="S58" s="637"/>
      <c r="T58" s="637"/>
      <c r="U58" s="637"/>
      <c r="V58" s="637"/>
      <c r="W58" s="637"/>
      <c r="X58" s="637"/>
      <c r="Y58" s="637"/>
      <c r="Z58" s="637"/>
      <c r="AA58" s="637"/>
      <c r="AB58" s="637"/>
      <c r="AC58" s="637"/>
      <c r="AD58" s="637"/>
      <c r="AE58" s="637"/>
      <c r="AF58" s="637"/>
      <c r="AG58" s="637"/>
      <c r="AH58" s="637"/>
      <c r="AI58" s="637"/>
      <c r="AJ58" s="637"/>
      <c r="AK58" s="637"/>
      <c r="AL58" s="637"/>
      <c r="AM58" s="637"/>
      <c r="AN58" s="637"/>
      <c r="AO58" s="637"/>
      <c r="AP58" s="637"/>
      <c r="AQ58" s="637"/>
      <c r="AR58" s="637"/>
      <c r="AS58" s="637"/>
      <c r="AT58" s="637"/>
      <c r="AU58" s="637"/>
      <c r="AV58" s="637"/>
      <c r="AW58" s="637"/>
      <c r="AX58" s="637"/>
      <c r="AY58" s="637"/>
      <c r="AZ58" s="637"/>
      <c r="BA58" s="637"/>
      <c r="BB58" s="637"/>
      <c r="BC58" s="637"/>
      <c r="BD58" s="637"/>
      <c r="BE58" s="637"/>
      <c r="BF58" s="637"/>
      <c r="BG58" s="637"/>
      <c r="BH58" s="637"/>
      <c r="BI58" s="637"/>
      <c r="BJ58" s="637"/>
      <c r="BK58" s="637"/>
      <c r="BL58" s="637"/>
      <c r="BM58" s="637"/>
      <c r="BN58" s="637"/>
      <c r="BO58" s="637"/>
      <c r="BP58" s="637"/>
      <c r="BQ58" s="637"/>
      <c r="BR58" s="637"/>
      <c r="BS58" s="637"/>
      <c r="BT58" s="637"/>
      <c r="BU58" s="637"/>
      <c r="BV58" s="637"/>
      <c r="BW58" s="637"/>
      <c r="BX58" s="637"/>
      <c r="BY58" s="637"/>
      <c r="BZ58" s="637"/>
      <c r="CA58" s="637"/>
      <c r="CB58" s="637"/>
      <c r="CC58" s="637"/>
      <c r="CD58" s="637"/>
      <c r="CE58" s="637"/>
      <c r="CF58" s="637"/>
      <c r="CG58" s="637"/>
      <c r="CH58" s="637"/>
      <c r="CI58" s="637"/>
      <c r="CJ58" s="637"/>
      <c r="CK58" s="637"/>
      <c r="CL58" s="637"/>
      <c r="CM58" s="637"/>
      <c r="CN58" s="637"/>
      <c r="CO58" s="637"/>
      <c r="CP58" s="637"/>
      <c r="CQ58" s="637"/>
      <c r="CR58" s="637"/>
      <c r="CS58" s="637"/>
      <c r="CT58" s="637"/>
      <c r="CU58" s="637"/>
      <c r="CV58" s="637"/>
      <c r="CW58" s="637"/>
      <c r="CX58" s="637"/>
      <c r="CY58" s="637"/>
      <c r="CZ58" s="637"/>
      <c r="DA58" s="637"/>
      <c r="DB58" s="637"/>
      <c r="DC58" s="637"/>
      <c r="DD58" s="637"/>
      <c r="DE58" s="637"/>
      <c r="DF58" s="637"/>
      <c r="DG58" s="637"/>
      <c r="DH58" s="637"/>
      <c r="DI58" s="637"/>
      <c r="DJ58" s="637"/>
      <c r="DK58" s="637"/>
      <c r="DL58" s="637"/>
      <c r="DM58" s="637"/>
      <c r="DN58" s="637"/>
      <c r="DO58" s="637"/>
      <c r="DP58" s="637"/>
      <c r="DQ58" s="637"/>
      <c r="DR58" s="637"/>
      <c r="DS58" s="637"/>
      <c r="DT58" s="637"/>
      <c r="DU58" s="637"/>
      <c r="DV58" s="637"/>
      <c r="DW58" s="637"/>
      <c r="DX58" s="637"/>
      <c r="DY58" s="637"/>
      <c r="DZ58" s="637"/>
      <c r="EA58" s="637"/>
      <c r="EB58" s="637"/>
      <c r="EC58" s="637"/>
      <c r="ED58" s="637"/>
      <c r="EE58" s="637"/>
      <c r="EF58" s="637"/>
      <c r="EG58" s="637"/>
      <c r="EH58" s="637"/>
      <c r="EI58" s="637"/>
      <c r="EJ58" s="637"/>
      <c r="EK58" s="637"/>
      <c r="EL58" s="637"/>
      <c r="EM58" s="637"/>
      <c r="EN58" s="637"/>
      <c r="EO58" s="637"/>
      <c r="EP58" s="637"/>
      <c r="EQ58" s="637"/>
      <c r="ER58" s="637"/>
      <c r="ES58" s="637"/>
      <c r="ET58" s="637"/>
      <c r="EU58" s="637"/>
      <c r="EV58" s="637"/>
      <c r="EW58" s="637"/>
      <c r="EX58" s="637"/>
      <c r="EY58" s="637"/>
      <c r="EZ58" s="637"/>
      <c r="FA58" s="637"/>
      <c r="FB58" s="637"/>
      <c r="FC58" s="637"/>
      <c r="FD58" s="637"/>
      <c r="FE58" s="637"/>
      <c r="FF58" s="637"/>
      <c r="FG58" s="637"/>
      <c r="FH58" s="637"/>
      <c r="FI58" s="637"/>
      <c r="FJ58" s="637"/>
      <c r="FK58" s="637"/>
      <c r="FL58" s="637"/>
      <c r="FM58" s="637"/>
      <c r="FN58" s="637"/>
      <c r="FO58" s="637"/>
      <c r="FP58" s="637"/>
      <c r="FQ58" s="637"/>
      <c r="FR58" s="637"/>
      <c r="FS58" s="637"/>
      <c r="FT58" s="637"/>
      <c r="FU58" s="637"/>
      <c r="FV58" s="637"/>
      <c r="FW58" s="637"/>
      <c r="FX58" s="637"/>
      <c r="FY58" s="637"/>
      <c r="FZ58" s="637"/>
      <c r="GA58" s="637"/>
      <c r="GB58" s="637"/>
      <c r="GC58" s="637"/>
      <c r="GD58" s="637"/>
      <c r="GE58" s="637"/>
      <c r="GF58" s="637"/>
      <c r="GG58" s="637"/>
      <c r="GH58" s="637"/>
      <c r="GI58" s="637"/>
      <c r="GJ58" s="637"/>
      <c r="GK58" s="637"/>
      <c r="GL58" s="637"/>
      <c r="GM58" s="637"/>
      <c r="GN58" s="637"/>
      <c r="GO58" s="637"/>
      <c r="GP58" s="637"/>
      <c r="GQ58" s="637"/>
      <c r="GR58" s="637"/>
      <c r="GS58" s="637"/>
      <c r="GT58" s="637"/>
      <c r="GU58" s="637"/>
      <c r="GV58" s="637"/>
      <c r="GW58" s="637"/>
      <c r="GX58" s="637"/>
      <c r="GY58" s="637"/>
      <c r="GZ58" s="637"/>
      <c r="HA58" s="637"/>
      <c r="HB58" s="637"/>
      <c r="HC58" s="637"/>
      <c r="HD58" s="637"/>
      <c r="HE58" s="637"/>
      <c r="HF58" s="637"/>
      <c r="HG58" s="637"/>
      <c r="HH58" s="637"/>
      <c r="HI58" s="637"/>
      <c r="HJ58" s="637"/>
      <c r="HK58" s="637"/>
      <c r="HL58" s="637"/>
      <c r="HM58" s="637"/>
      <c r="HN58" s="637"/>
      <c r="HO58" s="637"/>
      <c r="HP58" s="637"/>
      <c r="HQ58" s="637"/>
      <c r="HR58" s="637"/>
      <c r="HS58" s="637"/>
      <c r="HT58" s="637"/>
      <c r="HU58" s="637"/>
      <c r="HV58" s="637"/>
      <c r="HW58" s="637"/>
      <c r="HX58" s="637"/>
      <c r="HY58" s="637"/>
      <c r="HZ58" s="637"/>
      <c r="IA58" s="637"/>
      <c r="IB58" s="637"/>
      <c r="IC58" s="637"/>
      <c r="ID58" s="637"/>
      <c r="IE58" s="637"/>
      <c r="IF58" s="637"/>
      <c r="IG58" s="637"/>
      <c r="IH58" s="637"/>
      <c r="II58" s="637"/>
      <c r="IJ58" s="637"/>
      <c r="IK58" s="637"/>
      <c r="IL58" s="637"/>
      <c r="IM58" s="637"/>
      <c r="IN58" s="637"/>
      <c r="IO58" s="637"/>
      <c r="IP58" s="637"/>
      <c r="IQ58" s="637"/>
      <c r="IR58" s="637"/>
      <c r="IS58" s="637"/>
      <c r="IT58" s="637"/>
      <c r="IU58" s="637"/>
      <c r="IV58" s="637"/>
      <c r="IW58" s="637"/>
      <c r="IX58" s="637"/>
      <c r="IY58" s="637"/>
      <c r="IZ58" s="637"/>
      <c r="JA58" s="637"/>
      <c r="JB58" s="637"/>
      <c r="JC58" s="637"/>
      <c r="JD58" s="637"/>
      <c r="JE58" s="637"/>
      <c r="JF58" s="637"/>
      <c r="JG58" s="637"/>
      <c r="JH58" s="637"/>
      <c r="JI58" s="637"/>
      <c r="JJ58" s="637"/>
      <c r="JK58" s="637"/>
      <c r="JL58" s="637"/>
      <c r="JM58" s="637"/>
      <c r="JN58" s="637"/>
      <c r="JO58" s="637"/>
      <c r="JP58" s="637"/>
      <c r="JQ58" s="637"/>
      <c r="JR58" s="637"/>
      <c r="JS58" s="637"/>
      <c r="JT58" s="637"/>
      <c r="JU58" s="637"/>
      <c r="JV58" s="637"/>
      <c r="JW58" s="637"/>
      <c r="JX58" s="637"/>
      <c r="JY58" s="637"/>
      <c r="JZ58" s="637"/>
      <c r="KA58" s="637"/>
      <c r="KB58" s="637"/>
      <c r="KC58" s="637"/>
      <c r="KD58" s="637"/>
      <c r="KE58" s="637"/>
      <c r="KF58" s="637"/>
      <c r="KG58" s="637"/>
      <c r="KH58" s="637"/>
      <c r="KI58" s="637"/>
      <c r="KJ58" s="637"/>
      <c r="KK58" s="637"/>
      <c r="KL58" s="637"/>
      <c r="KM58" s="637"/>
      <c r="KN58" s="637"/>
      <c r="KO58" s="637"/>
      <c r="KP58" s="637"/>
      <c r="KQ58" s="637"/>
      <c r="KR58" s="637"/>
      <c r="KS58" s="637"/>
      <c r="KT58" s="637"/>
      <c r="KU58" s="637"/>
      <c r="KV58" s="637"/>
      <c r="KW58" s="637"/>
      <c r="KX58" s="637"/>
      <c r="KY58" s="637"/>
      <c r="KZ58" s="637"/>
      <c r="LA58" s="637"/>
      <c r="LB58" s="637"/>
      <c r="LC58" s="637"/>
      <c r="LD58" s="637"/>
      <c r="LE58" s="637"/>
      <c r="LF58" s="637"/>
      <c r="LG58" s="637"/>
      <c r="LH58" s="637"/>
      <c r="LI58" s="637"/>
      <c r="LJ58" s="637"/>
      <c r="LK58" s="637"/>
      <c r="LL58" s="637"/>
      <c r="LM58" s="637"/>
      <c r="LN58" s="637"/>
      <c r="LO58" s="637"/>
      <c r="LP58" s="637"/>
      <c r="LQ58" s="637"/>
      <c r="LR58" s="637"/>
      <c r="LS58" s="637"/>
      <c r="LT58" s="637"/>
      <c r="LU58" s="637"/>
      <c r="LV58" s="637"/>
      <c r="LW58" s="637"/>
      <c r="LX58" s="637"/>
      <c r="LY58" s="637"/>
      <c r="LZ58" s="637"/>
      <c r="MA58" s="637"/>
      <c r="MB58" s="637"/>
      <c r="MC58" s="637"/>
      <c r="MD58" s="637"/>
      <c r="ME58" s="637"/>
      <c r="MF58" s="637"/>
      <c r="MG58" s="637"/>
      <c r="MH58" s="637"/>
      <c r="MI58" s="637"/>
      <c r="MJ58" s="637"/>
      <c r="MK58" s="637"/>
      <c r="ML58" s="637"/>
      <c r="MM58" s="637"/>
      <c r="MN58" s="637"/>
      <c r="MO58" s="637"/>
      <c r="MP58" s="637"/>
      <c r="MQ58" s="637"/>
      <c r="MR58" s="637"/>
      <c r="MS58" s="637"/>
      <c r="MT58" s="637"/>
      <c r="MU58" s="637"/>
      <c r="MV58" s="637"/>
      <c r="MW58" s="637"/>
      <c r="MX58" s="637"/>
      <c r="MY58" s="637"/>
      <c r="MZ58" s="637"/>
      <c r="NA58" s="637"/>
      <c r="NB58" s="637"/>
      <c r="NC58" s="637"/>
      <c r="ND58" s="637"/>
      <c r="NE58" s="637"/>
      <c r="NF58" s="637"/>
      <c r="NG58" s="637"/>
      <c r="NH58" s="637"/>
      <c r="NI58" s="637"/>
      <c r="NJ58" s="637"/>
      <c r="NK58" s="637"/>
      <c r="NL58" s="637"/>
      <c r="NM58" s="637"/>
      <c r="NN58" s="637"/>
      <c r="NO58" s="637"/>
      <c r="NP58" s="637"/>
      <c r="NQ58" s="637"/>
      <c r="NR58" s="637"/>
      <c r="NS58" s="637"/>
      <c r="NT58" s="637"/>
      <c r="NU58" s="637"/>
      <c r="NV58" s="637"/>
      <c r="NW58" s="637"/>
      <c r="NX58" s="637"/>
      <c r="NY58" s="637"/>
      <c r="NZ58" s="637"/>
      <c r="OA58" s="637"/>
      <c r="OB58" s="637"/>
      <c r="OC58" s="637"/>
      <c r="OD58" s="637"/>
      <c r="OE58" s="637"/>
      <c r="OF58" s="637"/>
      <c r="OG58" s="637"/>
      <c r="OH58" s="637"/>
      <c r="OI58" s="637"/>
      <c r="OJ58" s="637"/>
      <c r="OK58" s="637"/>
      <c r="OL58" s="637"/>
      <c r="OM58" s="637"/>
      <c r="ON58" s="637"/>
      <c r="OO58" s="637"/>
      <c r="OP58" s="637"/>
      <c r="OQ58" s="637"/>
      <c r="OR58" s="637"/>
      <c r="OS58" s="637"/>
      <c r="OT58" s="637"/>
      <c r="OU58" s="637"/>
      <c r="OV58" s="637"/>
      <c r="OW58" s="637"/>
      <c r="OX58" s="637"/>
      <c r="OY58" s="637"/>
      <c r="OZ58" s="637"/>
      <c r="PA58" s="637"/>
      <c r="PB58" s="637"/>
      <c r="PC58" s="637"/>
      <c r="PD58" s="637"/>
      <c r="PE58" s="637"/>
      <c r="PF58" s="637"/>
      <c r="PG58" s="637"/>
      <c r="PH58" s="637"/>
      <c r="PI58" s="637"/>
      <c r="PJ58" s="637"/>
      <c r="PK58" s="637"/>
      <c r="PL58" s="637"/>
      <c r="PM58" s="637"/>
      <c r="PN58" s="637"/>
      <c r="PO58" s="637"/>
      <c r="PP58" s="637"/>
      <c r="PQ58" s="637"/>
      <c r="PR58" s="637"/>
      <c r="PS58" s="637"/>
      <c r="PT58" s="637"/>
      <c r="PU58" s="637"/>
      <c r="PV58" s="637"/>
      <c r="PW58" s="637"/>
      <c r="PX58" s="637"/>
      <c r="PY58" s="637"/>
      <c r="PZ58" s="637"/>
      <c r="QA58" s="637"/>
      <c r="QB58" s="637"/>
      <c r="QC58" s="637"/>
      <c r="QD58" s="637"/>
      <c r="QE58" s="637"/>
      <c r="QF58" s="637"/>
      <c r="QG58" s="637"/>
      <c r="QH58" s="637"/>
      <c r="QI58" s="637"/>
      <c r="QJ58" s="637"/>
      <c r="QK58" s="637"/>
      <c r="QL58" s="637"/>
      <c r="QM58" s="637"/>
      <c r="QN58" s="637"/>
      <c r="QO58" s="637"/>
      <c r="QP58" s="637"/>
      <c r="QQ58" s="637"/>
      <c r="QR58" s="637"/>
      <c r="QS58" s="637"/>
      <c r="QT58" s="637"/>
      <c r="QU58" s="637"/>
      <c r="QV58" s="637"/>
      <c r="QW58" s="637"/>
      <c r="QX58" s="637"/>
      <c r="QY58" s="637"/>
      <c r="QZ58" s="637"/>
      <c r="RA58" s="637"/>
      <c r="RB58" s="637"/>
      <c r="RC58" s="637"/>
      <c r="RD58" s="637"/>
      <c r="RE58" s="637"/>
      <c r="RF58" s="637"/>
      <c r="RG58" s="637"/>
      <c r="RH58" s="637"/>
      <c r="RI58" s="637"/>
      <c r="RJ58" s="637"/>
      <c r="RK58" s="637"/>
      <c r="RL58" s="637"/>
      <c r="RM58" s="637"/>
      <c r="RN58" s="637"/>
      <c r="RO58" s="637"/>
      <c r="RP58" s="637"/>
      <c r="RQ58" s="637"/>
      <c r="RR58" s="637"/>
      <c r="RS58" s="637"/>
      <c r="RT58" s="637"/>
      <c r="RU58" s="637"/>
      <c r="RV58" s="637"/>
      <c r="RW58" s="637"/>
      <c r="RX58" s="637"/>
      <c r="RY58" s="637"/>
      <c r="RZ58" s="637"/>
      <c r="SA58" s="637"/>
      <c r="SB58" s="637"/>
      <c r="SC58" s="637"/>
      <c r="SD58" s="637"/>
      <c r="SE58" s="637"/>
      <c r="SF58" s="637"/>
      <c r="SG58" s="637"/>
      <c r="SH58" s="637"/>
      <c r="SI58" s="637"/>
      <c r="SJ58" s="637"/>
      <c r="SK58" s="637"/>
      <c r="SL58" s="637"/>
      <c r="SM58" s="637"/>
      <c r="SN58" s="637"/>
      <c r="SO58" s="637"/>
      <c r="SP58" s="637"/>
      <c r="SQ58" s="637"/>
      <c r="SR58" s="637"/>
      <c r="SS58" s="637"/>
      <c r="ST58" s="637"/>
      <c r="SU58" s="637"/>
      <c r="SV58" s="637"/>
      <c r="SW58" s="637"/>
      <c r="SX58" s="637"/>
      <c r="SY58" s="637"/>
      <c r="SZ58" s="637"/>
      <c r="TA58" s="637"/>
      <c r="TB58" s="637"/>
      <c r="TC58" s="637"/>
      <c r="TD58" s="637"/>
      <c r="TE58" s="637"/>
      <c r="TF58" s="637"/>
      <c r="TG58" s="637"/>
      <c r="TH58" s="637"/>
      <c r="TI58" s="637"/>
      <c r="TJ58" s="637"/>
      <c r="TK58" s="637"/>
      <c r="TL58" s="637"/>
      <c r="TM58" s="637"/>
      <c r="TN58" s="637"/>
      <c r="TO58" s="637"/>
      <c r="TP58" s="637"/>
      <c r="TQ58" s="637"/>
      <c r="TR58" s="637"/>
      <c r="TS58" s="637"/>
      <c r="TT58" s="637"/>
      <c r="TU58" s="637"/>
      <c r="TV58" s="637"/>
      <c r="TW58" s="637"/>
      <c r="TX58" s="637"/>
      <c r="TY58" s="637"/>
      <c r="TZ58" s="637"/>
      <c r="UA58" s="637"/>
      <c r="UB58" s="637"/>
      <c r="UC58" s="637"/>
      <c r="UD58" s="637"/>
      <c r="UE58" s="637"/>
      <c r="UF58" s="637"/>
      <c r="UG58" s="637"/>
      <c r="UH58" s="637"/>
      <c r="UI58" s="637"/>
      <c r="UJ58" s="637"/>
      <c r="UK58" s="637"/>
      <c r="UL58" s="637"/>
      <c r="UM58" s="637"/>
      <c r="UN58" s="637"/>
      <c r="UO58" s="637"/>
      <c r="UP58" s="637"/>
      <c r="UQ58" s="637"/>
      <c r="UR58" s="637"/>
      <c r="US58" s="637"/>
      <c r="UT58" s="637"/>
      <c r="UU58" s="637"/>
      <c r="UV58" s="637"/>
      <c r="UW58" s="637"/>
      <c r="UX58" s="637"/>
      <c r="UY58" s="637"/>
      <c r="UZ58" s="637"/>
      <c r="VA58" s="637"/>
      <c r="VB58" s="637"/>
      <c r="VC58" s="637"/>
      <c r="VD58" s="637"/>
      <c r="VE58" s="637"/>
      <c r="VF58" s="637"/>
      <c r="VG58" s="637"/>
      <c r="VH58" s="637"/>
      <c r="VI58" s="637"/>
      <c r="VJ58" s="637"/>
      <c r="VK58" s="637"/>
      <c r="VL58" s="637"/>
      <c r="VM58" s="637"/>
      <c r="VN58" s="637"/>
      <c r="VO58" s="637"/>
      <c r="VP58" s="637"/>
      <c r="VQ58" s="637"/>
      <c r="VR58" s="637"/>
      <c r="VS58" s="637"/>
      <c r="VT58" s="637"/>
      <c r="VU58" s="637"/>
      <c r="VV58" s="637"/>
      <c r="VW58" s="637"/>
      <c r="VX58" s="637"/>
      <c r="VY58" s="637"/>
      <c r="VZ58" s="637"/>
      <c r="WA58" s="637"/>
      <c r="WB58" s="637"/>
      <c r="WC58" s="637"/>
      <c r="WD58" s="637"/>
      <c r="WE58" s="637"/>
      <c r="WF58" s="637"/>
      <c r="WG58" s="637"/>
      <c r="WH58" s="637"/>
      <c r="WI58" s="637"/>
      <c r="WJ58" s="637"/>
      <c r="WK58" s="637"/>
      <c r="WL58" s="637"/>
      <c r="WM58" s="637"/>
      <c r="WN58" s="637"/>
      <c r="WO58" s="637"/>
      <c r="WP58" s="637"/>
      <c r="WQ58" s="637"/>
      <c r="WR58" s="637"/>
      <c r="WS58" s="637"/>
      <c r="WT58" s="637"/>
      <c r="WU58" s="637"/>
      <c r="WV58" s="637"/>
      <c r="WW58" s="637"/>
      <c r="WX58" s="637"/>
      <c r="WY58" s="637"/>
      <c r="WZ58" s="637"/>
      <c r="XA58" s="637"/>
      <c r="XB58" s="637"/>
      <c r="XC58" s="637"/>
      <c r="XD58" s="637"/>
      <c r="XE58" s="637"/>
      <c r="XF58" s="637"/>
      <c r="XG58" s="637"/>
      <c r="XH58" s="637"/>
      <c r="XI58" s="637"/>
      <c r="XJ58" s="637"/>
      <c r="XK58" s="637"/>
      <c r="XL58" s="637"/>
      <c r="XM58" s="637"/>
      <c r="XN58" s="637"/>
      <c r="XO58" s="637"/>
      <c r="XP58" s="637"/>
      <c r="XQ58" s="637"/>
      <c r="XR58" s="637"/>
      <c r="XS58" s="637"/>
      <c r="XT58" s="637"/>
      <c r="XU58" s="637"/>
      <c r="XV58" s="637"/>
      <c r="XW58" s="637"/>
      <c r="XX58" s="637"/>
      <c r="XY58" s="637"/>
      <c r="XZ58" s="637"/>
      <c r="YA58" s="637"/>
      <c r="YB58" s="637"/>
      <c r="YC58" s="637"/>
      <c r="YD58" s="637"/>
      <c r="YE58" s="637"/>
      <c r="YF58" s="637"/>
      <c r="YG58" s="637"/>
      <c r="YH58" s="637"/>
      <c r="YI58" s="637"/>
      <c r="YJ58" s="637"/>
      <c r="YK58" s="637"/>
      <c r="YL58" s="637"/>
      <c r="YM58" s="637"/>
      <c r="YN58" s="637"/>
      <c r="YO58" s="637"/>
      <c r="YP58" s="637"/>
      <c r="YQ58" s="637"/>
      <c r="YR58" s="637"/>
      <c r="YS58" s="637"/>
      <c r="YT58" s="637"/>
      <c r="YU58" s="637"/>
      <c r="YV58" s="637"/>
      <c r="YW58" s="637"/>
      <c r="YX58" s="637"/>
      <c r="YY58" s="637"/>
      <c r="YZ58" s="637"/>
      <c r="ZA58" s="637"/>
      <c r="ZB58" s="637"/>
      <c r="ZC58" s="637"/>
      <c r="ZD58" s="637"/>
      <c r="ZE58" s="637"/>
      <c r="ZF58" s="637"/>
      <c r="ZG58" s="637"/>
      <c r="ZH58" s="637"/>
      <c r="ZI58" s="637"/>
      <c r="ZJ58" s="637"/>
      <c r="ZK58" s="637"/>
      <c r="ZL58" s="637"/>
      <c r="ZM58" s="637"/>
      <c r="ZN58" s="637"/>
      <c r="ZO58" s="637"/>
      <c r="ZP58" s="637"/>
      <c r="ZQ58" s="637"/>
      <c r="ZR58" s="637"/>
      <c r="ZS58" s="637"/>
      <c r="ZT58" s="637"/>
      <c r="ZU58" s="637"/>
      <c r="ZV58" s="637"/>
      <c r="ZW58" s="637"/>
      <c r="ZX58" s="637"/>
      <c r="ZY58" s="637"/>
      <c r="ZZ58" s="637"/>
      <c r="AAA58" s="637"/>
      <c r="AAB58" s="637"/>
      <c r="AAC58" s="637"/>
      <c r="AAD58" s="637"/>
      <c r="AAE58" s="637"/>
      <c r="AAF58" s="637"/>
      <c r="AAG58" s="637"/>
      <c r="AAH58" s="637"/>
      <c r="AAI58" s="637"/>
      <c r="AAJ58" s="637"/>
      <c r="AAK58" s="637"/>
      <c r="AAL58" s="637"/>
      <c r="AAM58" s="637"/>
      <c r="AAN58" s="637"/>
      <c r="AAO58" s="637"/>
      <c r="AAP58" s="637"/>
      <c r="AAQ58" s="637"/>
      <c r="AAR58" s="637"/>
      <c r="AAS58" s="637"/>
      <c r="AAT58" s="637"/>
      <c r="AAU58" s="637"/>
      <c r="AAV58" s="637"/>
      <c r="AAW58" s="637"/>
      <c r="AAX58" s="637"/>
      <c r="AAY58" s="637"/>
      <c r="AAZ58" s="637"/>
      <c r="ABA58" s="637"/>
      <c r="ABB58" s="637"/>
      <c r="ABC58" s="637"/>
      <c r="ABD58" s="637"/>
      <c r="ABE58" s="637"/>
      <c r="ABF58" s="637"/>
      <c r="ABG58" s="637"/>
      <c r="ABH58" s="637"/>
      <c r="ABI58" s="637"/>
      <c r="ABJ58" s="637"/>
      <c r="ABK58" s="637"/>
      <c r="ABL58" s="637"/>
      <c r="ABM58" s="637"/>
      <c r="ABN58" s="637"/>
      <c r="ABO58" s="637"/>
      <c r="ABP58" s="637"/>
      <c r="ABQ58" s="637"/>
      <c r="ABR58" s="637"/>
      <c r="ABS58" s="637"/>
      <c r="ABT58" s="637"/>
      <c r="ABU58" s="637"/>
      <c r="ABV58" s="637"/>
      <c r="ABW58" s="637"/>
      <c r="ABX58" s="637"/>
      <c r="ABY58" s="637"/>
      <c r="ABZ58" s="637"/>
      <c r="ACA58" s="637"/>
      <c r="ACB58" s="637"/>
      <c r="ACC58" s="637"/>
      <c r="ACD58" s="637"/>
      <c r="ACE58" s="637"/>
      <c r="ACF58" s="637"/>
      <c r="ACG58" s="637"/>
      <c r="ACH58" s="637"/>
      <c r="ACI58" s="637"/>
      <c r="ACJ58" s="637"/>
      <c r="ACK58" s="637"/>
      <c r="ACL58" s="637"/>
      <c r="ACM58" s="637"/>
      <c r="ACN58" s="637"/>
      <c r="ACO58" s="637"/>
      <c r="ACP58" s="637"/>
      <c r="ACQ58" s="637"/>
      <c r="ACR58" s="637"/>
      <c r="ACS58" s="637"/>
      <c r="ACT58" s="637"/>
      <c r="ACU58" s="637"/>
      <c r="ACV58" s="637"/>
      <c r="ACW58" s="637"/>
      <c r="ACX58" s="637"/>
      <c r="ACY58" s="637"/>
      <c r="ACZ58" s="637"/>
      <c r="ADA58" s="637"/>
      <c r="ADB58" s="637"/>
      <c r="ADC58" s="637"/>
      <c r="ADD58" s="637"/>
      <c r="ADE58" s="637"/>
      <c r="ADF58" s="637"/>
      <c r="ADG58" s="637"/>
      <c r="ADH58" s="637"/>
      <c r="ADI58" s="637"/>
      <c r="ADJ58" s="637"/>
      <c r="ADK58" s="637"/>
      <c r="ADL58" s="637"/>
      <c r="ADM58" s="637"/>
      <c r="ADN58" s="637"/>
      <c r="ADO58" s="637"/>
      <c r="ADP58" s="637"/>
      <c r="ADQ58" s="637"/>
      <c r="ADR58" s="637"/>
      <c r="ADS58" s="637"/>
      <c r="ADT58" s="637"/>
      <c r="ADU58" s="637"/>
      <c r="ADV58" s="637"/>
      <c r="ADW58" s="637"/>
      <c r="ADX58" s="637"/>
      <c r="ADY58" s="637"/>
      <c r="ADZ58" s="637"/>
      <c r="AEA58" s="637"/>
      <c r="AEB58" s="637"/>
      <c r="AEC58" s="637"/>
      <c r="AED58" s="637"/>
      <c r="AEE58" s="637"/>
      <c r="AEF58" s="637"/>
      <c r="AEG58" s="637"/>
      <c r="AEH58" s="637"/>
      <c r="AEI58" s="637"/>
      <c r="AEJ58" s="637"/>
      <c r="AEK58" s="637"/>
      <c r="AEL58" s="637"/>
      <c r="AEM58" s="637"/>
      <c r="AEN58" s="637"/>
      <c r="AEO58" s="637"/>
      <c r="AEP58" s="637"/>
      <c r="AEQ58" s="637"/>
      <c r="AER58" s="637"/>
      <c r="AES58" s="637"/>
      <c r="AET58" s="637"/>
      <c r="AEU58" s="637"/>
      <c r="AEV58" s="637"/>
      <c r="AEW58" s="637"/>
      <c r="AEX58" s="637"/>
      <c r="AEY58" s="637"/>
      <c r="AEZ58" s="637"/>
      <c r="AFA58" s="637"/>
      <c r="AFB58" s="637"/>
      <c r="AFC58" s="637"/>
      <c r="AFD58" s="637"/>
      <c r="AFE58" s="637"/>
      <c r="AFF58" s="637"/>
      <c r="AFG58" s="637"/>
      <c r="AFH58" s="637"/>
      <c r="AFI58" s="637"/>
      <c r="AFJ58" s="637"/>
      <c r="AFK58" s="637"/>
      <c r="AFL58" s="637"/>
      <c r="AFM58" s="637"/>
      <c r="AFN58" s="637"/>
      <c r="AFO58" s="637"/>
      <c r="AFP58" s="637"/>
      <c r="AFQ58" s="637"/>
      <c r="AFR58" s="637"/>
      <c r="AFS58" s="637"/>
      <c r="AFT58" s="637"/>
      <c r="AFU58" s="637"/>
      <c r="AFV58" s="637"/>
      <c r="AFW58" s="637"/>
      <c r="AFX58" s="637"/>
      <c r="AFY58" s="637"/>
      <c r="AFZ58" s="637"/>
      <c r="AGA58" s="637"/>
      <c r="AGB58" s="637"/>
      <c r="AGC58" s="637"/>
      <c r="AGD58" s="637"/>
      <c r="AGE58" s="637"/>
      <c r="AGF58" s="637"/>
      <c r="AGG58" s="637"/>
      <c r="AGH58" s="637"/>
      <c r="AGI58" s="637"/>
      <c r="AGJ58" s="637"/>
      <c r="AGK58" s="637"/>
      <c r="AGL58" s="637"/>
      <c r="AGM58" s="637"/>
      <c r="AGN58" s="637"/>
      <c r="AGO58" s="637"/>
      <c r="AGP58" s="637"/>
      <c r="AGQ58" s="637"/>
      <c r="AGR58" s="637"/>
      <c r="AGS58" s="637"/>
      <c r="AGT58" s="637"/>
      <c r="AGU58" s="637"/>
      <c r="AGV58" s="637"/>
      <c r="AGW58" s="637"/>
      <c r="AGX58" s="637"/>
      <c r="AGY58" s="637"/>
      <c r="AGZ58" s="637"/>
      <c r="AHA58" s="637"/>
      <c r="AHB58" s="637"/>
      <c r="AHC58" s="637"/>
      <c r="AHD58" s="637"/>
      <c r="AHE58" s="637"/>
      <c r="AHF58" s="637"/>
      <c r="AHG58" s="637"/>
      <c r="AHH58" s="637"/>
      <c r="AHI58" s="637"/>
      <c r="AHJ58" s="637"/>
      <c r="AHK58" s="637"/>
      <c r="AHL58" s="637"/>
      <c r="AHM58" s="637"/>
      <c r="AHN58" s="637"/>
      <c r="AHO58" s="637"/>
      <c r="AHP58" s="637"/>
      <c r="AHQ58" s="637"/>
      <c r="AHR58" s="637"/>
      <c r="AHS58" s="637"/>
      <c r="AHT58" s="637"/>
      <c r="AHU58" s="637"/>
      <c r="AHV58" s="637"/>
      <c r="AHW58" s="637"/>
      <c r="AHX58" s="637"/>
      <c r="AHY58" s="637"/>
      <c r="AHZ58" s="637"/>
      <c r="AIA58" s="637"/>
      <c r="AIB58" s="637"/>
      <c r="AIC58" s="637"/>
      <c r="AID58" s="637"/>
      <c r="AIE58" s="637"/>
      <c r="AIF58" s="637"/>
      <c r="AIG58" s="637"/>
      <c r="AIH58" s="637"/>
      <c r="AII58" s="637"/>
      <c r="AIJ58" s="637"/>
      <c r="AIK58" s="637"/>
      <c r="AIL58" s="637"/>
      <c r="AIM58" s="637"/>
      <c r="AIN58" s="637"/>
      <c r="AIO58" s="637"/>
      <c r="AIP58" s="637"/>
      <c r="AIQ58" s="637"/>
      <c r="AIR58" s="637"/>
      <c r="AIS58" s="637"/>
      <c r="AIT58" s="637"/>
      <c r="AIU58" s="637"/>
      <c r="AIV58" s="637"/>
      <c r="AIW58" s="637"/>
      <c r="AIX58" s="637"/>
      <c r="AIY58" s="637"/>
      <c r="AIZ58" s="637"/>
      <c r="AJA58" s="637"/>
      <c r="AJB58" s="637"/>
      <c r="AJC58" s="637"/>
      <c r="AJD58" s="637"/>
      <c r="AJE58" s="637"/>
      <c r="AJF58" s="637"/>
      <c r="AJG58" s="637"/>
      <c r="AJH58" s="637"/>
      <c r="AJI58" s="637"/>
      <c r="AJJ58" s="637"/>
      <c r="AJK58" s="637"/>
      <c r="AJL58" s="637"/>
      <c r="AJM58" s="637"/>
      <c r="AJN58" s="637"/>
      <c r="AJO58" s="637"/>
      <c r="AJP58" s="637"/>
      <c r="AJQ58" s="637"/>
      <c r="AJR58" s="637"/>
      <c r="AJS58" s="637"/>
      <c r="AJT58" s="637"/>
      <c r="AJU58" s="637"/>
      <c r="AJV58" s="637"/>
      <c r="AJW58" s="637"/>
      <c r="AJX58" s="637"/>
      <c r="AJY58" s="637"/>
      <c r="AJZ58" s="637"/>
      <c r="AKA58" s="637"/>
      <c r="AKB58" s="637"/>
      <c r="AKC58" s="637"/>
      <c r="AKD58" s="637"/>
      <c r="AKE58" s="637"/>
      <c r="AKF58" s="637"/>
      <c r="AKG58" s="637"/>
      <c r="AKH58" s="637"/>
      <c r="AKI58" s="637"/>
      <c r="AKJ58" s="637"/>
      <c r="AKK58" s="637"/>
      <c r="AKL58" s="637"/>
      <c r="AKM58" s="637"/>
      <c r="AKN58" s="637"/>
      <c r="AKO58" s="637"/>
      <c r="AKP58" s="637"/>
      <c r="AKQ58" s="637"/>
      <c r="AKR58" s="637"/>
      <c r="AKS58" s="637"/>
      <c r="AKT58" s="637"/>
      <c r="AKU58" s="637"/>
      <c r="AKV58" s="637"/>
      <c r="AKW58" s="637"/>
      <c r="AKX58" s="637"/>
      <c r="AKY58" s="637"/>
      <c r="AKZ58" s="637"/>
      <c r="ALA58" s="637"/>
      <c r="ALB58" s="637"/>
      <c r="ALC58" s="637"/>
      <c r="ALD58" s="637"/>
      <c r="ALE58" s="637"/>
      <c r="ALF58" s="637"/>
      <c r="ALG58" s="637"/>
      <c r="ALH58" s="637"/>
      <c r="ALI58" s="637"/>
      <c r="ALJ58" s="637"/>
      <c r="ALK58" s="637"/>
      <c r="ALL58" s="637"/>
      <c r="ALM58" s="637"/>
      <c r="ALN58" s="637"/>
      <c r="ALO58" s="637"/>
      <c r="ALP58" s="637"/>
      <c r="ALQ58" s="637"/>
      <c r="ALR58" s="637"/>
      <c r="ALS58" s="637"/>
      <c r="ALT58" s="637"/>
      <c r="ALU58" s="637"/>
      <c r="ALV58" s="637"/>
      <c r="ALW58" s="637"/>
      <c r="ALX58" s="637"/>
      <c r="ALY58" s="637"/>
      <c r="ALZ58" s="637"/>
      <c r="AMA58" s="637"/>
      <c r="AMB58" s="637"/>
      <c r="AMC58" s="637"/>
      <c r="AMD58" s="637"/>
      <c r="AME58" s="637"/>
      <c r="AMF58" s="637"/>
      <c r="AMG58" s="637"/>
      <c r="AMH58" s="637"/>
      <c r="AMI58" s="637"/>
      <c r="AMJ58" s="637"/>
    </row>
    <row r="59" spans="1:1024" s="638" customFormat="1" ht="12.75" hidden="1">
      <c r="A59" s="984"/>
      <c r="B59" s="985"/>
      <c r="C59" s="986"/>
      <c r="D59" s="988"/>
      <c r="E59" s="989"/>
      <c r="F59" s="989">
        <v>6</v>
      </c>
      <c r="G59" s="990"/>
      <c r="H59" s="990"/>
      <c r="I59" s="990"/>
      <c r="J59" s="990"/>
      <c r="K59" s="990">
        <v>6</v>
      </c>
      <c r="L59" s="990"/>
      <c r="M59" s="990"/>
      <c r="N59" s="990"/>
      <c r="O59" s="990"/>
      <c r="P59" s="990"/>
      <c r="Q59" s="990"/>
      <c r="R59" s="991"/>
      <c r="S59" s="637"/>
      <c r="T59" s="637"/>
      <c r="U59" s="637"/>
      <c r="V59" s="637"/>
      <c r="W59" s="637"/>
      <c r="X59" s="637"/>
      <c r="Y59" s="637"/>
      <c r="Z59" s="637"/>
      <c r="AA59" s="637"/>
      <c r="AB59" s="637"/>
      <c r="AC59" s="637"/>
      <c r="AD59" s="637"/>
      <c r="AE59" s="637"/>
      <c r="AF59" s="637"/>
      <c r="AG59" s="637"/>
      <c r="AH59" s="637"/>
      <c r="AI59" s="637"/>
      <c r="AJ59" s="637"/>
      <c r="AK59" s="637"/>
      <c r="AL59" s="637"/>
      <c r="AM59" s="637"/>
      <c r="AN59" s="637"/>
      <c r="AO59" s="637"/>
      <c r="AP59" s="637"/>
      <c r="AQ59" s="637"/>
      <c r="AR59" s="637"/>
      <c r="AS59" s="637"/>
      <c r="AT59" s="637"/>
      <c r="AU59" s="637"/>
      <c r="AV59" s="637"/>
      <c r="AW59" s="637"/>
      <c r="AX59" s="637"/>
      <c r="AY59" s="637"/>
      <c r="AZ59" s="637"/>
      <c r="BA59" s="637"/>
      <c r="BB59" s="637"/>
      <c r="BC59" s="637"/>
      <c r="BD59" s="637"/>
      <c r="BE59" s="637"/>
      <c r="BF59" s="637"/>
      <c r="BG59" s="637"/>
      <c r="BH59" s="637"/>
      <c r="BI59" s="637"/>
      <c r="BJ59" s="637"/>
      <c r="BK59" s="637"/>
      <c r="BL59" s="637"/>
      <c r="BM59" s="637"/>
      <c r="BN59" s="637"/>
      <c r="BO59" s="637"/>
      <c r="BP59" s="637"/>
      <c r="BQ59" s="637"/>
      <c r="BR59" s="637"/>
      <c r="BS59" s="637"/>
      <c r="BT59" s="637"/>
      <c r="BU59" s="637"/>
      <c r="BV59" s="637"/>
      <c r="BW59" s="637"/>
      <c r="BX59" s="637"/>
      <c r="BY59" s="637"/>
      <c r="BZ59" s="637"/>
      <c r="CA59" s="637"/>
      <c r="CB59" s="637"/>
      <c r="CC59" s="637"/>
      <c r="CD59" s="637"/>
      <c r="CE59" s="637"/>
      <c r="CF59" s="637"/>
      <c r="CG59" s="637"/>
      <c r="CH59" s="637"/>
      <c r="CI59" s="637"/>
      <c r="CJ59" s="637"/>
      <c r="CK59" s="637"/>
      <c r="CL59" s="637"/>
      <c r="CM59" s="637"/>
      <c r="CN59" s="637"/>
      <c r="CO59" s="637"/>
      <c r="CP59" s="637"/>
      <c r="CQ59" s="637"/>
      <c r="CR59" s="637"/>
      <c r="CS59" s="637"/>
      <c r="CT59" s="637"/>
      <c r="CU59" s="637"/>
      <c r="CV59" s="637"/>
      <c r="CW59" s="637"/>
      <c r="CX59" s="637"/>
      <c r="CY59" s="637"/>
      <c r="CZ59" s="637"/>
      <c r="DA59" s="637"/>
      <c r="DB59" s="637"/>
      <c r="DC59" s="637"/>
      <c r="DD59" s="637"/>
      <c r="DE59" s="637"/>
      <c r="DF59" s="637"/>
      <c r="DG59" s="637"/>
      <c r="DH59" s="637"/>
      <c r="DI59" s="637"/>
      <c r="DJ59" s="637"/>
      <c r="DK59" s="637"/>
      <c r="DL59" s="637"/>
      <c r="DM59" s="637"/>
      <c r="DN59" s="637"/>
      <c r="DO59" s="637"/>
      <c r="DP59" s="637"/>
      <c r="DQ59" s="637"/>
      <c r="DR59" s="637"/>
      <c r="DS59" s="637"/>
      <c r="DT59" s="637"/>
      <c r="DU59" s="637"/>
      <c r="DV59" s="637"/>
      <c r="DW59" s="637"/>
      <c r="DX59" s="637"/>
      <c r="DY59" s="637"/>
      <c r="DZ59" s="637"/>
      <c r="EA59" s="637"/>
      <c r="EB59" s="637"/>
      <c r="EC59" s="637"/>
      <c r="ED59" s="637"/>
      <c r="EE59" s="637"/>
      <c r="EF59" s="637"/>
      <c r="EG59" s="637"/>
      <c r="EH59" s="637"/>
      <c r="EI59" s="637"/>
      <c r="EJ59" s="637"/>
      <c r="EK59" s="637"/>
      <c r="EL59" s="637"/>
      <c r="EM59" s="637"/>
      <c r="EN59" s="637"/>
      <c r="EO59" s="637"/>
      <c r="EP59" s="637"/>
      <c r="EQ59" s="637"/>
      <c r="ER59" s="637"/>
      <c r="ES59" s="637"/>
      <c r="ET59" s="637"/>
      <c r="EU59" s="637"/>
      <c r="EV59" s="637"/>
      <c r="EW59" s="637"/>
      <c r="EX59" s="637"/>
      <c r="EY59" s="637"/>
      <c r="EZ59" s="637"/>
      <c r="FA59" s="637"/>
      <c r="FB59" s="637"/>
      <c r="FC59" s="637"/>
      <c r="FD59" s="637"/>
      <c r="FE59" s="637"/>
      <c r="FF59" s="637"/>
      <c r="FG59" s="637"/>
      <c r="FH59" s="637"/>
      <c r="FI59" s="637"/>
      <c r="FJ59" s="637"/>
      <c r="FK59" s="637"/>
      <c r="FL59" s="637"/>
      <c r="FM59" s="637"/>
      <c r="FN59" s="637"/>
      <c r="FO59" s="637"/>
      <c r="FP59" s="637"/>
      <c r="FQ59" s="637"/>
      <c r="FR59" s="637"/>
      <c r="FS59" s="637"/>
      <c r="FT59" s="637"/>
      <c r="FU59" s="637"/>
      <c r="FV59" s="637"/>
      <c r="FW59" s="637"/>
      <c r="FX59" s="637"/>
      <c r="FY59" s="637"/>
      <c r="FZ59" s="637"/>
      <c r="GA59" s="637"/>
      <c r="GB59" s="637"/>
      <c r="GC59" s="637"/>
      <c r="GD59" s="637"/>
      <c r="GE59" s="637"/>
      <c r="GF59" s="637"/>
      <c r="GG59" s="637"/>
      <c r="GH59" s="637"/>
      <c r="GI59" s="637"/>
      <c r="GJ59" s="637"/>
      <c r="GK59" s="637"/>
      <c r="GL59" s="637"/>
      <c r="GM59" s="637"/>
      <c r="GN59" s="637"/>
      <c r="GO59" s="637"/>
      <c r="GP59" s="637"/>
      <c r="GQ59" s="637"/>
      <c r="GR59" s="637"/>
      <c r="GS59" s="637"/>
      <c r="GT59" s="637"/>
      <c r="GU59" s="637"/>
      <c r="GV59" s="637"/>
      <c r="GW59" s="637"/>
      <c r="GX59" s="637"/>
      <c r="GY59" s="637"/>
      <c r="GZ59" s="637"/>
      <c r="HA59" s="637"/>
      <c r="HB59" s="637"/>
      <c r="HC59" s="637"/>
      <c r="HD59" s="637"/>
      <c r="HE59" s="637"/>
      <c r="HF59" s="637"/>
      <c r="HG59" s="637"/>
      <c r="HH59" s="637"/>
      <c r="HI59" s="637"/>
      <c r="HJ59" s="637"/>
      <c r="HK59" s="637"/>
      <c r="HL59" s="637"/>
      <c r="HM59" s="637"/>
      <c r="HN59" s="637"/>
      <c r="HO59" s="637"/>
      <c r="HP59" s="637"/>
      <c r="HQ59" s="637"/>
      <c r="HR59" s="637"/>
      <c r="HS59" s="637"/>
      <c r="HT59" s="637"/>
      <c r="HU59" s="637"/>
      <c r="HV59" s="637"/>
      <c r="HW59" s="637"/>
      <c r="HX59" s="637"/>
      <c r="HY59" s="637"/>
      <c r="HZ59" s="637"/>
      <c r="IA59" s="637"/>
      <c r="IB59" s="637"/>
      <c r="IC59" s="637"/>
      <c r="ID59" s="637"/>
      <c r="IE59" s="637"/>
      <c r="IF59" s="637"/>
      <c r="IG59" s="637"/>
      <c r="IH59" s="637"/>
      <c r="II59" s="637"/>
      <c r="IJ59" s="637"/>
      <c r="IK59" s="637"/>
      <c r="IL59" s="637"/>
      <c r="IM59" s="637"/>
      <c r="IN59" s="637"/>
      <c r="IO59" s="637"/>
      <c r="IP59" s="637"/>
      <c r="IQ59" s="637"/>
      <c r="IR59" s="637"/>
      <c r="IS59" s="637"/>
      <c r="IT59" s="637"/>
      <c r="IU59" s="637"/>
      <c r="IV59" s="637"/>
      <c r="IW59" s="637"/>
      <c r="IX59" s="637"/>
      <c r="IY59" s="637"/>
      <c r="IZ59" s="637"/>
      <c r="JA59" s="637"/>
      <c r="JB59" s="637"/>
      <c r="JC59" s="637"/>
      <c r="JD59" s="637"/>
      <c r="JE59" s="637"/>
      <c r="JF59" s="637"/>
      <c r="JG59" s="637"/>
      <c r="JH59" s="637"/>
      <c r="JI59" s="637"/>
      <c r="JJ59" s="637"/>
      <c r="JK59" s="637"/>
      <c r="JL59" s="637"/>
      <c r="JM59" s="637"/>
      <c r="JN59" s="637"/>
      <c r="JO59" s="637"/>
      <c r="JP59" s="637"/>
      <c r="JQ59" s="637"/>
      <c r="JR59" s="637"/>
      <c r="JS59" s="637"/>
      <c r="JT59" s="637"/>
      <c r="JU59" s="637"/>
      <c r="JV59" s="637"/>
      <c r="JW59" s="637"/>
      <c r="JX59" s="637"/>
      <c r="JY59" s="637"/>
      <c r="JZ59" s="637"/>
      <c r="KA59" s="637"/>
      <c r="KB59" s="637"/>
      <c r="KC59" s="637"/>
      <c r="KD59" s="637"/>
      <c r="KE59" s="637"/>
      <c r="KF59" s="637"/>
      <c r="KG59" s="637"/>
      <c r="KH59" s="637"/>
      <c r="KI59" s="637"/>
      <c r="KJ59" s="637"/>
      <c r="KK59" s="637"/>
      <c r="KL59" s="637"/>
      <c r="KM59" s="637"/>
      <c r="KN59" s="637"/>
      <c r="KO59" s="637"/>
      <c r="KP59" s="637"/>
      <c r="KQ59" s="637"/>
      <c r="KR59" s="637"/>
      <c r="KS59" s="637"/>
      <c r="KT59" s="637"/>
      <c r="KU59" s="637"/>
      <c r="KV59" s="637"/>
      <c r="KW59" s="637"/>
      <c r="KX59" s="637"/>
      <c r="KY59" s="637"/>
      <c r="KZ59" s="637"/>
      <c r="LA59" s="637"/>
      <c r="LB59" s="637"/>
      <c r="LC59" s="637"/>
      <c r="LD59" s="637"/>
      <c r="LE59" s="637"/>
      <c r="LF59" s="637"/>
      <c r="LG59" s="637"/>
      <c r="LH59" s="637"/>
      <c r="LI59" s="637"/>
      <c r="LJ59" s="637"/>
      <c r="LK59" s="637"/>
      <c r="LL59" s="637"/>
      <c r="LM59" s="637"/>
      <c r="LN59" s="637"/>
      <c r="LO59" s="637"/>
      <c r="LP59" s="637"/>
      <c r="LQ59" s="637"/>
      <c r="LR59" s="637"/>
      <c r="LS59" s="637"/>
      <c r="LT59" s="637"/>
      <c r="LU59" s="637"/>
      <c r="LV59" s="637"/>
      <c r="LW59" s="637"/>
      <c r="LX59" s="637"/>
      <c r="LY59" s="637"/>
      <c r="LZ59" s="637"/>
      <c r="MA59" s="637"/>
      <c r="MB59" s="637"/>
      <c r="MC59" s="637"/>
      <c r="MD59" s="637"/>
      <c r="ME59" s="637"/>
      <c r="MF59" s="637"/>
      <c r="MG59" s="637"/>
      <c r="MH59" s="637"/>
      <c r="MI59" s="637"/>
      <c r="MJ59" s="637"/>
      <c r="MK59" s="637"/>
      <c r="ML59" s="637"/>
      <c r="MM59" s="637"/>
      <c r="MN59" s="637"/>
      <c r="MO59" s="637"/>
      <c r="MP59" s="637"/>
      <c r="MQ59" s="637"/>
      <c r="MR59" s="637"/>
      <c r="MS59" s="637"/>
      <c r="MT59" s="637"/>
      <c r="MU59" s="637"/>
      <c r="MV59" s="637"/>
      <c r="MW59" s="637"/>
      <c r="MX59" s="637"/>
      <c r="MY59" s="637"/>
      <c r="MZ59" s="637"/>
      <c r="NA59" s="637"/>
      <c r="NB59" s="637"/>
      <c r="NC59" s="637"/>
      <c r="ND59" s="637"/>
      <c r="NE59" s="637"/>
      <c r="NF59" s="637"/>
      <c r="NG59" s="637"/>
      <c r="NH59" s="637"/>
      <c r="NI59" s="637"/>
      <c r="NJ59" s="637"/>
      <c r="NK59" s="637"/>
      <c r="NL59" s="637"/>
      <c r="NM59" s="637"/>
      <c r="NN59" s="637"/>
      <c r="NO59" s="637"/>
      <c r="NP59" s="637"/>
      <c r="NQ59" s="637"/>
      <c r="NR59" s="637"/>
      <c r="NS59" s="637"/>
      <c r="NT59" s="637"/>
      <c r="NU59" s="637"/>
      <c r="NV59" s="637"/>
      <c r="NW59" s="637"/>
      <c r="NX59" s="637"/>
      <c r="NY59" s="637"/>
      <c r="NZ59" s="637"/>
      <c r="OA59" s="637"/>
      <c r="OB59" s="637"/>
      <c r="OC59" s="637"/>
      <c r="OD59" s="637"/>
      <c r="OE59" s="637"/>
      <c r="OF59" s="637"/>
      <c r="OG59" s="637"/>
      <c r="OH59" s="637"/>
      <c r="OI59" s="637"/>
      <c r="OJ59" s="637"/>
      <c r="OK59" s="637"/>
      <c r="OL59" s="637"/>
      <c r="OM59" s="637"/>
      <c r="ON59" s="637"/>
      <c r="OO59" s="637"/>
      <c r="OP59" s="637"/>
      <c r="OQ59" s="637"/>
      <c r="OR59" s="637"/>
      <c r="OS59" s="637"/>
      <c r="OT59" s="637"/>
      <c r="OU59" s="637"/>
      <c r="OV59" s="637"/>
      <c r="OW59" s="637"/>
      <c r="OX59" s="637"/>
      <c r="OY59" s="637"/>
      <c r="OZ59" s="637"/>
      <c r="PA59" s="637"/>
      <c r="PB59" s="637"/>
      <c r="PC59" s="637"/>
      <c r="PD59" s="637"/>
      <c r="PE59" s="637"/>
      <c r="PF59" s="637"/>
      <c r="PG59" s="637"/>
      <c r="PH59" s="637"/>
      <c r="PI59" s="637"/>
      <c r="PJ59" s="637"/>
      <c r="PK59" s="637"/>
      <c r="PL59" s="637"/>
      <c r="PM59" s="637"/>
      <c r="PN59" s="637"/>
      <c r="PO59" s="637"/>
      <c r="PP59" s="637"/>
      <c r="PQ59" s="637"/>
      <c r="PR59" s="637"/>
      <c r="PS59" s="637"/>
      <c r="PT59" s="637"/>
      <c r="PU59" s="637"/>
      <c r="PV59" s="637"/>
      <c r="PW59" s="637"/>
      <c r="PX59" s="637"/>
      <c r="PY59" s="637"/>
      <c r="PZ59" s="637"/>
      <c r="QA59" s="637"/>
      <c r="QB59" s="637"/>
      <c r="QC59" s="637"/>
      <c r="QD59" s="637"/>
      <c r="QE59" s="637"/>
      <c r="QF59" s="637"/>
      <c r="QG59" s="637"/>
      <c r="QH59" s="637"/>
      <c r="QI59" s="637"/>
      <c r="QJ59" s="637"/>
      <c r="QK59" s="637"/>
      <c r="QL59" s="637"/>
      <c r="QM59" s="637"/>
      <c r="QN59" s="637"/>
      <c r="QO59" s="637"/>
      <c r="QP59" s="637"/>
      <c r="QQ59" s="637"/>
      <c r="QR59" s="637"/>
      <c r="QS59" s="637"/>
      <c r="QT59" s="637"/>
      <c r="QU59" s="637"/>
      <c r="QV59" s="637"/>
      <c r="QW59" s="637"/>
      <c r="QX59" s="637"/>
      <c r="QY59" s="637"/>
      <c r="QZ59" s="637"/>
      <c r="RA59" s="637"/>
      <c r="RB59" s="637"/>
      <c r="RC59" s="637"/>
      <c r="RD59" s="637"/>
      <c r="RE59" s="637"/>
      <c r="RF59" s="637"/>
      <c r="RG59" s="637"/>
      <c r="RH59" s="637"/>
      <c r="RI59" s="637"/>
      <c r="RJ59" s="637"/>
      <c r="RK59" s="637"/>
      <c r="RL59" s="637"/>
      <c r="RM59" s="637"/>
      <c r="RN59" s="637"/>
      <c r="RO59" s="637"/>
      <c r="RP59" s="637"/>
      <c r="RQ59" s="637"/>
      <c r="RR59" s="637"/>
      <c r="RS59" s="637"/>
      <c r="RT59" s="637"/>
      <c r="RU59" s="637"/>
      <c r="RV59" s="637"/>
      <c r="RW59" s="637"/>
      <c r="RX59" s="637"/>
      <c r="RY59" s="637"/>
      <c r="RZ59" s="637"/>
      <c r="SA59" s="637"/>
      <c r="SB59" s="637"/>
      <c r="SC59" s="637"/>
      <c r="SD59" s="637"/>
      <c r="SE59" s="637"/>
      <c r="SF59" s="637"/>
      <c r="SG59" s="637"/>
      <c r="SH59" s="637"/>
      <c r="SI59" s="637"/>
      <c r="SJ59" s="637"/>
      <c r="SK59" s="637"/>
      <c r="SL59" s="637"/>
      <c r="SM59" s="637"/>
      <c r="SN59" s="637"/>
      <c r="SO59" s="637"/>
      <c r="SP59" s="637"/>
      <c r="SQ59" s="637"/>
      <c r="SR59" s="637"/>
      <c r="SS59" s="637"/>
      <c r="ST59" s="637"/>
      <c r="SU59" s="637"/>
      <c r="SV59" s="637"/>
      <c r="SW59" s="637"/>
      <c r="SX59" s="637"/>
      <c r="SY59" s="637"/>
      <c r="SZ59" s="637"/>
      <c r="TA59" s="637"/>
      <c r="TB59" s="637"/>
      <c r="TC59" s="637"/>
      <c r="TD59" s="637"/>
      <c r="TE59" s="637"/>
      <c r="TF59" s="637"/>
      <c r="TG59" s="637"/>
      <c r="TH59" s="637"/>
      <c r="TI59" s="637"/>
      <c r="TJ59" s="637"/>
      <c r="TK59" s="637"/>
      <c r="TL59" s="637"/>
      <c r="TM59" s="637"/>
      <c r="TN59" s="637"/>
      <c r="TO59" s="637"/>
      <c r="TP59" s="637"/>
      <c r="TQ59" s="637"/>
      <c r="TR59" s="637"/>
      <c r="TS59" s="637"/>
      <c r="TT59" s="637"/>
      <c r="TU59" s="637"/>
      <c r="TV59" s="637"/>
      <c r="TW59" s="637"/>
      <c r="TX59" s="637"/>
      <c r="TY59" s="637"/>
      <c r="TZ59" s="637"/>
      <c r="UA59" s="637"/>
      <c r="UB59" s="637"/>
      <c r="UC59" s="637"/>
      <c r="UD59" s="637"/>
      <c r="UE59" s="637"/>
      <c r="UF59" s="637"/>
      <c r="UG59" s="637"/>
      <c r="UH59" s="637"/>
      <c r="UI59" s="637"/>
      <c r="UJ59" s="637"/>
      <c r="UK59" s="637"/>
      <c r="UL59" s="637"/>
      <c r="UM59" s="637"/>
      <c r="UN59" s="637"/>
      <c r="UO59" s="637"/>
      <c r="UP59" s="637"/>
      <c r="UQ59" s="637"/>
      <c r="UR59" s="637"/>
      <c r="US59" s="637"/>
      <c r="UT59" s="637"/>
      <c r="UU59" s="637"/>
      <c r="UV59" s="637"/>
      <c r="UW59" s="637"/>
      <c r="UX59" s="637"/>
      <c r="UY59" s="637"/>
      <c r="UZ59" s="637"/>
      <c r="VA59" s="637"/>
      <c r="VB59" s="637"/>
      <c r="VC59" s="637"/>
      <c r="VD59" s="637"/>
      <c r="VE59" s="637"/>
      <c r="VF59" s="637"/>
      <c r="VG59" s="637"/>
      <c r="VH59" s="637"/>
      <c r="VI59" s="637"/>
      <c r="VJ59" s="637"/>
      <c r="VK59" s="637"/>
      <c r="VL59" s="637"/>
      <c r="VM59" s="637"/>
      <c r="VN59" s="637"/>
      <c r="VO59" s="637"/>
      <c r="VP59" s="637"/>
      <c r="VQ59" s="637"/>
      <c r="VR59" s="637"/>
      <c r="VS59" s="637"/>
      <c r="VT59" s="637"/>
      <c r="VU59" s="637"/>
      <c r="VV59" s="637"/>
      <c r="VW59" s="637"/>
      <c r="VX59" s="637"/>
      <c r="VY59" s="637"/>
      <c r="VZ59" s="637"/>
      <c r="WA59" s="637"/>
      <c r="WB59" s="637"/>
      <c r="WC59" s="637"/>
      <c r="WD59" s="637"/>
      <c r="WE59" s="637"/>
      <c r="WF59" s="637"/>
      <c r="WG59" s="637"/>
      <c r="WH59" s="637"/>
      <c r="WI59" s="637"/>
      <c r="WJ59" s="637"/>
      <c r="WK59" s="637"/>
      <c r="WL59" s="637"/>
      <c r="WM59" s="637"/>
      <c r="WN59" s="637"/>
      <c r="WO59" s="637"/>
      <c r="WP59" s="637"/>
      <c r="WQ59" s="637"/>
      <c r="WR59" s="637"/>
      <c r="WS59" s="637"/>
      <c r="WT59" s="637"/>
      <c r="WU59" s="637"/>
      <c r="WV59" s="637"/>
      <c r="WW59" s="637"/>
      <c r="WX59" s="637"/>
      <c r="WY59" s="637"/>
      <c r="WZ59" s="637"/>
      <c r="XA59" s="637"/>
      <c r="XB59" s="637"/>
      <c r="XC59" s="637"/>
      <c r="XD59" s="637"/>
      <c r="XE59" s="637"/>
      <c r="XF59" s="637"/>
      <c r="XG59" s="637"/>
      <c r="XH59" s="637"/>
      <c r="XI59" s="637"/>
      <c r="XJ59" s="637"/>
      <c r="XK59" s="637"/>
      <c r="XL59" s="637"/>
      <c r="XM59" s="637"/>
      <c r="XN59" s="637"/>
      <c r="XO59" s="637"/>
      <c r="XP59" s="637"/>
      <c r="XQ59" s="637"/>
      <c r="XR59" s="637"/>
      <c r="XS59" s="637"/>
      <c r="XT59" s="637"/>
      <c r="XU59" s="637"/>
      <c r="XV59" s="637"/>
      <c r="XW59" s="637"/>
      <c r="XX59" s="637"/>
      <c r="XY59" s="637"/>
      <c r="XZ59" s="637"/>
      <c r="YA59" s="637"/>
      <c r="YB59" s="637"/>
      <c r="YC59" s="637"/>
      <c r="YD59" s="637"/>
      <c r="YE59" s="637"/>
      <c r="YF59" s="637"/>
      <c r="YG59" s="637"/>
      <c r="YH59" s="637"/>
      <c r="YI59" s="637"/>
      <c r="YJ59" s="637"/>
      <c r="YK59" s="637"/>
      <c r="YL59" s="637"/>
      <c r="YM59" s="637"/>
      <c r="YN59" s="637"/>
      <c r="YO59" s="637"/>
      <c r="YP59" s="637"/>
      <c r="YQ59" s="637"/>
      <c r="YR59" s="637"/>
      <c r="YS59" s="637"/>
      <c r="YT59" s="637"/>
      <c r="YU59" s="637"/>
      <c r="YV59" s="637"/>
      <c r="YW59" s="637"/>
      <c r="YX59" s="637"/>
      <c r="YY59" s="637"/>
      <c r="YZ59" s="637"/>
      <c r="ZA59" s="637"/>
      <c r="ZB59" s="637"/>
      <c r="ZC59" s="637"/>
      <c r="ZD59" s="637"/>
      <c r="ZE59" s="637"/>
      <c r="ZF59" s="637"/>
      <c r="ZG59" s="637"/>
      <c r="ZH59" s="637"/>
      <c r="ZI59" s="637"/>
      <c r="ZJ59" s="637"/>
      <c r="ZK59" s="637"/>
      <c r="ZL59" s="637"/>
      <c r="ZM59" s="637"/>
      <c r="ZN59" s="637"/>
      <c r="ZO59" s="637"/>
      <c r="ZP59" s="637"/>
      <c r="ZQ59" s="637"/>
      <c r="ZR59" s="637"/>
      <c r="ZS59" s="637"/>
      <c r="ZT59" s="637"/>
      <c r="ZU59" s="637"/>
      <c r="ZV59" s="637"/>
      <c r="ZW59" s="637"/>
      <c r="ZX59" s="637"/>
      <c r="ZY59" s="637"/>
      <c r="ZZ59" s="637"/>
      <c r="AAA59" s="637"/>
      <c r="AAB59" s="637"/>
      <c r="AAC59" s="637"/>
      <c r="AAD59" s="637"/>
      <c r="AAE59" s="637"/>
      <c r="AAF59" s="637"/>
      <c r="AAG59" s="637"/>
      <c r="AAH59" s="637"/>
      <c r="AAI59" s="637"/>
      <c r="AAJ59" s="637"/>
      <c r="AAK59" s="637"/>
      <c r="AAL59" s="637"/>
      <c r="AAM59" s="637"/>
      <c r="AAN59" s="637"/>
      <c r="AAO59" s="637"/>
      <c r="AAP59" s="637"/>
      <c r="AAQ59" s="637"/>
      <c r="AAR59" s="637"/>
      <c r="AAS59" s="637"/>
      <c r="AAT59" s="637"/>
      <c r="AAU59" s="637"/>
      <c r="AAV59" s="637"/>
      <c r="AAW59" s="637"/>
      <c r="AAX59" s="637"/>
      <c r="AAY59" s="637"/>
      <c r="AAZ59" s="637"/>
      <c r="ABA59" s="637"/>
      <c r="ABB59" s="637"/>
      <c r="ABC59" s="637"/>
      <c r="ABD59" s="637"/>
      <c r="ABE59" s="637"/>
      <c r="ABF59" s="637"/>
      <c r="ABG59" s="637"/>
      <c r="ABH59" s="637"/>
      <c r="ABI59" s="637"/>
      <c r="ABJ59" s="637"/>
      <c r="ABK59" s="637"/>
      <c r="ABL59" s="637"/>
      <c r="ABM59" s="637"/>
      <c r="ABN59" s="637"/>
      <c r="ABO59" s="637"/>
      <c r="ABP59" s="637"/>
      <c r="ABQ59" s="637"/>
      <c r="ABR59" s="637"/>
      <c r="ABS59" s="637"/>
      <c r="ABT59" s="637"/>
      <c r="ABU59" s="637"/>
      <c r="ABV59" s="637"/>
      <c r="ABW59" s="637"/>
      <c r="ABX59" s="637"/>
      <c r="ABY59" s="637"/>
      <c r="ABZ59" s="637"/>
      <c r="ACA59" s="637"/>
      <c r="ACB59" s="637"/>
      <c r="ACC59" s="637"/>
      <c r="ACD59" s="637"/>
      <c r="ACE59" s="637"/>
      <c r="ACF59" s="637"/>
      <c r="ACG59" s="637"/>
      <c r="ACH59" s="637"/>
      <c r="ACI59" s="637"/>
      <c r="ACJ59" s="637"/>
      <c r="ACK59" s="637"/>
      <c r="ACL59" s="637"/>
      <c r="ACM59" s="637"/>
      <c r="ACN59" s="637"/>
      <c r="ACO59" s="637"/>
      <c r="ACP59" s="637"/>
      <c r="ACQ59" s="637"/>
      <c r="ACR59" s="637"/>
      <c r="ACS59" s="637"/>
      <c r="ACT59" s="637"/>
      <c r="ACU59" s="637"/>
      <c r="ACV59" s="637"/>
      <c r="ACW59" s="637"/>
      <c r="ACX59" s="637"/>
      <c r="ACY59" s="637"/>
      <c r="ACZ59" s="637"/>
      <c r="ADA59" s="637"/>
      <c r="ADB59" s="637"/>
      <c r="ADC59" s="637"/>
      <c r="ADD59" s="637"/>
      <c r="ADE59" s="637"/>
      <c r="ADF59" s="637"/>
      <c r="ADG59" s="637"/>
      <c r="ADH59" s="637"/>
      <c r="ADI59" s="637"/>
      <c r="ADJ59" s="637"/>
      <c r="ADK59" s="637"/>
      <c r="ADL59" s="637"/>
      <c r="ADM59" s="637"/>
      <c r="ADN59" s="637"/>
      <c r="ADO59" s="637"/>
      <c r="ADP59" s="637"/>
      <c r="ADQ59" s="637"/>
      <c r="ADR59" s="637"/>
      <c r="ADS59" s="637"/>
      <c r="ADT59" s="637"/>
      <c r="ADU59" s="637"/>
      <c r="ADV59" s="637"/>
      <c r="ADW59" s="637"/>
      <c r="ADX59" s="637"/>
      <c r="ADY59" s="637"/>
      <c r="ADZ59" s="637"/>
      <c r="AEA59" s="637"/>
      <c r="AEB59" s="637"/>
      <c r="AEC59" s="637"/>
      <c r="AED59" s="637"/>
      <c r="AEE59" s="637"/>
      <c r="AEF59" s="637"/>
      <c r="AEG59" s="637"/>
      <c r="AEH59" s="637"/>
      <c r="AEI59" s="637"/>
      <c r="AEJ59" s="637"/>
      <c r="AEK59" s="637"/>
      <c r="AEL59" s="637"/>
      <c r="AEM59" s="637"/>
      <c r="AEN59" s="637"/>
      <c r="AEO59" s="637"/>
      <c r="AEP59" s="637"/>
      <c r="AEQ59" s="637"/>
      <c r="AER59" s="637"/>
      <c r="AES59" s="637"/>
      <c r="AET59" s="637"/>
      <c r="AEU59" s="637"/>
      <c r="AEV59" s="637"/>
      <c r="AEW59" s="637"/>
      <c r="AEX59" s="637"/>
      <c r="AEY59" s="637"/>
      <c r="AEZ59" s="637"/>
      <c r="AFA59" s="637"/>
      <c r="AFB59" s="637"/>
      <c r="AFC59" s="637"/>
      <c r="AFD59" s="637"/>
      <c r="AFE59" s="637"/>
      <c r="AFF59" s="637"/>
      <c r="AFG59" s="637"/>
      <c r="AFH59" s="637"/>
      <c r="AFI59" s="637"/>
      <c r="AFJ59" s="637"/>
      <c r="AFK59" s="637"/>
      <c r="AFL59" s="637"/>
      <c r="AFM59" s="637"/>
      <c r="AFN59" s="637"/>
      <c r="AFO59" s="637"/>
      <c r="AFP59" s="637"/>
      <c r="AFQ59" s="637"/>
      <c r="AFR59" s="637"/>
      <c r="AFS59" s="637"/>
      <c r="AFT59" s="637"/>
      <c r="AFU59" s="637"/>
      <c r="AFV59" s="637"/>
      <c r="AFW59" s="637"/>
      <c r="AFX59" s="637"/>
      <c r="AFY59" s="637"/>
      <c r="AFZ59" s="637"/>
      <c r="AGA59" s="637"/>
      <c r="AGB59" s="637"/>
      <c r="AGC59" s="637"/>
      <c r="AGD59" s="637"/>
      <c r="AGE59" s="637"/>
      <c r="AGF59" s="637"/>
      <c r="AGG59" s="637"/>
      <c r="AGH59" s="637"/>
      <c r="AGI59" s="637"/>
      <c r="AGJ59" s="637"/>
      <c r="AGK59" s="637"/>
      <c r="AGL59" s="637"/>
      <c r="AGM59" s="637"/>
      <c r="AGN59" s="637"/>
      <c r="AGO59" s="637"/>
      <c r="AGP59" s="637"/>
      <c r="AGQ59" s="637"/>
      <c r="AGR59" s="637"/>
      <c r="AGS59" s="637"/>
      <c r="AGT59" s="637"/>
      <c r="AGU59" s="637"/>
      <c r="AGV59" s="637"/>
      <c r="AGW59" s="637"/>
      <c r="AGX59" s="637"/>
      <c r="AGY59" s="637"/>
      <c r="AGZ59" s="637"/>
      <c r="AHA59" s="637"/>
      <c r="AHB59" s="637"/>
      <c r="AHC59" s="637"/>
      <c r="AHD59" s="637"/>
      <c r="AHE59" s="637"/>
      <c r="AHF59" s="637"/>
      <c r="AHG59" s="637"/>
      <c r="AHH59" s="637"/>
      <c r="AHI59" s="637"/>
      <c r="AHJ59" s="637"/>
      <c r="AHK59" s="637"/>
      <c r="AHL59" s="637"/>
      <c r="AHM59" s="637"/>
      <c r="AHN59" s="637"/>
      <c r="AHO59" s="637"/>
      <c r="AHP59" s="637"/>
      <c r="AHQ59" s="637"/>
      <c r="AHR59" s="637"/>
      <c r="AHS59" s="637"/>
      <c r="AHT59" s="637"/>
      <c r="AHU59" s="637"/>
      <c r="AHV59" s="637"/>
      <c r="AHW59" s="637"/>
      <c r="AHX59" s="637"/>
      <c r="AHY59" s="637"/>
      <c r="AHZ59" s="637"/>
      <c r="AIA59" s="637"/>
      <c r="AIB59" s="637"/>
      <c r="AIC59" s="637"/>
      <c r="AID59" s="637"/>
      <c r="AIE59" s="637"/>
      <c r="AIF59" s="637"/>
      <c r="AIG59" s="637"/>
      <c r="AIH59" s="637"/>
      <c r="AII59" s="637"/>
      <c r="AIJ59" s="637"/>
      <c r="AIK59" s="637"/>
      <c r="AIL59" s="637"/>
      <c r="AIM59" s="637"/>
      <c r="AIN59" s="637"/>
      <c r="AIO59" s="637"/>
      <c r="AIP59" s="637"/>
      <c r="AIQ59" s="637"/>
      <c r="AIR59" s="637"/>
      <c r="AIS59" s="637"/>
      <c r="AIT59" s="637"/>
      <c r="AIU59" s="637"/>
      <c r="AIV59" s="637"/>
      <c r="AIW59" s="637"/>
      <c r="AIX59" s="637"/>
      <c r="AIY59" s="637"/>
      <c r="AIZ59" s="637"/>
      <c r="AJA59" s="637"/>
      <c r="AJB59" s="637"/>
      <c r="AJC59" s="637"/>
      <c r="AJD59" s="637"/>
      <c r="AJE59" s="637"/>
      <c r="AJF59" s="637"/>
      <c r="AJG59" s="637"/>
      <c r="AJH59" s="637"/>
      <c r="AJI59" s="637"/>
      <c r="AJJ59" s="637"/>
      <c r="AJK59" s="637"/>
      <c r="AJL59" s="637"/>
      <c r="AJM59" s="637"/>
      <c r="AJN59" s="637"/>
      <c r="AJO59" s="637"/>
      <c r="AJP59" s="637"/>
      <c r="AJQ59" s="637"/>
      <c r="AJR59" s="637"/>
      <c r="AJS59" s="637"/>
      <c r="AJT59" s="637"/>
      <c r="AJU59" s="637"/>
      <c r="AJV59" s="637"/>
      <c r="AJW59" s="637"/>
      <c r="AJX59" s="637"/>
      <c r="AJY59" s="637"/>
      <c r="AJZ59" s="637"/>
      <c r="AKA59" s="637"/>
      <c r="AKB59" s="637"/>
      <c r="AKC59" s="637"/>
      <c r="AKD59" s="637"/>
      <c r="AKE59" s="637"/>
      <c r="AKF59" s="637"/>
      <c r="AKG59" s="637"/>
      <c r="AKH59" s="637"/>
      <c r="AKI59" s="637"/>
      <c r="AKJ59" s="637"/>
      <c r="AKK59" s="637"/>
      <c r="AKL59" s="637"/>
      <c r="AKM59" s="637"/>
      <c r="AKN59" s="637"/>
      <c r="AKO59" s="637"/>
      <c r="AKP59" s="637"/>
      <c r="AKQ59" s="637"/>
      <c r="AKR59" s="637"/>
      <c r="AKS59" s="637"/>
      <c r="AKT59" s="637"/>
      <c r="AKU59" s="637"/>
      <c r="AKV59" s="637"/>
      <c r="AKW59" s="637"/>
      <c r="AKX59" s="637"/>
      <c r="AKY59" s="637"/>
      <c r="AKZ59" s="637"/>
      <c r="ALA59" s="637"/>
      <c r="ALB59" s="637"/>
      <c r="ALC59" s="637"/>
      <c r="ALD59" s="637"/>
      <c r="ALE59" s="637"/>
      <c r="ALF59" s="637"/>
      <c r="ALG59" s="637"/>
      <c r="ALH59" s="637"/>
      <c r="ALI59" s="637"/>
      <c r="ALJ59" s="637"/>
      <c r="ALK59" s="637"/>
      <c r="ALL59" s="637"/>
      <c r="ALM59" s="637"/>
      <c r="ALN59" s="637"/>
      <c r="ALO59" s="637"/>
      <c r="ALP59" s="637"/>
      <c r="ALQ59" s="637"/>
      <c r="ALR59" s="637"/>
      <c r="ALS59" s="637"/>
      <c r="ALT59" s="637"/>
      <c r="ALU59" s="637"/>
      <c r="ALV59" s="637"/>
      <c r="ALW59" s="637"/>
      <c r="ALX59" s="637"/>
      <c r="ALY59" s="637"/>
      <c r="ALZ59" s="637"/>
      <c r="AMA59" s="637"/>
      <c r="AMB59" s="637"/>
      <c r="AMC59" s="637"/>
      <c r="AMD59" s="637"/>
      <c r="AME59" s="637"/>
      <c r="AMF59" s="637"/>
      <c r="AMG59" s="637"/>
      <c r="AMH59" s="637"/>
      <c r="AMI59" s="637"/>
      <c r="AMJ59" s="637"/>
    </row>
    <row r="60" spans="1:1024" s="638" customFormat="1" ht="12.75">
      <c r="A60" s="984" t="s">
        <v>121</v>
      </c>
      <c r="B60" s="985" t="s">
        <v>746</v>
      </c>
      <c r="C60" s="986" t="s">
        <v>747</v>
      </c>
      <c r="D60" s="996" t="s">
        <v>4</v>
      </c>
      <c r="E60" s="982"/>
      <c r="F60" s="982">
        <f t="shared" si="3"/>
        <v>0</v>
      </c>
      <c r="G60" s="987"/>
      <c r="H60" s="987"/>
      <c r="I60" s="987"/>
      <c r="J60" s="987"/>
      <c r="K60" s="987"/>
      <c r="L60" s="987"/>
      <c r="M60" s="987"/>
      <c r="N60" s="987"/>
      <c r="O60" s="987"/>
      <c r="P60" s="987"/>
      <c r="Q60" s="987"/>
      <c r="R60" s="984"/>
      <c r="S60" s="637"/>
      <c r="T60" s="637"/>
      <c r="U60" s="637"/>
      <c r="V60" s="637"/>
      <c r="W60" s="637"/>
      <c r="X60" s="637"/>
      <c r="Y60" s="637"/>
      <c r="Z60" s="637"/>
      <c r="AA60" s="637"/>
      <c r="AB60" s="637"/>
      <c r="AC60" s="637"/>
      <c r="AD60" s="637"/>
      <c r="AE60" s="637"/>
      <c r="AF60" s="637"/>
      <c r="AG60" s="637"/>
      <c r="AH60" s="637"/>
      <c r="AI60" s="637"/>
      <c r="AJ60" s="637"/>
      <c r="AK60" s="637"/>
      <c r="AL60" s="637"/>
      <c r="AM60" s="637"/>
      <c r="AN60" s="637"/>
      <c r="AO60" s="637"/>
      <c r="AP60" s="637"/>
      <c r="AQ60" s="637"/>
      <c r="AR60" s="637"/>
      <c r="AS60" s="637"/>
      <c r="AT60" s="637"/>
      <c r="AU60" s="637"/>
      <c r="AV60" s="637"/>
      <c r="AW60" s="637"/>
      <c r="AX60" s="637"/>
      <c r="AY60" s="637"/>
      <c r="AZ60" s="637"/>
      <c r="BA60" s="637"/>
      <c r="BB60" s="637"/>
      <c r="BC60" s="637"/>
      <c r="BD60" s="637"/>
      <c r="BE60" s="637"/>
      <c r="BF60" s="637"/>
      <c r="BG60" s="637"/>
      <c r="BH60" s="637"/>
      <c r="BI60" s="637"/>
      <c r="BJ60" s="637"/>
      <c r="BK60" s="637"/>
      <c r="BL60" s="637"/>
      <c r="BM60" s="637"/>
      <c r="BN60" s="637"/>
      <c r="BO60" s="637"/>
      <c r="BP60" s="637"/>
      <c r="BQ60" s="637"/>
      <c r="BR60" s="637"/>
      <c r="BS60" s="637"/>
      <c r="BT60" s="637"/>
      <c r="BU60" s="637"/>
      <c r="BV60" s="637"/>
      <c r="BW60" s="637"/>
      <c r="BX60" s="637"/>
      <c r="BY60" s="637"/>
      <c r="BZ60" s="637"/>
      <c r="CA60" s="637"/>
      <c r="CB60" s="637"/>
      <c r="CC60" s="637"/>
      <c r="CD60" s="637"/>
      <c r="CE60" s="637"/>
      <c r="CF60" s="637"/>
      <c r="CG60" s="637"/>
      <c r="CH60" s="637"/>
      <c r="CI60" s="637"/>
      <c r="CJ60" s="637"/>
      <c r="CK60" s="637"/>
      <c r="CL60" s="637"/>
      <c r="CM60" s="637"/>
      <c r="CN60" s="637"/>
      <c r="CO60" s="637"/>
      <c r="CP60" s="637"/>
      <c r="CQ60" s="637"/>
      <c r="CR60" s="637"/>
      <c r="CS60" s="637"/>
      <c r="CT60" s="637"/>
      <c r="CU60" s="637"/>
      <c r="CV60" s="637"/>
      <c r="CW60" s="637"/>
      <c r="CX60" s="637"/>
      <c r="CY60" s="637"/>
      <c r="CZ60" s="637"/>
      <c r="DA60" s="637"/>
      <c r="DB60" s="637"/>
      <c r="DC60" s="637"/>
      <c r="DD60" s="637"/>
      <c r="DE60" s="637"/>
      <c r="DF60" s="637"/>
      <c r="DG60" s="637"/>
      <c r="DH60" s="637"/>
      <c r="DI60" s="637"/>
      <c r="DJ60" s="637"/>
      <c r="DK60" s="637"/>
      <c r="DL60" s="637"/>
      <c r="DM60" s="637"/>
      <c r="DN60" s="637"/>
      <c r="DO60" s="637"/>
      <c r="DP60" s="637"/>
      <c r="DQ60" s="637"/>
      <c r="DR60" s="637"/>
      <c r="DS60" s="637"/>
      <c r="DT60" s="637"/>
      <c r="DU60" s="637"/>
      <c r="DV60" s="637"/>
      <c r="DW60" s="637"/>
      <c r="DX60" s="637"/>
      <c r="DY60" s="637"/>
      <c r="DZ60" s="637"/>
      <c r="EA60" s="637"/>
      <c r="EB60" s="637"/>
      <c r="EC60" s="637"/>
      <c r="ED60" s="637"/>
      <c r="EE60" s="637"/>
      <c r="EF60" s="637"/>
      <c r="EG60" s="637"/>
      <c r="EH60" s="637"/>
      <c r="EI60" s="637"/>
      <c r="EJ60" s="637"/>
      <c r="EK60" s="637"/>
      <c r="EL60" s="637"/>
      <c r="EM60" s="637"/>
      <c r="EN60" s="637"/>
      <c r="EO60" s="637"/>
      <c r="EP60" s="637"/>
      <c r="EQ60" s="637"/>
      <c r="ER60" s="637"/>
      <c r="ES60" s="637"/>
      <c r="ET60" s="637"/>
      <c r="EU60" s="637"/>
      <c r="EV60" s="637"/>
      <c r="EW60" s="637"/>
      <c r="EX60" s="637"/>
      <c r="EY60" s="637"/>
      <c r="EZ60" s="637"/>
      <c r="FA60" s="637"/>
      <c r="FB60" s="637"/>
      <c r="FC60" s="637"/>
      <c r="FD60" s="637"/>
      <c r="FE60" s="637"/>
      <c r="FF60" s="637"/>
      <c r="FG60" s="637"/>
      <c r="FH60" s="637"/>
      <c r="FI60" s="637"/>
      <c r="FJ60" s="637"/>
      <c r="FK60" s="637"/>
      <c r="FL60" s="637"/>
      <c r="FM60" s="637"/>
      <c r="FN60" s="637"/>
      <c r="FO60" s="637"/>
      <c r="FP60" s="637"/>
      <c r="FQ60" s="637"/>
      <c r="FR60" s="637"/>
      <c r="FS60" s="637"/>
      <c r="FT60" s="637"/>
      <c r="FU60" s="637"/>
      <c r="FV60" s="637"/>
      <c r="FW60" s="637"/>
      <c r="FX60" s="637"/>
      <c r="FY60" s="637"/>
      <c r="FZ60" s="637"/>
      <c r="GA60" s="637"/>
      <c r="GB60" s="637"/>
      <c r="GC60" s="637"/>
      <c r="GD60" s="637"/>
      <c r="GE60" s="637"/>
      <c r="GF60" s="637"/>
      <c r="GG60" s="637"/>
      <c r="GH60" s="637"/>
      <c r="GI60" s="637"/>
      <c r="GJ60" s="637"/>
      <c r="GK60" s="637"/>
      <c r="GL60" s="637"/>
      <c r="GM60" s="637"/>
      <c r="GN60" s="637"/>
      <c r="GO60" s="637"/>
      <c r="GP60" s="637"/>
      <c r="GQ60" s="637"/>
      <c r="GR60" s="637"/>
      <c r="GS60" s="637"/>
      <c r="GT60" s="637"/>
      <c r="GU60" s="637"/>
      <c r="GV60" s="637"/>
      <c r="GW60" s="637"/>
      <c r="GX60" s="637"/>
      <c r="GY60" s="637"/>
      <c r="GZ60" s="637"/>
      <c r="HA60" s="637"/>
      <c r="HB60" s="637"/>
      <c r="HC60" s="637"/>
      <c r="HD60" s="637"/>
      <c r="HE60" s="637"/>
      <c r="HF60" s="637"/>
      <c r="HG60" s="637"/>
      <c r="HH60" s="637"/>
      <c r="HI60" s="637"/>
      <c r="HJ60" s="637"/>
      <c r="HK60" s="637"/>
      <c r="HL60" s="637"/>
      <c r="HM60" s="637"/>
      <c r="HN60" s="637"/>
      <c r="HO60" s="637"/>
      <c r="HP60" s="637"/>
      <c r="HQ60" s="637"/>
      <c r="HR60" s="637"/>
      <c r="HS60" s="637"/>
      <c r="HT60" s="637"/>
      <c r="HU60" s="637"/>
      <c r="HV60" s="637"/>
      <c r="HW60" s="637"/>
      <c r="HX60" s="637"/>
      <c r="HY60" s="637"/>
      <c r="HZ60" s="637"/>
      <c r="IA60" s="637"/>
      <c r="IB60" s="637"/>
      <c r="IC60" s="637"/>
      <c r="ID60" s="637"/>
      <c r="IE60" s="637"/>
      <c r="IF60" s="637"/>
      <c r="IG60" s="637"/>
      <c r="IH60" s="637"/>
      <c r="II60" s="637"/>
      <c r="IJ60" s="637"/>
      <c r="IK60" s="637"/>
      <c r="IL60" s="637"/>
      <c r="IM60" s="637"/>
      <c r="IN60" s="637"/>
      <c r="IO60" s="637"/>
      <c r="IP60" s="637"/>
      <c r="IQ60" s="637"/>
      <c r="IR60" s="637"/>
      <c r="IS60" s="637"/>
      <c r="IT60" s="637"/>
      <c r="IU60" s="637"/>
      <c r="IV60" s="637"/>
      <c r="IW60" s="637"/>
      <c r="IX60" s="637"/>
      <c r="IY60" s="637"/>
      <c r="IZ60" s="637"/>
      <c r="JA60" s="637"/>
      <c r="JB60" s="637"/>
      <c r="JC60" s="637"/>
      <c r="JD60" s="637"/>
      <c r="JE60" s="637"/>
      <c r="JF60" s="637"/>
      <c r="JG60" s="637"/>
      <c r="JH60" s="637"/>
      <c r="JI60" s="637"/>
      <c r="JJ60" s="637"/>
      <c r="JK60" s="637"/>
      <c r="JL60" s="637"/>
      <c r="JM60" s="637"/>
      <c r="JN60" s="637"/>
      <c r="JO60" s="637"/>
      <c r="JP60" s="637"/>
      <c r="JQ60" s="637"/>
      <c r="JR60" s="637"/>
      <c r="JS60" s="637"/>
      <c r="JT60" s="637"/>
      <c r="JU60" s="637"/>
      <c r="JV60" s="637"/>
      <c r="JW60" s="637"/>
      <c r="JX60" s="637"/>
      <c r="JY60" s="637"/>
      <c r="JZ60" s="637"/>
      <c r="KA60" s="637"/>
      <c r="KB60" s="637"/>
      <c r="KC60" s="637"/>
      <c r="KD60" s="637"/>
      <c r="KE60" s="637"/>
      <c r="KF60" s="637"/>
      <c r="KG60" s="637"/>
      <c r="KH60" s="637"/>
      <c r="KI60" s="637"/>
      <c r="KJ60" s="637"/>
      <c r="KK60" s="637"/>
      <c r="KL60" s="637"/>
      <c r="KM60" s="637"/>
      <c r="KN60" s="637"/>
      <c r="KO60" s="637"/>
      <c r="KP60" s="637"/>
      <c r="KQ60" s="637"/>
      <c r="KR60" s="637"/>
      <c r="KS60" s="637"/>
      <c r="KT60" s="637"/>
      <c r="KU60" s="637"/>
      <c r="KV60" s="637"/>
      <c r="KW60" s="637"/>
      <c r="KX60" s="637"/>
      <c r="KY60" s="637"/>
      <c r="KZ60" s="637"/>
      <c r="LA60" s="637"/>
      <c r="LB60" s="637"/>
      <c r="LC60" s="637"/>
      <c r="LD60" s="637"/>
      <c r="LE60" s="637"/>
      <c r="LF60" s="637"/>
      <c r="LG60" s="637"/>
      <c r="LH60" s="637"/>
      <c r="LI60" s="637"/>
      <c r="LJ60" s="637"/>
      <c r="LK60" s="637"/>
      <c r="LL60" s="637"/>
      <c r="LM60" s="637"/>
      <c r="LN60" s="637"/>
      <c r="LO60" s="637"/>
      <c r="LP60" s="637"/>
      <c r="LQ60" s="637"/>
      <c r="LR60" s="637"/>
      <c r="LS60" s="637"/>
      <c r="LT60" s="637"/>
      <c r="LU60" s="637"/>
      <c r="LV60" s="637"/>
      <c r="LW60" s="637"/>
      <c r="LX60" s="637"/>
      <c r="LY60" s="637"/>
      <c r="LZ60" s="637"/>
      <c r="MA60" s="637"/>
      <c r="MB60" s="637"/>
      <c r="MC60" s="637"/>
      <c r="MD60" s="637"/>
      <c r="ME60" s="637"/>
      <c r="MF60" s="637"/>
      <c r="MG60" s="637"/>
      <c r="MH60" s="637"/>
      <c r="MI60" s="637"/>
      <c r="MJ60" s="637"/>
      <c r="MK60" s="637"/>
      <c r="ML60" s="637"/>
      <c r="MM60" s="637"/>
      <c r="MN60" s="637"/>
      <c r="MO60" s="637"/>
      <c r="MP60" s="637"/>
      <c r="MQ60" s="637"/>
      <c r="MR60" s="637"/>
      <c r="MS60" s="637"/>
      <c r="MT60" s="637"/>
      <c r="MU60" s="637"/>
      <c r="MV60" s="637"/>
      <c r="MW60" s="637"/>
      <c r="MX60" s="637"/>
      <c r="MY60" s="637"/>
      <c r="MZ60" s="637"/>
      <c r="NA60" s="637"/>
      <c r="NB60" s="637"/>
      <c r="NC60" s="637"/>
      <c r="ND60" s="637"/>
      <c r="NE60" s="637"/>
      <c r="NF60" s="637"/>
      <c r="NG60" s="637"/>
      <c r="NH60" s="637"/>
      <c r="NI60" s="637"/>
      <c r="NJ60" s="637"/>
      <c r="NK60" s="637"/>
      <c r="NL60" s="637"/>
      <c r="NM60" s="637"/>
      <c r="NN60" s="637"/>
      <c r="NO60" s="637"/>
      <c r="NP60" s="637"/>
      <c r="NQ60" s="637"/>
      <c r="NR60" s="637"/>
      <c r="NS60" s="637"/>
      <c r="NT60" s="637"/>
      <c r="NU60" s="637"/>
      <c r="NV60" s="637"/>
      <c r="NW60" s="637"/>
      <c r="NX60" s="637"/>
      <c r="NY60" s="637"/>
      <c r="NZ60" s="637"/>
      <c r="OA60" s="637"/>
      <c r="OB60" s="637"/>
      <c r="OC60" s="637"/>
      <c r="OD60" s="637"/>
      <c r="OE60" s="637"/>
      <c r="OF60" s="637"/>
      <c r="OG60" s="637"/>
      <c r="OH60" s="637"/>
      <c r="OI60" s="637"/>
      <c r="OJ60" s="637"/>
      <c r="OK60" s="637"/>
      <c r="OL60" s="637"/>
      <c r="OM60" s="637"/>
      <c r="ON60" s="637"/>
      <c r="OO60" s="637"/>
      <c r="OP60" s="637"/>
      <c r="OQ60" s="637"/>
      <c r="OR60" s="637"/>
      <c r="OS60" s="637"/>
      <c r="OT60" s="637"/>
      <c r="OU60" s="637"/>
      <c r="OV60" s="637"/>
      <c r="OW60" s="637"/>
      <c r="OX60" s="637"/>
      <c r="OY60" s="637"/>
      <c r="OZ60" s="637"/>
      <c r="PA60" s="637"/>
      <c r="PB60" s="637"/>
      <c r="PC60" s="637"/>
      <c r="PD60" s="637"/>
      <c r="PE60" s="637"/>
      <c r="PF60" s="637"/>
      <c r="PG60" s="637"/>
      <c r="PH60" s="637"/>
      <c r="PI60" s="637"/>
      <c r="PJ60" s="637"/>
      <c r="PK60" s="637"/>
      <c r="PL60" s="637"/>
      <c r="PM60" s="637"/>
      <c r="PN60" s="637"/>
      <c r="PO60" s="637"/>
      <c r="PP60" s="637"/>
      <c r="PQ60" s="637"/>
      <c r="PR60" s="637"/>
      <c r="PS60" s="637"/>
      <c r="PT60" s="637"/>
      <c r="PU60" s="637"/>
      <c r="PV60" s="637"/>
      <c r="PW60" s="637"/>
      <c r="PX60" s="637"/>
      <c r="PY60" s="637"/>
      <c r="PZ60" s="637"/>
      <c r="QA60" s="637"/>
      <c r="QB60" s="637"/>
      <c r="QC60" s="637"/>
      <c r="QD60" s="637"/>
      <c r="QE60" s="637"/>
      <c r="QF60" s="637"/>
      <c r="QG60" s="637"/>
      <c r="QH60" s="637"/>
      <c r="QI60" s="637"/>
      <c r="QJ60" s="637"/>
      <c r="QK60" s="637"/>
      <c r="QL60" s="637"/>
      <c r="QM60" s="637"/>
      <c r="QN60" s="637"/>
      <c r="QO60" s="637"/>
      <c r="QP60" s="637"/>
      <c r="QQ60" s="637"/>
      <c r="QR60" s="637"/>
      <c r="QS60" s="637"/>
      <c r="QT60" s="637"/>
      <c r="QU60" s="637"/>
      <c r="QV60" s="637"/>
      <c r="QW60" s="637"/>
      <c r="QX60" s="637"/>
      <c r="QY60" s="637"/>
      <c r="QZ60" s="637"/>
      <c r="RA60" s="637"/>
      <c r="RB60" s="637"/>
      <c r="RC60" s="637"/>
      <c r="RD60" s="637"/>
      <c r="RE60" s="637"/>
      <c r="RF60" s="637"/>
      <c r="RG60" s="637"/>
      <c r="RH60" s="637"/>
      <c r="RI60" s="637"/>
      <c r="RJ60" s="637"/>
      <c r="RK60" s="637"/>
      <c r="RL60" s="637"/>
      <c r="RM60" s="637"/>
      <c r="RN60" s="637"/>
      <c r="RO60" s="637"/>
      <c r="RP60" s="637"/>
      <c r="RQ60" s="637"/>
      <c r="RR60" s="637"/>
      <c r="RS60" s="637"/>
      <c r="RT60" s="637"/>
      <c r="RU60" s="637"/>
      <c r="RV60" s="637"/>
      <c r="RW60" s="637"/>
      <c r="RX60" s="637"/>
      <c r="RY60" s="637"/>
      <c r="RZ60" s="637"/>
      <c r="SA60" s="637"/>
      <c r="SB60" s="637"/>
      <c r="SC60" s="637"/>
      <c r="SD60" s="637"/>
      <c r="SE60" s="637"/>
      <c r="SF60" s="637"/>
      <c r="SG60" s="637"/>
      <c r="SH60" s="637"/>
      <c r="SI60" s="637"/>
      <c r="SJ60" s="637"/>
      <c r="SK60" s="637"/>
      <c r="SL60" s="637"/>
      <c r="SM60" s="637"/>
      <c r="SN60" s="637"/>
      <c r="SO60" s="637"/>
      <c r="SP60" s="637"/>
      <c r="SQ60" s="637"/>
      <c r="SR60" s="637"/>
      <c r="SS60" s="637"/>
      <c r="ST60" s="637"/>
      <c r="SU60" s="637"/>
      <c r="SV60" s="637"/>
      <c r="SW60" s="637"/>
      <c r="SX60" s="637"/>
      <c r="SY60" s="637"/>
      <c r="SZ60" s="637"/>
      <c r="TA60" s="637"/>
      <c r="TB60" s="637"/>
      <c r="TC60" s="637"/>
      <c r="TD60" s="637"/>
      <c r="TE60" s="637"/>
      <c r="TF60" s="637"/>
      <c r="TG60" s="637"/>
      <c r="TH60" s="637"/>
      <c r="TI60" s="637"/>
      <c r="TJ60" s="637"/>
      <c r="TK60" s="637"/>
      <c r="TL60" s="637"/>
      <c r="TM60" s="637"/>
      <c r="TN60" s="637"/>
      <c r="TO60" s="637"/>
      <c r="TP60" s="637"/>
      <c r="TQ60" s="637"/>
      <c r="TR60" s="637"/>
      <c r="TS60" s="637"/>
      <c r="TT60" s="637"/>
      <c r="TU60" s="637"/>
      <c r="TV60" s="637"/>
      <c r="TW60" s="637"/>
      <c r="TX60" s="637"/>
      <c r="TY60" s="637"/>
      <c r="TZ60" s="637"/>
      <c r="UA60" s="637"/>
      <c r="UB60" s="637"/>
      <c r="UC60" s="637"/>
      <c r="UD60" s="637"/>
      <c r="UE60" s="637"/>
      <c r="UF60" s="637"/>
      <c r="UG60" s="637"/>
      <c r="UH60" s="637"/>
      <c r="UI60" s="637"/>
      <c r="UJ60" s="637"/>
      <c r="UK60" s="637"/>
      <c r="UL60" s="637"/>
      <c r="UM60" s="637"/>
      <c r="UN60" s="637"/>
      <c r="UO60" s="637"/>
      <c r="UP60" s="637"/>
      <c r="UQ60" s="637"/>
      <c r="UR60" s="637"/>
      <c r="US60" s="637"/>
      <c r="UT60" s="637"/>
      <c r="UU60" s="637"/>
      <c r="UV60" s="637"/>
      <c r="UW60" s="637"/>
      <c r="UX60" s="637"/>
      <c r="UY60" s="637"/>
      <c r="UZ60" s="637"/>
      <c r="VA60" s="637"/>
      <c r="VB60" s="637"/>
      <c r="VC60" s="637"/>
      <c r="VD60" s="637"/>
      <c r="VE60" s="637"/>
      <c r="VF60" s="637"/>
      <c r="VG60" s="637"/>
      <c r="VH60" s="637"/>
      <c r="VI60" s="637"/>
      <c r="VJ60" s="637"/>
      <c r="VK60" s="637"/>
      <c r="VL60" s="637"/>
      <c r="VM60" s="637"/>
      <c r="VN60" s="637"/>
      <c r="VO60" s="637"/>
      <c r="VP60" s="637"/>
      <c r="VQ60" s="637"/>
      <c r="VR60" s="637"/>
      <c r="VS60" s="637"/>
      <c r="VT60" s="637"/>
      <c r="VU60" s="637"/>
      <c r="VV60" s="637"/>
      <c r="VW60" s="637"/>
      <c r="VX60" s="637"/>
      <c r="VY60" s="637"/>
      <c r="VZ60" s="637"/>
      <c r="WA60" s="637"/>
      <c r="WB60" s="637"/>
      <c r="WC60" s="637"/>
      <c r="WD60" s="637"/>
      <c r="WE60" s="637"/>
      <c r="WF60" s="637"/>
      <c r="WG60" s="637"/>
      <c r="WH60" s="637"/>
      <c r="WI60" s="637"/>
      <c r="WJ60" s="637"/>
      <c r="WK60" s="637"/>
      <c r="WL60" s="637"/>
      <c r="WM60" s="637"/>
      <c r="WN60" s="637"/>
      <c r="WO60" s="637"/>
      <c r="WP60" s="637"/>
      <c r="WQ60" s="637"/>
      <c r="WR60" s="637"/>
      <c r="WS60" s="637"/>
      <c r="WT60" s="637"/>
      <c r="WU60" s="637"/>
      <c r="WV60" s="637"/>
      <c r="WW60" s="637"/>
      <c r="WX60" s="637"/>
      <c r="WY60" s="637"/>
      <c r="WZ60" s="637"/>
      <c r="XA60" s="637"/>
      <c r="XB60" s="637"/>
      <c r="XC60" s="637"/>
      <c r="XD60" s="637"/>
      <c r="XE60" s="637"/>
      <c r="XF60" s="637"/>
      <c r="XG60" s="637"/>
      <c r="XH60" s="637"/>
      <c r="XI60" s="637"/>
      <c r="XJ60" s="637"/>
      <c r="XK60" s="637"/>
      <c r="XL60" s="637"/>
      <c r="XM60" s="637"/>
      <c r="XN60" s="637"/>
      <c r="XO60" s="637"/>
      <c r="XP60" s="637"/>
      <c r="XQ60" s="637"/>
      <c r="XR60" s="637"/>
      <c r="XS60" s="637"/>
      <c r="XT60" s="637"/>
      <c r="XU60" s="637"/>
      <c r="XV60" s="637"/>
      <c r="XW60" s="637"/>
      <c r="XX60" s="637"/>
      <c r="XY60" s="637"/>
      <c r="XZ60" s="637"/>
      <c r="YA60" s="637"/>
      <c r="YB60" s="637"/>
      <c r="YC60" s="637"/>
      <c r="YD60" s="637"/>
      <c r="YE60" s="637"/>
      <c r="YF60" s="637"/>
      <c r="YG60" s="637"/>
      <c r="YH60" s="637"/>
      <c r="YI60" s="637"/>
      <c r="YJ60" s="637"/>
      <c r="YK60" s="637"/>
      <c r="YL60" s="637"/>
      <c r="YM60" s="637"/>
      <c r="YN60" s="637"/>
      <c r="YO60" s="637"/>
      <c r="YP60" s="637"/>
      <c r="YQ60" s="637"/>
      <c r="YR60" s="637"/>
      <c r="YS60" s="637"/>
      <c r="YT60" s="637"/>
      <c r="YU60" s="637"/>
      <c r="YV60" s="637"/>
      <c r="YW60" s="637"/>
      <c r="YX60" s="637"/>
      <c r="YY60" s="637"/>
      <c r="YZ60" s="637"/>
      <c r="ZA60" s="637"/>
      <c r="ZB60" s="637"/>
      <c r="ZC60" s="637"/>
      <c r="ZD60" s="637"/>
      <c r="ZE60" s="637"/>
      <c r="ZF60" s="637"/>
      <c r="ZG60" s="637"/>
      <c r="ZH60" s="637"/>
      <c r="ZI60" s="637"/>
      <c r="ZJ60" s="637"/>
      <c r="ZK60" s="637"/>
      <c r="ZL60" s="637"/>
      <c r="ZM60" s="637"/>
      <c r="ZN60" s="637"/>
      <c r="ZO60" s="637"/>
      <c r="ZP60" s="637"/>
      <c r="ZQ60" s="637"/>
      <c r="ZR60" s="637"/>
      <c r="ZS60" s="637"/>
      <c r="ZT60" s="637"/>
      <c r="ZU60" s="637"/>
      <c r="ZV60" s="637"/>
      <c r="ZW60" s="637"/>
      <c r="ZX60" s="637"/>
      <c r="ZY60" s="637"/>
      <c r="ZZ60" s="637"/>
      <c r="AAA60" s="637"/>
      <c r="AAB60" s="637"/>
      <c r="AAC60" s="637"/>
      <c r="AAD60" s="637"/>
      <c r="AAE60" s="637"/>
      <c r="AAF60" s="637"/>
      <c r="AAG60" s="637"/>
      <c r="AAH60" s="637"/>
      <c r="AAI60" s="637"/>
      <c r="AAJ60" s="637"/>
      <c r="AAK60" s="637"/>
      <c r="AAL60" s="637"/>
      <c r="AAM60" s="637"/>
      <c r="AAN60" s="637"/>
      <c r="AAO60" s="637"/>
      <c r="AAP60" s="637"/>
      <c r="AAQ60" s="637"/>
      <c r="AAR60" s="637"/>
      <c r="AAS60" s="637"/>
      <c r="AAT60" s="637"/>
      <c r="AAU60" s="637"/>
      <c r="AAV60" s="637"/>
      <c r="AAW60" s="637"/>
      <c r="AAX60" s="637"/>
      <c r="AAY60" s="637"/>
      <c r="AAZ60" s="637"/>
      <c r="ABA60" s="637"/>
      <c r="ABB60" s="637"/>
      <c r="ABC60" s="637"/>
      <c r="ABD60" s="637"/>
      <c r="ABE60" s="637"/>
      <c r="ABF60" s="637"/>
      <c r="ABG60" s="637"/>
      <c r="ABH60" s="637"/>
      <c r="ABI60" s="637"/>
      <c r="ABJ60" s="637"/>
      <c r="ABK60" s="637"/>
      <c r="ABL60" s="637"/>
      <c r="ABM60" s="637"/>
      <c r="ABN60" s="637"/>
      <c r="ABO60" s="637"/>
      <c r="ABP60" s="637"/>
      <c r="ABQ60" s="637"/>
      <c r="ABR60" s="637"/>
      <c r="ABS60" s="637"/>
      <c r="ABT60" s="637"/>
      <c r="ABU60" s="637"/>
      <c r="ABV60" s="637"/>
      <c r="ABW60" s="637"/>
      <c r="ABX60" s="637"/>
      <c r="ABY60" s="637"/>
      <c r="ABZ60" s="637"/>
      <c r="ACA60" s="637"/>
      <c r="ACB60" s="637"/>
      <c r="ACC60" s="637"/>
      <c r="ACD60" s="637"/>
      <c r="ACE60" s="637"/>
      <c r="ACF60" s="637"/>
      <c r="ACG60" s="637"/>
      <c r="ACH60" s="637"/>
      <c r="ACI60" s="637"/>
      <c r="ACJ60" s="637"/>
      <c r="ACK60" s="637"/>
      <c r="ACL60" s="637"/>
      <c r="ACM60" s="637"/>
      <c r="ACN60" s="637"/>
      <c r="ACO60" s="637"/>
      <c r="ACP60" s="637"/>
      <c r="ACQ60" s="637"/>
      <c r="ACR60" s="637"/>
      <c r="ACS60" s="637"/>
      <c r="ACT60" s="637"/>
      <c r="ACU60" s="637"/>
      <c r="ACV60" s="637"/>
      <c r="ACW60" s="637"/>
      <c r="ACX60" s="637"/>
      <c r="ACY60" s="637"/>
      <c r="ACZ60" s="637"/>
      <c r="ADA60" s="637"/>
      <c r="ADB60" s="637"/>
      <c r="ADC60" s="637"/>
      <c r="ADD60" s="637"/>
      <c r="ADE60" s="637"/>
      <c r="ADF60" s="637"/>
      <c r="ADG60" s="637"/>
      <c r="ADH60" s="637"/>
      <c r="ADI60" s="637"/>
      <c r="ADJ60" s="637"/>
      <c r="ADK60" s="637"/>
      <c r="ADL60" s="637"/>
      <c r="ADM60" s="637"/>
      <c r="ADN60" s="637"/>
      <c r="ADO60" s="637"/>
      <c r="ADP60" s="637"/>
      <c r="ADQ60" s="637"/>
      <c r="ADR60" s="637"/>
      <c r="ADS60" s="637"/>
      <c r="ADT60" s="637"/>
      <c r="ADU60" s="637"/>
      <c r="ADV60" s="637"/>
      <c r="ADW60" s="637"/>
      <c r="ADX60" s="637"/>
      <c r="ADY60" s="637"/>
      <c r="ADZ60" s="637"/>
      <c r="AEA60" s="637"/>
      <c r="AEB60" s="637"/>
      <c r="AEC60" s="637"/>
      <c r="AED60" s="637"/>
      <c r="AEE60" s="637"/>
      <c r="AEF60" s="637"/>
      <c r="AEG60" s="637"/>
      <c r="AEH60" s="637"/>
      <c r="AEI60" s="637"/>
      <c r="AEJ60" s="637"/>
      <c r="AEK60" s="637"/>
      <c r="AEL60" s="637"/>
      <c r="AEM60" s="637"/>
      <c r="AEN60" s="637"/>
      <c r="AEO60" s="637"/>
      <c r="AEP60" s="637"/>
      <c r="AEQ60" s="637"/>
      <c r="AER60" s="637"/>
      <c r="AES60" s="637"/>
      <c r="AET60" s="637"/>
      <c r="AEU60" s="637"/>
      <c r="AEV60" s="637"/>
      <c r="AEW60" s="637"/>
      <c r="AEX60" s="637"/>
      <c r="AEY60" s="637"/>
      <c r="AEZ60" s="637"/>
      <c r="AFA60" s="637"/>
      <c r="AFB60" s="637"/>
      <c r="AFC60" s="637"/>
      <c r="AFD60" s="637"/>
      <c r="AFE60" s="637"/>
      <c r="AFF60" s="637"/>
      <c r="AFG60" s="637"/>
      <c r="AFH60" s="637"/>
      <c r="AFI60" s="637"/>
      <c r="AFJ60" s="637"/>
      <c r="AFK60" s="637"/>
      <c r="AFL60" s="637"/>
      <c r="AFM60" s="637"/>
      <c r="AFN60" s="637"/>
      <c r="AFO60" s="637"/>
      <c r="AFP60" s="637"/>
      <c r="AFQ60" s="637"/>
      <c r="AFR60" s="637"/>
      <c r="AFS60" s="637"/>
      <c r="AFT60" s="637"/>
      <c r="AFU60" s="637"/>
      <c r="AFV60" s="637"/>
      <c r="AFW60" s="637"/>
      <c r="AFX60" s="637"/>
      <c r="AFY60" s="637"/>
      <c r="AFZ60" s="637"/>
      <c r="AGA60" s="637"/>
      <c r="AGB60" s="637"/>
      <c r="AGC60" s="637"/>
      <c r="AGD60" s="637"/>
      <c r="AGE60" s="637"/>
      <c r="AGF60" s="637"/>
      <c r="AGG60" s="637"/>
      <c r="AGH60" s="637"/>
      <c r="AGI60" s="637"/>
      <c r="AGJ60" s="637"/>
      <c r="AGK60" s="637"/>
      <c r="AGL60" s="637"/>
      <c r="AGM60" s="637"/>
      <c r="AGN60" s="637"/>
      <c r="AGO60" s="637"/>
      <c r="AGP60" s="637"/>
      <c r="AGQ60" s="637"/>
      <c r="AGR60" s="637"/>
      <c r="AGS60" s="637"/>
      <c r="AGT60" s="637"/>
      <c r="AGU60" s="637"/>
      <c r="AGV60" s="637"/>
      <c r="AGW60" s="637"/>
      <c r="AGX60" s="637"/>
      <c r="AGY60" s="637"/>
      <c r="AGZ60" s="637"/>
      <c r="AHA60" s="637"/>
      <c r="AHB60" s="637"/>
      <c r="AHC60" s="637"/>
      <c r="AHD60" s="637"/>
      <c r="AHE60" s="637"/>
      <c r="AHF60" s="637"/>
      <c r="AHG60" s="637"/>
      <c r="AHH60" s="637"/>
      <c r="AHI60" s="637"/>
      <c r="AHJ60" s="637"/>
      <c r="AHK60" s="637"/>
      <c r="AHL60" s="637"/>
      <c r="AHM60" s="637"/>
      <c r="AHN60" s="637"/>
      <c r="AHO60" s="637"/>
      <c r="AHP60" s="637"/>
      <c r="AHQ60" s="637"/>
      <c r="AHR60" s="637"/>
      <c r="AHS60" s="637"/>
      <c r="AHT60" s="637"/>
      <c r="AHU60" s="637"/>
      <c r="AHV60" s="637"/>
      <c r="AHW60" s="637"/>
      <c r="AHX60" s="637"/>
      <c r="AHY60" s="637"/>
      <c r="AHZ60" s="637"/>
      <c r="AIA60" s="637"/>
      <c r="AIB60" s="637"/>
      <c r="AIC60" s="637"/>
      <c r="AID60" s="637"/>
      <c r="AIE60" s="637"/>
      <c r="AIF60" s="637"/>
      <c r="AIG60" s="637"/>
      <c r="AIH60" s="637"/>
      <c r="AII60" s="637"/>
      <c r="AIJ60" s="637"/>
      <c r="AIK60" s="637"/>
      <c r="AIL60" s="637"/>
      <c r="AIM60" s="637"/>
      <c r="AIN60" s="637"/>
      <c r="AIO60" s="637"/>
      <c r="AIP60" s="637"/>
      <c r="AIQ60" s="637"/>
      <c r="AIR60" s="637"/>
      <c r="AIS60" s="637"/>
      <c r="AIT60" s="637"/>
      <c r="AIU60" s="637"/>
      <c r="AIV60" s="637"/>
      <c r="AIW60" s="637"/>
      <c r="AIX60" s="637"/>
      <c r="AIY60" s="637"/>
      <c r="AIZ60" s="637"/>
      <c r="AJA60" s="637"/>
      <c r="AJB60" s="637"/>
      <c r="AJC60" s="637"/>
      <c r="AJD60" s="637"/>
      <c r="AJE60" s="637"/>
      <c r="AJF60" s="637"/>
      <c r="AJG60" s="637"/>
      <c r="AJH60" s="637"/>
      <c r="AJI60" s="637"/>
      <c r="AJJ60" s="637"/>
      <c r="AJK60" s="637"/>
      <c r="AJL60" s="637"/>
      <c r="AJM60" s="637"/>
      <c r="AJN60" s="637"/>
      <c r="AJO60" s="637"/>
      <c r="AJP60" s="637"/>
      <c r="AJQ60" s="637"/>
      <c r="AJR60" s="637"/>
      <c r="AJS60" s="637"/>
      <c r="AJT60" s="637"/>
      <c r="AJU60" s="637"/>
      <c r="AJV60" s="637"/>
      <c r="AJW60" s="637"/>
      <c r="AJX60" s="637"/>
      <c r="AJY60" s="637"/>
      <c r="AJZ60" s="637"/>
      <c r="AKA60" s="637"/>
      <c r="AKB60" s="637"/>
      <c r="AKC60" s="637"/>
      <c r="AKD60" s="637"/>
      <c r="AKE60" s="637"/>
      <c r="AKF60" s="637"/>
      <c r="AKG60" s="637"/>
      <c r="AKH60" s="637"/>
      <c r="AKI60" s="637"/>
      <c r="AKJ60" s="637"/>
      <c r="AKK60" s="637"/>
      <c r="AKL60" s="637"/>
      <c r="AKM60" s="637"/>
      <c r="AKN60" s="637"/>
      <c r="AKO60" s="637"/>
      <c r="AKP60" s="637"/>
      <c r="AKQ60" s="637"/>
      <c r="AKR60" s="637"/>
      <c r="AKS60" s="637"/>
      <c r="AKT60" s="637"/>
      <c r="AKU60" s="637"/>
      <c r="AKV60" s="637"/>
      <c r="AKW60" s="637"/>
      <c r="AKX60" s="637"/>
      <c r="AKY60" s="637"/>
      <c r="AKZ60" s="637"/>
      <c r="ALA60" s="637"/>
      <c r="ALB60" s="637"/>
      <c r="ALC60" s="637"/>
      <c r="ALD60" s="637"/>
      <c r="ALE60" s="637"/>
      <c r="ALF60" s="637"/>
      <c r="ALG60" s="637"/>
      <c r="ALH60" s="637"/>
      <c r="ALI60" s="637"/>
      <c r="ALJ60" s="637"/>
      <c r="ALK60" s="637"/>
      <c r="ALL60" s="637"/>
      <c r="ALM60" s="637"/>
      <c r="ALN60" s="637"/>
      <c r="ALO60" s="637"/>
      <c r="ALP60" s="637"/>
      <c r="ALQ60" s="637"/>
      <c r="ALR60" s="637"/>
      <c r="ALS60" s="637"/>
      <c r="ALT60" s="637"/>
      <c r="ALU60" s="637"/>
      <c r="ALV60" s="637"/>
      <c r="ALW60" s="637"/>
      <c r="ALX60" s="637"/>
      <c r="ALY60" s="637"/>
      <c r="ALZ60" s="637"/>
      <c r="AMA60" s="637"/>
      <c r="AMB60" s="637"/>
      <c r="AMC60" s="637"/>
      <c r="AMD60" s="637"/>
      <c r="AME60" s="637"/>
      <c r="AMF60" s="637"/>
      <c r="AMG60" s="637"/>
      <c r="AMH60" s="637"/>
      <c r="AMI60" s="637"/>
      <c r="AMJ60" s="637"/>
    </row>
    <row r="61" spans="1:1024" s="638" customFormat="1" ht="12.75">
      <c r="A61" s="984"/>
      <c r="B61" s="985"/>
      <c r="C61" s="986"/>
      <c r="D61" s="981" t="s">
        <v>861</v>
      </c>
      <c r="E61" s="982"/>
      <c r="F61" s="982">
        <f t="shared" si="3"/>
        <v>10</v>
      </c>
      <c r="G61" s="987"/>
      <c r="H61" s="987"/>
      <c r="I61" s="987"/>
      <c r="J61" s="987"/>
      <c r="K61" s="987">
        <v>10</v>
      </c>
      <c r="L61" s="987"/>
      <c r="M61" s="987"/>
      <c r="N61" s="987"/>
      <c r="O61" s="987"/>
      <c r="P61" s="987"/>
      <c r="Q61" s="987"/>
      <c r="R61" s="984"/>
      <c r="S61" s="637"/>
      <c r="T61" s="637"/>
      <c r="U61" s="637"/>
      <c r="V61" s="637"/>
      <c r="W61" s="637"/>
      <c r="X61" s="637"/>
      <c r="Y61" s="637"/>
      <c r="Z61" s="637"/>
      <c r="AA61" s="637"/>
      <c r="AB61" s="637"/>
      <c r="AC61" s="637"/>
      <c r="AD61" s="637"/>
      <c r="AE61" s="637"/>
      <c r="AF61" s="637"/>
      <c r="AG61" s="637"/>
      <c r="AH61" s="637"/>
      <c r="AI61" s="637"/>
      <c r="AJ61" s="637"/>
      <c r="AK61" s="637"/>
      <c r="AL61" s="637"/>
      <c r="AM61" s="637"/>
      <c r="AN61" s="637"/>
      <c r="AO61" s="637"/>
      <c r="AP61" s="637"/>
      <c r="AQ61" s="637"/>
      <c r="AR61" s="637"/>
      <c r="AS61" s="637"/>
      <c r="AT61" s="637"/>
      <c r="AU61" s="637"/>
      <c r="AV61" s="637"/>
      <c r="AW61" s="637"/>
      <c r="AX61" s="637"/>
      <c r="AY61" s="637"/>
      <c r="AZ61" s="637"/>
      <c r="BA61" s="637"/>
      <c r="BB61" s="637"/>
      <c r="BC61" s="637"/>
      <c r="BD61" s="637"/>
      <c r="BE61" s="637"/>
      <c r="BF61" s="637"/>
      <c r="BG61" s="637"/>
      <c r="BH61" s="637"/>
      <c r="BI61" s="637"/>
      <c r="BJ61" s="637"/>
      <c r="BK61" s="637"/>
      <c r="BL61" s="637"/>
      <c r="BM61" s="637"/>
      <c r="BN61" s="637"/>
      <c r="BO61" s="637"/>
      <c r="BP61" s="637"/>
      <c r="BQ61" s="637"/>
      <c r="BR61" s="637"/>
      <c r="BS61" s="637"/>
      <c r="BT61" s="637"/>
      <c r="BU61" s="637"/>
      <c r="BV61" s="637"/>
      <c r="BW61" s="637"/>
      <c r="BX61" s="637"/>
      <c r="BY61" s="637"/>
      <c r="BZ61" s="637"/>
      <c r="CA61" s="637"/>
      <c r="CB61" s="637"/>
      <c r="CC61" s="637"/>
      <c r="CD61" s="637"/>
      <c r="CE61" s="637"/>
      <c r="CF61" s="637"/>
      <c r="CG61" s="637"/>
      <c r="CH61" s="637"/>
      <c r="CI61" s="637"/>
      <c r="CJ61" s="637"/>
      <c r="CK61" s="637"/>
      <c r="CL61" s="637"/>
      <c r="CM61" s="637"/>
      <c r="CN61" s="637"/>
      <c r="CO61" s="637"/>
      <c r="CP61" s="637"/>
      <c r="CQ61" s="637"/>
      <c r="CR61" s="637"/>
      <c r="CS61" s="637"/>
      <c r="CT61" s="637"/>
      <c r="CU61" s="637"/>
      <c r="CV61" s="637"/>
      <c r="CW61" s="637"/>
      <c r="CX61" s="637"/>
      <c r="CY61" s="637"/>
      <c r="CZ61" s="637"/>
      <c r="DA61" s="637"/>
      <c r="DB61" s="637"/>
      <c r="DC61" s="637"/>
      <c r="DD61" s="637"/>
      <c r="DE61" s="637"/>
      <c r="DF61" s="637"/>
      <c r="DG61" s="637"/>
      <c r="DH61" s="637"/>
      <c r="DI61" s="637"/>
      <c r="DJ61" s="637"/>
      <c r="DK61" s="637"/>
      <c r="DL61" s="637"/>
      <c r="DM61" s="637"/>
      <c r="DN61" s="637"/>
      <c r="DO61" s="637"/>
      <c r="DP61" s="637"/>
      <c r="DQ61" s="637"/>
      <c r="DR61" s="637"/>
      <c r="DS61" s="637"/>
      <c r="DT61" s="637"/>
      <c r="DU61" s="637"/>
      <c r="DV61" s="637"/>
      <c r="DW61" s="637"/>
      <c r="DX61" s="637"/>
      <c r="DY61" s="637"/>
      <c r="DZ61" s="637"/>
      <c r="EA61" s="637"/>
      <c r="EB61" s="637"/>
      <c r="EC61" s="637"/>
      <c r="ED61" s="637"/>
      <c r="EE61" s="637"/>
      <c r="EF61" s="637"/>
      <c r="EG61" s="637"/>
      <c r="EH61" s="637"/>
      <c r="EI61" s="637"/>
      <c r="EJ61" s="637"/>
      <c r="EK61" s="637"/>
      <c r="EL61" s="637"/>
      <c r="EM61" s="637"/>
      <c r="EN61" s="637"/>
      <c r="EO61" s="637"/>
      <c r="EP61" s="637"/>
      <c r="EQ61" s="637"/>
      <c r="ER61" s="637"/>
      <c r="ES61" s="637"/>
      <c r="ET61" s="637"/>
      <c r="EU61" s="637"/>
      <c r="EV61" s="637"/>
      <c r="EW61" s="637"/>
      <c r="EX61" s="637"/>
      <c r="EY61" s="637"/>
      <c r="EZ61" s="637"/>
      <c r="FA61" s="637"/>
      <c r="FB61" s="637"/>
      <c r="FC61" s="637"/>
      <c r="FD61" s="637"/>
      <c r="FE61" s="637"/>
      <c r="FF61" s="637"/>
      <c r="FG61" s="637"/>
      <c r="FH61" s="637"/>
      <c r="FI61" s="637"/>
      <c r="FJ61" s="637"/>
      <c r="FK61" s="637"/>
      <c r="FL61" s="637"/>
      <c r="FM61" s="637"/>
      <c r="FN61" s="637"/>
      <c r="FO61" s="637"/>
      <c r="FP61" s="637"/>
      <c r="FQ61" s="637"/>
      <c r="FR61" s="637"/>
      <c r="FS61" s="637"/>
      <c r="FT61" s="637"/>
      <c r="FU61" s="637"/>
      <c r="FV61" s="637"/>
      <c r="FW61" s="637"/>
      <c r="FX61" s="637"/>
      <c r="FY61" s="637"/>
      <c r="FZ61" s="637"/>
      <c r="GA61" s="637"/>
      <c r="GB61" s="637"/>
      <c r="GC61" s="637"/>
      <c r="GD61" s="637"/>
      <c r="GE61" s="637"/>
      <c r="GF61" s="637"/>
      <c r="GG61" s="637"/>
      <c r="GH61" s="637"/>
      <c r="GI61" s="637"/>
      <c r="GJ61" s="637"/>
      <c r="GK61" s="637"/>
      <c r="GL61" s="637"/>
      <c r="GM61" s="637"/>
      <c r="GN61" s="637"/>
      <c r="GO61" s="637"/>
      <c r="GP61" s="637"/>
      <c r="GQ61" s="637"/>
      <c r="GR61" s="637"/>
      <c r="GS61" s="637"/>
      <c r="GT61" s="637"/>
      <c r="GU61" s="637"/>
      <c r="GV61" s="637"/>
      <c r="GW61" s="637"/>
      <c r="GX61" s="637"/>
      <c r="GY61" s="637"/>
      <c r="GZ61" s="637"/>
      <c r="HA61" s="637"/>
      <c r="HB61" s="637"/>
      <c r="HC61" s="637"/>
      <c r="HD61" s="637"/>
      <c r="HE61" s="637"/>
      <c r="HF61" s="637"/>
      <c r="HG61" s="637"/>
      <c r="HH61" s="637"/>
      <c r="HI61" s="637"/>
      <c r="HJ61" s="637"/>
      <c r="HK61" s="637"/>
      <c r="HL61" s="637"/>
      <c r="HM61" s="637"/>
      <c r="HN61" s="637"/>
      <c r="HO61" s="637"/>
      <c r="HP61" s="637"/>
      <c r="HQ61" s="637"/>
      <c r="HR61" s="637"/>
      <c r="HS61" s="637"/>
      <c r="HT61" s="637"/>
      <c r="HU61" s="637"/>
      <c r="HV61" s="637"/>
      <c r="HW61" s="637"/>
      <c r="HX61" s="637"/>
      <c r="HY61" s="637"/>
      <c r="HZ61" s="637"/>
      <c r="IA61" s="637"/>
      <c r="IB61" s="637"/>
      <c r="IC61" s="637"/>
      <c r="ID61" s="637"/>
      <c r="IE61" s="637"/>
      <c r="IF61" s="637"/>
      <c r="IG61" s="637"/>
      <c r="IH61" s="637"/>
      <c r="II61" s="637"/>
      <c r="IJ61" s="637"/>
      <c r="IK61" s="637"/>
      <c r="IL61" s="637"/>
      <c r="IM61" s="637"/>
      <c r="IN61" s="637"/>
      <c r="IO61" s="637"/>
      <c r="IP61" s="637"/>
      <c r="IQ61" s="637"/>
      <c r="IR61" s="637"/>
      <c r="IS61" s="637"/>
      <c r="IT61" s="637"/>
      <c r="IU61" s="637"/>
      <c r="IV61" s="637"/>
      <c r="IW61" s="637"/>
      <c r="IX61" s="637"/>
      <c r="IY61" s="637"/>
      <c r="IZ61" s="637"/>
      <c r="JA61" s="637"/>
      <c r="JB61" s="637"/>
      <c r="JC61" s="637"/>
      <c r="JD61" s="637"/>
      <c r="JE61" s="637"/>
      <c r="JF61" s="637"/>
      <c r="JG61" s="637"/>
      <c r="JH61" s="637"/>
      <c r="JI61" s="637"/>
      <c r="JJ61" s="637"/>
      <c r="JK61" s="637"/>
      <c r="JL61" s="637"/>
      <c r="JM61" s="637"/>
      <c r="JN61" s="637"/>
      <c r="JO61" s="637"/>
      <c r="JP61" s="637"/>
      <c r="JQ61" s="637"/>
      <c r="JR61" s="637"/>
      <c r="JS61" s="637"/>
      <c r="JT61" s="637"/>
      <c r="JU61" s="637"/>
      <c r="JV61" s="637"/>
      <c r="JW61" s="637"/>
      <c r="JX61" s="637"/>
      <c r="JY61" s="637"/>
      <c r="JZ61" s="637"/>
      <c r="KA61" s="637"/>
      <c r="KB61" s="637"/>
      <c r="KC61" s="637"/>
      <c r="KD61" s="637"/>
      <c r="KE61" s="637"/>
      <c r="KF61" s="637"/>
      <c r="KG61" s="637"/>
      <c r="KH61" s="637"/>
      <c r="KI61" s="637"/>
      <c r="KJ61" s="637"/>
      <c r="KK61" s="637"/>
      <c r="KL61" s="637"/>
      <c r="KM61" s="637"/>
      <c r="KN61" s="637"/>
      <c r="KO61" s="637"/>
      <c r="KP61" s="637"/>
      <c r="KQ61" s="637"/>
      <c r="KR61" s="637"/>
      <c r="KS61" s="637"/>
      <c r="KT61" s="637"/>
      <c r="KU61" s="637"/>
      <c r="KV61" s="637"/>
      <c r="KW61" s="637"/>
      <c r="KX61" s="637"/>
      <c r="KY61" s="637"/>
      <c r="KZ61" s="637"/>
      <c r="LA61" s="637"/>
      <c r="LB61" s="637"/>
      <c r="LC61" s="637"/>
      <c r="LD61" s="637"/>
      <c r="LE61" s="637"/>
      <c r="LF61" s="637"/>
      <c r="LG61" s="637"/>
      <c r="LH61" s="637"/>
      <c r="LI61" s="637"/>
      <c r="LJ61" s="637"/>
      <c r="LK61" s="637"/>
      <c r="LL61" s="637"/>
      <c r="LM61" s="637"/>
      <c r="LN61" s="637"/>
      <c r="LO61" s="637"/>
      <c r="LP61" s="637"/>
      <c r="LQ61" s="637"/>
      <c r="LR61" s="637"/>
      <c r="LS61" s="637"/>
      <c r="LT61" s="637"/>
      <c r="LU61" s="637"/>
      <c r="LV61" s="637"/>
      <c r="LW61" s="637"/>
      <c r="LX61" s="637"/>
      <c r="LY61" s="637"/>
      <c r="LZ61" s="637"/>
      <c r="MA61" s="637"/>
      <c r="MB61" s="637"/>
      <c r="MC61" s="637"/>
      <c r="MD61" s="637"/>
      <c r="ME61" s="637"/>
      <c r="MF61" s="637"/>
      <c r="MG61" s="637"/>
      <c r="MH61" s="637"/>
      <c r="MI61" s="637"/>
      <c r="MJ61" s="637"/>
      <c r="MK61" s="637"/>
      <c r="ML61" s="637"/>
      <c r="MM61" s="637"/>
      <c r="MN61" s="637"/>
      <c r="MO61" s="637"/>
      <c r="MP61" s="637"/>
      <c r="MQ61" s="637"/>
      <c r="MR61" s="637"/>
      <c r="MS61" s="637"/>
      <c r="MT61" s="637"/>
      <c r="MU61" s="637"/>
      <c r="MV61" s="637"/>
      <c r="MW61" s="637"/>
      <c r="MX61" s="637"/>
      <c r="MY61" s="637"/>
      <c r="MZ61" s="637"/>
      <c r="NA61" s="637"/>
      <c r="NB61" s="637"/>
      <c r="NC61" s="637"/>
      <c r="ND61" s="637"/>
      <c r="NE61" s="637"/>
      <c r="NF61" s="637"/>
      <c r="NG61" s="637"/>
      <c r="NH61" s="637"/>
      <c r="NI61" s="637"/>
      <c r="NJ61" s="637"/>
      <c r="NK61" s="637"/>
      <c r="NL61" s="637"/>
      <c r="NM61" s="637"/>
      <c r="NN61" s="637"/>
      <c r="NO61" s="637"/>
      <c r="NP61" s="637"/>
      <c r="NQ61" s="637"/>
      <c r="NR61" s="637"/>
      <c r="NS61" s="637"/>
      <c r="NT61" s="637"/>
      <c r="NU61" s="637"/>
      <c r="NV61" s="637"/>
      <c r="NW61" s="637"/>
      <c r="NX61" s="637"/>
      <c r="NY61" s="637"/>
      <c r="NZ61" s="637"/>
      <c r="OA61" s="637"/>
      <c r="OB61" s="637"/>
      <c r="OC61" s="637"/>
      <c r="OD61" s="637"/>
      <c r="OE61" s="637"/>
      <c r="OF61" s="637"/>
      <c r="OG61" s="637"/>
      <c r="OH61" s="637"/>
      <c r="OI61" s="637"/>
      <c r="OJ61" s="637"/>
      <c r="OK61" s="637"/>
      <c r="OL61" s="637"/>
      <c r="OM61" s="637"/>
      <c r="ON61" s="637"/>
      <c r="OO61" s="637"/>
      <c r="OP61" s="637"/>
      <c r="OQ61" s="637"/>
      <c r="OR61" s="637"/>
      <c r="OS61" s="637"/>
      <c r="OT61" s="637"/>
      <c r="OU61" s="637"/>
      <c r="OV61" s="637"/>
      <c r="OW61" s="637"/>
      <c r="OX61" s="637"/>
      <c r="OY61" s="637"/>
      <c r="OZ61" s="637"/>
      <c r="PA61" s="637"/>
      <c r="PB61" s="637"/>
      <c r="PC61" s="637"/>
      <c r="PD61" s="637"/>
      <c r="PE61" s="637"/>
      <c r="PF61" s="637"/>
      <c r="PG61" s="637"/>
      <c r="PH61" s="637"/>
      <c r="PI61" s="637"/>
      <c r="PJ61" s="637"/>
      <c r="PK61" s="637"/>
      <c r="PL61" s="637"/>
      <c r="PM61" s="637"/>
      <c r="PN61" s="637"/>
      <c r="PO61" s="637"/>
      <c r="PP61" s="637"/>
      <c r="PQ61" s="637"/>
      <c r="PR61" s="637"/>
      <c r="PS61" s="637"/>
      <c r="PT61" s="637"/>
      <c r="PU61" s="637"/>
      <c r="PV61" s="637"/>
      <c r="PW61" s="637"/>
      <c r="PX61" s="637"/>
      <c r="PY61" s="637"/>
      <c r="PZ61" s="637"/>
      <c r="QA61" s="637"/>
      <c r="QB61" s="637"/>
      <c r="QC61" s="637"/>
      <c r="QD61" s="637"/>
      <c r="QE61" s="637"/>
      <c r="QF61" s="637"/>
      <c r="QG61" s="637"/>
      <c r="QH61" s="637"/>
      <c r="QI61" s="637"/>
      <c r="QJ61" s="637"/>
      <c r="QK61" s="637"/>
      <c r="QL61" s="637"/>
      <c r="QM61" s="637"/>
      <c r="QN61" s="637"/>
      <c r="QO61" s="637"/>
      <c r="QP61" s="637"/>
      <c r="QQ61" s="637"/>
      <c r="QR61" s="637"/>
      <c r="QS61" s="637"/>
      <c r="QT61" s="637"/>
      <c r="QU61" s="637"/>
      <c r="QV61" s="637"/>
      <c r="QW61" s="637"/>
      <c r="QX61" s="637"/>
      <c r="QY61" s="637"/>
      <c r="QZ61" s="637"/>
      <c r="RA61" s="637"/>
      <c r="RB61" s="637"/>
      <c r="RC61" s="637"/>
      <c r="RD61" s="637"/>
      <c r="RE61" s="637"/>
      <c r="RF61" s="637"/>
      <c r="RG61" s="637"/>
      <c r="RH61" s="637"/>
      <c r="RI61" s="637"/>
      <c r="RJ61" s="637"/>
      <c r="RK61" s="637"/>
      <c r="RL61" s="637"/>
      <c r="RM61" s="637"/>
      <c r="RN61" s="637"/>
      <c r="RO61" s="637"/>
      <c r="RP61" s="637"/>
      <c r="RQ61" s="637"/>
      <c r="RR61" s="637"/>
      <c r="RS61" s="637"/>
      <c r="RT61" s="637"/>
      <c r="RU61" s="637"/>
      <c r="RV61" s="637"/>
      <c r="RW61" s="637"/>
      <c r="RX61" s="637"/>
      <c r="RY61" s="637"/>
      <c r="RZ61" s="637"/>
      <c r="SA61" s="637"/>
      <c r="SB61" s="637"/>
      <c r="SC61" s="637"/>
      <c r="SD61" s="637"/>
      <c r="SE61" s="637"/>
      <c r="SF61" s="637"/>
      <c r="SG61" s="637"/>
      <c r="SH61" s="637"/>
      <c r="SI61" s="637"/>
      <c r="SJ61" s="637"/>
      <c r="SK61" s="637"/>
      <c r="SL61" s="637"/>
      <c r="SM61" s="637"/>
      <c r="SN61" s="637"/>
      <c r="SO61" s="637"/>
      <c r="SP61" s="637"/>
      <c r="SQ61" s="637"/>
      <c r="SR61" s="637"/>
      <c r="SS61" s="637"/>
      <c r="ST61" s="637"/>
      <c r="SU61" s="637"/>
      <c r="SV61" s="637"/>
      <c r="SW61" s="637"/>
      <c r="SX61" s="637"/>
      <c r="SY61" s="637"/>
      <c r="SZ61" s="637"/>
      <c r="TA61" s="637"/>
      <c r="TB61" s="637"/>
      <c r="TC61" s="637"/>
      <c r="TD61" s="637"/>
      <c r="TE61" s="637"/>
      <c r="TF61" s="637"/>
      <c r="TG61" s="637"/>
      <c r="TH61" s="637"/>
      <c r="TI61" s="637"/>
      <c r="TJ61" s="637"/>
      <c r="TK61" s="637"/>
      <c r="TL61" s="637"/>
      <c r="TM61" s="637"/>
      <c r="TN61" s="637"/>
      <c r="TO61" s="637"/>
      <c r="TP61" s="637"/>
      <c r="TQ61" s="637"/>
      <c r="TR61" s="637"/>
      <c r="TS61" s="637"/>
      <c r="TT61" s="637"/>
      <c r="TU61" s="637"/>
      <c r="TV61" s="637"/>
      <c r="TW61" s="637"/>
      <c r="TX61" s="637"/>
      <c r="TY61" s="637"/>
      <c r="TZ61" s="637"/>
      <c r="UA61" s="637"/>
      <c r="UB61" s="637"/>
      <c r="UC61" s="637"/>
      <c r="UD61" s="637"/>
      <c r="UE61" s="637"/>
      <c r="UF61" s="637"/>
      <c r="UG61" s="637"/>
      <c r="UH61" s="637"/>
      <c r="UI61" s="637"/>
      <c r="UJ61" s="637"/>
      <c r="UK61" s="637"/>
      <c r="UL61" s="637"/>
      <c r="UM61" s="637"/>
      <c r="UN61" s="637"/>
      <c r="UO61" s="637"/>
      <c r="UP61" s="637"/>
      <c r="UQ61" s="637"/>
      <c r="UR61" s="637"/>
      <c r="US61" s="637"/>
      <c r="UT61" s="637"/>
      <c r="UU61" s="637"/>
      <c r="UV61" s="637"/>
      <c r="UW61" s="637"/>
      <c r="UX61" s="637"/>
      <c r="UY61" s="637"/>
      <c r="UZ61" s="637"/>
      <c r="VA61" s="637"/>
      <c r="VB61" s="637"/>
      <c r="VC61" s="637"/>
      <c r="VD61" s="637"/>
      <c r="VE61" s="637"/>
      <c r="VF61" s="637"/>
      <c r="VG61" s="637"/>
      <c r="VH61" s="637"/>
      <c r="VI61" s="637"/>
      <c r="VJ61" s="637"/>
      <c r="VK61" s="637"/>
      <c r="VL61" s="637"/>
      <c r="VM61" s="637"/>
      <c r="VN61" s="637"/>
      <c r="VO61" s="637"/>
      <c r="VP61" s="637"/>
      <c r="VQ61" s="637"/>
      <c r="VR61" s="637"/>
      <c r="VS61" s="637"/>
      <c r="VT61" s="637"/>
      <c r="VU61" s="637"/>
      <c r="VV61" s="637"/>
      <c r="VW61" s="637"/>
      <c r="VX61" s="637"/>
      <c r="VY61" s="637"/>
      <c r="VZ61" s="637"/>
      <c r="WA61" s="637"/>
      <c r="WB61" s="637"/>
      <c r="WC61" s="637"/>
      <c r="WD61" s="637"/>
      <c r="WE61" s="637"/>
      <c r="WF61" s="637"/>
      <c r="WG61" s="637"/>
      <c r="WH61" s="637"/>
      <c r="WI61" s="637"/>
      <c r="WJ61" s="637"/>
      <c r="WK61" s="637"/>
      <c r="WL61" s="637"/>
      <c r="WM61" s="637"/>
      <c r="WN61" s="637"/>
      <c r="WO61" s="637"/>
      <c r="WP61" s="637"/>
      <c r="WQ61" s="637"/>
      <c r="WR61" s="637"/>
      <c r="WS61" s="637"/>
      <c r="WT61" s="637"/>
      <c r="WU61" s="637"/>
      <c r="WV61" s="637"/>
      <c r="WW61" s="637"/>
      <c r="WX61" s="637"/>
      <c r="WY61" s="637"/>
      <c r="WZ61" s="637"/>
      <c r="XA61" s="637"/>
      <c r="XB61" s="637"/>
      <c r="XC61" s="637"/>
      <c r="XD61" s="637"/>
      <c r="XE61" s="637"/>
      <c r="XF61" s="637"/>
      <c r="XG61" s="637"/>
      <c r="XH61" s="637"/>
      <c r="XI61" s="637"/>
      <c r="XJ61" s="637"/>
      <c r="XK61" s="637"/>
      <c r="XL61" s="637"/>
      <c r="XM61" s="637"/>
      <c r="XN61" s="637"/>
      <c r="XO61" s="637"/>
      <c r="XP61" s="637"/>
      <c r="XQ61" s="637"/>
      <c r="XR61" s="637"/>
      <c r="XS61" s="637"/>
      <c r="XT61" s="637"/>
      <c r="XU61" s="637"/>
      <c r="XV61" s="637"/>
      <c r="XW61" s="637"/>
      <c r="XX61" s="637"/>
      <c r="XY61" s="637"/>
      <c r="XZ61" s="637"/>
      <c r="YA61" s="637"/>
      <c r="YB61" s="637"/>
      <c r="YC61" s="637"/>
      <c r="YD61" s="637"/>
      <c r="YE61" s="637"/>
      <c r="YF61" s="637"/>
      <c r="YG61" s="637"/>
      <c r="YH61" s="637"/>
      <c r="YI61" s="637"/>
      <c r="YJ61" s="637"/>
      <c r="YK61" s="637"/>
      <c r="YL61" s="637"/>
      <c r="YM61" s="637"/>
      <c r="YN61" s="637"/>
      <c r="YO61" s="637"/>
      <c r="YP61" s="637"/>
      <c r="YQ61" s="637"/>
      <c r="YR61" s="637"/>
      <c r="YS61" s="637"/>
      <c r="YT61" s="637"/>
      <c r="YU61" s="637"/>
      <c r="YV61" s="637"/>
      <c r="YW61" s="637"/>
      <c r="YX61" s="637"/>
      <c r="YY61" s="637"/>
      <c r="YZ61" s="637"/>
      <c r="ZA61" s="637"/>
      <c r="ZB61" s="637"/>
      <c r="ZC61" s="637"/>
      <c r="ZD61" s="637"/>
      <c r="ZE61" s="637"/>
      <c r="ZF61" s="637"/>
      <c r="ZG61" s="637"/>
      <c r="ZH61" s="637"/>
      <c r="ZI61" s="637"/>
      <c r="ZJ61" s="637"/>
      <c r="ZK61" s="637"/>
      <c r="ZL61" s="637"/>
      <c r="ZM61" s="637"/>
      <c r="ZN61" s="637"/>
      <c r="ZO61" s="637"/>
      <c r="ZP61" s="637"/>
      <c r="ZQ61" s="637"/>
      <c r="ZR61" s="637"/>
      <c r="ZS61" s="637"/>
      <c r="ZT61" s="637"/>
      <c r="ZU61" s="637"/>
      <c r="ZV61" s="637"/>
      <c r="ZW61" s="637"/>
      <c r="ZX61" s="637"/>
      <c r="ZY61" s="637"/>
      <c r="ZZ61" s="637"/>
      <c r="AAA61" s="637"/>
      <c r="AAB61" s="637"/>
      <c r="AAC61" s="637"/>
      <c r="AAD61" s="637"/>
      <c r="AAE61" s="637"/>
      <c r="AAF61" s="637"/>
      <c r="AAG61" s="637"/>
      <c r="AAH61" s="637"/>
      <c r="AAI61" s="637"/>
      <c r="AAJ61" s="637"/>
      <c r="AAK61" s="637"/>
      <c r="AAL61" s="637"/>
      <c r="AAM61" s="637"/>
      <c r="AAN61" s="637"/>
      <c r="AAO61" s="637"/>
      <c r="AAP61" s="637"/>
      <c r="AAQ61" s="637"/>
      <c r="AAR61" s="637"/>
      <c r="AAS61" s="637"/>
      <c r="AAT61" s="637"/>
      <c r="AAU61" s="637"/>
      <c r="AAV61" s="637"/>
      <c r="AAW61" s="637"/>
      <c r="AAX61" s="637"/>
      <c r="AAY61" s="637"/>
      <c r="AAZ61" s="637"/>
      <c r="ABA61" s="637"/>
      <c r="ABB61" s="637"/>
      <c r="ABC61" s="637"/>
      <c r="ABD61" s="637"/>
      <c r="ABE61" s="637"/>
      <c r="ABF61" s="637"/>
      <c r="ABG61" s="637"/>
      <c r="ABH61" s="637"/>
      <c r="ABI61" s="637"/>
      <c r="ABJ61" s="637"/>
      <c r="ABK61" s="637"/>
      <c r="ABL61" s="637"/>
      <c r="ABM61" s="637"/>
      <c r="ABN61" s="637"/>
      <c r="ABO61" s="637"/>
      <c r="ABP61" s="637"/>
      <c r="ABQ61" s="637"/>
      <c r="ABR61" s="637"/>
      <c r="ABS61" s="637"/>
      <c r="ABT61" s="637"/>
      <c r="ABU61" s="637"/>
      <c r="ABV61" s="637"/>
      <c r="ABW61" s="637"/>
      <c r="ABX61" s="637"/>
      <c r="ABY61" s="637"/>
      <c r="ABZ61" s="637"/>
      <c r="ACA61" s="637"/>
      <c r="ACB61" s="637"/>
      <c r="ACC61" s="637"/>
      <c r="ACD61" s="637"/>
      <c r="ACE61" s="637"/>
      <c r="ACF61" s="637"/>
      <c r="ACG61" s="637"/>
      <c r="ACH61" s="637"/>
      <c r="ACI61" s="637"/>
      <c r="ACJ61" s="637"/>
      <c r="ACK61" s="637"/>
      <c r="ACL61" s="637"/>
      <c r="ACM61" s="637"/>
      <c r="ACN61" s="637"/>
      <c r="ACO61" s="637"/>
      <c r="ACP61" s="637"/>
      <c r="ACQ61" s="637"/>
      <c r="ACR61" s="637"/>
      <c r="ACS61" s="637"/>
      <c r="ACT61" s="637"/>
      <c r="ACU61" s="637"/>
      <c r="ACV61" s="637"/>
      <c r="ACW61" s="637"/>
      <c r="ACX61" s="637"/>
      <c r="ACY61" s="637"/>
      <c r="ACZ61" s="637"/>
      <c r="ADA61" s="637"/>
      <c r="ADB61" s="637"/>
      <c r="ADC61" s="637"/>
      <c r="ADD61" s="637"/>
      <c r="ADE61" s="637"/>
      <c r="ADF61" s="637"/>
      <c r="ADG61" s="637"/>
      <c r="ADH61" s="637"/>
      <c r="ADI61" s="637"/>
      <c r="ADJ61" s="637"/>
      <c r="ADK61" s="637"/>
      <c r="ADL61" s="637"/>
      <c r="ADM61" s="637"/>
      <c r="ADN61" s="637"/>
      <c r="ADO61" s="637"/>
      <c r="ADP61" s="637"/>
      <c r="ADQ61" s="637"/>
      <c r="ADR61" s="637"/>
      <c r="ADS61" s="637"/>
      <c r="ADT61" s="637"/>
      <c r="ADU61" s="637"/>
      <c r="ADV61" s="637"/>
      <c r="ADW61" s="637"/>
      <c r="ADX61" s="637"/>
      <c r="ADY61" s="637"/>
      <c r="ADZ61" s="637"/>
      <c r="AEA61" s="637"/>
      <c r="AEB61" s="637"/>
      <c r="AEC61" s="637"/>
      <c r="AED61" s="637"/>
      <c r="AEE61" s="637"/>
      <c r="AEF61" s="637"/>
      <c r="AEG61" s="637"/>
      <c r="AEH61" s="637"/>
      <c r="AEI61" s="637"/>
      <c r="AEJ61" s="637"/>
      <c r="AEK61" s="637"/>
      <c r="AEL61" s="637"/>
      <c r="AEM61" s="637"/>
      <c r="AEN61" s="637"/>
      <c r="AEO61" s="637"/>
      <c r="AEP61" s="637"/>
      <c r="AEQ61" s="637"/>
      <c r="AER61" s="637"/>
      <c r="AES61" s="637"/>
      <c r="AET61" s="637"/>
      <c r="AEU61" s="637"/>
      <c r="AEV61" s="637"/>
      <c r="AEW61" s="637"/>
      <c r="AEX61" s="637"/>
      <c r="AEY61" s="637"/>
      <c r="AEZ61" s="637"/>
      <c r="AFA61" s="637"/>
      <c r="AFB61" s="637"/>
      <c r="AFC61" s="637"/>
      <c r="AFD61" s="637"/>
      <c r="AFE61" s="637"/>
      <c r="AFF61" s="637"/>
      <c r="AFG61" s="637"/>
      <c r="AFH61" s="637"/>
      <c r="AFI61" s="637"/>
      <c r="AFJ61" s="637"/>
      <c r="AFK61" s="637"/>
      <c r="AFL61" s="637"/>
      <c r="AFM61" s="637"/>
      <c r="AFN61" s="637"/>
      <c r="AFO61" s="637"/>
      <c r="AFP61" s="637"/>
      <c r="AFQ61" s="637"/>
      <c r="AFR61" s="637"/>
      <c r="AFS61" s="637"/>
      <c r="AFT61" s="637"/>
      <c r="AFU61" s="637"/>
      <c r="AFV61" s="637"/>
      <c r="AFW61" s="637"/>
      <c r="AFX61" s="637"/>
      <c r="AFY61" s="637"/>
      <c r="AFZ61" s="637"/>
      <c r="AGA61" s="637"/>
      <c r="AGB61" s="637"/>
      <c r="AGC61" s="637"/>
      <c r="AGD61" s="637"/>
      <c r="AGE61" s="637"/>
      <c r="AGF61" s="637"/>
      <c r="AGG61" s="637"/>
      <c r="AGH61" s="637"/>
      <c r="AGI61" s="637"/>
      <c r="AGJ61" s="637"/>
      <c r="AGK61" s="637"/>
      <c r="AGL61" s="637"/>
      <c r="AGM61" s="637"/>
      <c r="AGN61" s="637"/>
      <c r="AGO61" s="637"/>
      <c r="AGP61" s="637"/>
      <c r="AGQ61" s="637"/>
      <c r="AGR61" s="637"/>
      <c r="AGS61" s="637"/>
      <c r="AGT61" s="637"/>
      <c r="AGU61" s="637"/>
      <c r="AGV61" s="637"/>
      <c r="AGW61" s="637"/>
      <c r="AGX61" s="637"/>
      <c r="AGY61" s="637"/>
      <c r="AGZ61" s="637"/>
      <c r="AHA61" s="637"/>
      <c r="AHB61" s="637"/>
      <c r="AHC61" s="637"/>
      <c r="AHD61" s="637"/>
      <c r="AHE61" s="637"/>
      <c r="AHF61" s="637"/>
      <c r="AHG61" s="637"/>
      <c r="AHH61" s="637"/>
      <c r="AHI61" s="637"/>
      <c r="AHJ61" s="637"/>
      <c r="AHK61" s="637"/>
      <c r="AHL61" s="637"/>
      <c r="AHM61" s="637"/>
      <c r="AHN61" s="637"/>
      <c r="AHO61" s="637"/>
      <c r="AHP61" s="637"/>
      <c r="AHQ61" s="637"/>
      <c r="AHR61" s="637"/>
      <c r="AHS61" s="637"/>
      <c r="AHT61" s="637"/>
      <c r="AHU61" s="637"/>
      <c r="AHV61" s="637"/>
      <c r="AHW61" s="637"/>
      <c r="AHX61" s="637"/>
      <c r="AHY61" s="637"/>
      <c r="AHZ61" s="637"/>
      <c r="AIA61" s="637"/>
      <c r="AIB61" s="637"/>
      <c r="AIC61" s="637"/>
      <c r="AID61" s="637"/>
      <c r="AIE61" s="637"/>
      <c r="AIF61" s="637"/>
      <c r="AIG61" s="637"/>
      <c r="AIH61" s="637"/>
      <c r="AII61" s="637"/>
      <c r="AIJ61" s="637"/>
      <c r="AIK61" s="637"/>
      <c r="AIL61" s="637"/>
      <c r="AIM61" s="637"/>
      <c r="AIN61" s="637"/>
      <c r="AIO61" s="637"/>
      <c r="AIP61" s="637"/>
      <c r="AIQ61" s="637"/>
      <c r="AIR61" s="637"/>
      <c r="AIS61" s="637"/>
      <c r="AIT61" s="637"/>
      <c r="AIU61" s="637"/>
      <c r="AIV61" s="637"/>
      <c r="AIW61" s="637"/>
      <c r="AIX61" s="637"/>
      <c r="AIY61" s="637"/>
      <c r="AIZ61" s="637"/>
      <c r="AJA61" s="637"/>
      <c r="AJB61" s="637"/>
      <c r="AJC61" s="637"/>
      <c r="AJD61" s="637"/>
      <c r="AJE61" s="637"/>
      <c r="AJF61" s="637"/>
      <c r="AJG61" s="637"/>
      <c r="AJH61" s="637"/>
      <c r="AJI61" s="637"/>
      <c r="AJJ61" s="637"/>
      <c r="AJK61" s="637"/>
      <c r="AJL61" s="637"/>
      <c r="AJM61" s="637"/>
      <c r="AJN61" s="637"/>
      <c r="AJO61" s="637"/>
      <c r="AJP61" s="637"/>
      <c r="AJQ61" s="637"/>
      <c r="AJR61" s="637"/>
      <c r="AJS61" s="637"/>
      <c r="AJT61" s="637"/>
      <c r="AJU61" s="637"/>
      <c r="AJV61" s="637"/>
      <c r="AJW61" s="637"/>
      <c r="AJX61" s="637"/>
      <c r="AJY61" s="637"/>
      <c r="AJZ61" s="637"/>
      <c r="AKA61" s="637"/>
      <c r="AKB61" s="637"/>
      <c r="AKC61" s="637"/>
      <c r="AKD61" s="637"/>
      <c r="AKE61" s="637"/>
      <c r="AKF61" s="637"/>
      <c r="AKG61" s="637"/>
      <c r="AKH61" s="637"/>
      <c r="AKI61" s="637"/>
      <c r="AKJ61" s="637"/>
      <c r="AKK61" s="637"/>
      <c r="AKL61" s="637"/>
      <c r="AKM61" s="637"/>
      <c r="AKN61" s="637"/>
      <c r="AKO61" s="637"/>
      <c r="AKP61" s="637"/>
      <c r="AKQ61" s="637"/>
      <c r="AKR61" s="637"/>
      <c r="AKS61" s="637"/>
      <c r="AKT61" s="637"/>
      <c r="AKU61" s="637"/>
      <c r="AKV61" s="637"/>
      <c r="AKW61" s="637"/>
      <c r="AKX61" s="637"/>
      <c r="AKY61" s="637"/>
      <c r="AKZ61" s="637"/>
      <c r="ALA61" s="637"/>
      <c r="ALB61" s="637"/>
      <c r="ALC61" s="637"/>
      <c r="ALD61" s="637"/>
      <c r="ALE61" s="637"/>
      <c r="ALF61" s="637"/>
      <c r="ALG61" s="637"/>
      <c r="ALH61" s="637"/>
      <c r="ALI61" s="637"/>
      <c r="ALJ61" s="637"/>
      <c r="ALK61" s="637"/>
      <c r="ALL61" s="637"/>
      <c r="ALM61" s="637"/>
      <c r="ALN61" s="637"/>
      <c r="ALO61" s="637"/>
      <c r="ALP61" s="637"/>
      <c r="ALQ61" s="637"/>
      <c r="ALR61" s="637"/>
      <c r="ALS61" s="637"/>
      <c r="ALT61" s="637"/>
      <c r="ALU61" s="637"/>
      <c r="ALV61" s="637"/>
      <c r="ALW61" s="637"/>
      <c r="ALX61" s="637"/>
      <c r="ALY61" s="637"/>
      <c r="ALZ61" s="637"/>
      <c r="AMA61" s="637"/>
      <c r="AMB61" s="637"/>
      <c r="AMC61" s="637"/>
      <c r="AMD61" s="637"/>
      <c r="AME61" s="637"/>
      <c r="AMF61" s="637"/>
      <c r="AMG61" s="637"/>
      <c r="AMH61" s="637"/>
      <c r="AMI61" s="637"/>
      <c r="AMJ61" s="637"/>
    </row>
    <row r="62" spans="1:1024" s="638" customFormat="1" ht="12.75">
      <c r="A62" s="984"/>
      <c r="B62" s="985"/>
      <c r="C62" s="986"/>
      <c r="D62" s="981" t="s">
        <v>1041</v>
      </c>
      <c r="E62" s="982"/>
      <c r="F62" s="982">
        <v>10</v>
      </c>
      <c r="G62" s="987"/>
      <c r="H62" s="987"/>
      <c r="I62" s="987"/>
      <c r="J62" s="987"/>
      <c r="K62" s="987">
        <v>10</v>
      </c>
      <c r="L62" s="987"/>
      <c r="M62" s="987"/>
      <c r="N62" s="987"/>
      <c r="O62" s="987"/>
      <c r="P62" s="987"/>
      <c r="Q62" s="987"/>
      <c r="R62" s="984"/>
      <c r="S62" s="637"/>
      <c r="T62" s="637"/>
      <c r="U62" s="637"/>
      <c r="V62" s="637"/>
      <c r="W62" s="637"/>
      <c r="X62" s="637"/>
      <c r="Y62" s="637"/>
      <c r="Z62" s="637"/>
      <c r="AA62" s="637"/>
      <c r="AB62" s="637"/>
      <c r="AC62" s="637"/>
      <c r="AD62" s="637"/>
      <c r="AE62" s="637"/>
      <c r="AF62" s="637"/>
      <c r="AG62" s="637"/>
      <c r="AH62" s="637"/>
      <c r="AI62" s="637"/>
      <c r="AJ62" s="637"/>
      <c r="AK62" s="637"/>
      <c r="AL62" s="637"/>
      <c r="AM62" s="637"/>
      <c r="AN62" s="637"/>
      <c r="AO62" s="637"/>
      <c r="AP62" s="637"/>
      <c r="AQ62" s="637"/>
      <c r="AR62" s="637"/>
      <c r="AS62" s="637"/>
      <c r="AT62" s="637"/>
      <c r="AU62" s="637"/>
      <c r="AV62" s="637"/>
      <c r="AW62" s="637"/>
      <c r="AX62" s="637"/>
      <c r="AY62" s="637"/>
      <c r="AZ62" s="637"/>
      <c r="BA62" s="637"/>
      <c r="BB62" s="637"/>
      <c r="BC62" s="637"/>
      <c r="BD62" s="637"/>
      <c r="BE62" s="637"/>
      <c r="BF62" s="637"/>
      <c r="BG62" s="637"/>
      <c r="BH62" s="637"/>
      <c r="BI62" s="637"/>
      <c r="BJ62" s="637"/>
      <c r="BK62" s="637"/>
      <c r="BL62" s="637"/>
      <c r="BM62" s="637"/>
      <c r="BN62" s="637"/>
      <c r="BO62" s="637"/>
      <c r="BP62" s="637"/>
      <c r="BQ62" s="637"/>
      <c r="BR62" s="637"/>
      <c r="BS62" s="637"/>
      <c r="BT62" s="637"/>
      <c r="BU62" s="637"/>
      <c r="BV62" s="637"/>
      <c r="BW62" s="637"/>
      <c r="BX62" s="637"/>
      <c r="BY62" s="637"/>
      <c r="BZ62" s="637"/>
      <c r="CA62" s="637"/>
      <c r="CB62" s="637"/>
      <c r="CC62" s="637"/>
      <c r="CD62" s="637"/>
      <c r="CE62" s="637"/>
      <c r="CF62" s="637"/>
      <c r="CG62" s="637"/>
      <c r="CH62" s="637"/>
      <c r="CI62" s="637"/>
      <c r="CJ62" s="637"/>
      <c r="CK62" s="637"/>
      <c r="CL62" s="637"/>
      <c r="CM62" s="637"/>
      <c r="CN62" s="637"/>
      <c r="CO62" s="637"/>
      <c r="CP62" s="637"/>
      <c r="CQ62" s="637"/>
      <c r="CR62" s="637"/>
      <c r="CS62" s="637"/>
      <c r="CT62" s="637"/>
      <c r="CU62" s="637"/>
      <c r="CV62" s="637"/>
      <c r="CW62" s="637"/>
      <c r="CX62" s="637"/>
      <c r="CY62" s="637"/>
      <c r="CZ62" s="637"/>
      <c r="DA62" s="637"/>
      <c r="DB62" s="637"/>
      <c r="DC62" s="637"/>
      <c r="DD62" s="637"/>
      <c r="DE62" s="637"/>
      <c r="DF62" s="637"/>
      <c r="DG62" s="637"/>
      <c r="DH62" s="637"/>
      <c r="DI62" s="637"/>
      <c r="DJ62" s="637"/>
      <c r="DK62" s="637"/>
      <c r="DL62" s="637"/>
      <c r="DM62" s="637"/>
      <c r="DN62" s="637"/>
      <c r="DO62" s="637"/>
      <c r="DP62" s="637"/>
      <c r="DQ62" s="637"/>
      <c r="DR62" s="637"/>
      <c r="DS62" s="637"/>
      <c r="DT62" s="637"/>
      <c r="DU62" s="637"/>
      <c r="DV62" s="637"/>
      <c r="DW62" s="637"/>
      <c r="DX62" s="637"/>
      <c r="DY62" s="637"/>
      <c r="DZ62" s="637"/>
      <c r="EA62" s="637"/>
      <c r="EB62" s="637"/>
      <c r="EC62" s="637"/>
      <c r="ED62" s="637"/>
      <c r="EE62" s="637"/>
      <c r="EF62" s="637"/>
      <c r="EG62" s="637"/>
      <c r="EH62" s="637"/>
      <c r="EI62" s="637"/>
      <c r="EJ62" s="637"/>
      <c r="EK62" s="637"/>
      <c r="EL62" s="637"/>
      <c r="EM62" s="637"/>
      <c r="EN62" s="637"/>
      <c r="EO62" s="637"/>
      <c r="EP62" s="637"/>
      <c r="EQ62" s="637"/>
      <c r="ER62" s="637"/>
      <c r="ES62" s="637"/>
      <c r="ET62" s="637"/>
      <c r="EU62" s="637"/>
      <c r="EV62" s="637"/>
      <c r="EW62" s="637"/>
      <c r="EX62" s="637"/>
      <c r="EY62" s="637"/>
      <c r="EZ62" s="637"/>
      <c r="FA62" s="637"/>
      <c r="FB62" s="637"/>
      <c r="FC62" s="637"/>
      <c r="FD62" s="637"/>
      <c r="FE62" s="637"/>
      <c r="FF62" s="637"/>
      <c r="FG62" s="637"/>
      <c r="FH62" s="637"/>
      <c r="FI62" s="637"/>
      <c r="FJ62" s="637"/>
      <c r="FK62" s="637"/>
      <c r="FL62" s="637"/>
      <c r="FM62" s="637"/>
      <c r="FN62" s="637"/>
      <c r="FO62" s="637"/>
      <c r="FP62" s="637"/>
      <c r="FQ62" s="637"/>
      <c r="FR62" s="637"/>
      <c r="FS62" s="637"/>
      <c r="FT62" s="637"/>
      <c r="FU62" s="637"/>
      <c r="FV62" s="637"/>
      <c r="FW62" s="637"/>
      <c r="FX62" s="637"/>
      <c r="FY62" s="637"/>
      <c r="FZ62" s="637"/>
      <c r="GA62" s="637"/>
      <c r="GB62" s="637"/>
      <c r="GC62" s="637"/>
      <c r="GD62" s="637"/>
      <c r="GE62" s="637"/>
      <c r="GF62" s="637"/>
      <c r="GG62" s="637"/>
      <c r="GH62" s="637"/>
      <c r="GI62" s="637"/>
      <c r="GJ62" s="637"/>
      <c r="GK62" s="637"/>
      <c r="GL62" s="637"/>
      <c r="GM62" s="637"/>
      <c r="GN62" s="637"/>
      <c r="GO62" s="637"/>
      <c r="GP62" s="637"/>
      <c r="GQ62" s="637"/>
      <c r="GR62" s="637"/>
      <c r="GS62" s="637"/>
      <c r="GT62" s="637"/>
      <c r="GU62" s="637"/>
      <c r="GV62" s="637"/>
      <c r="GW62" s="637"/>
      <c r="GX62" s="637"/>
      <c r="GY62" s="637"/>
      <c r="GZ62" s="637"/>
      <c r="HA62" s="637"/>
      <c r="HB62" s="637"/>
      <c r="HC62" s="637"/>
      <c r="HD62" s="637"/>
      <c r="HE62" s="637"/>
      <c r="HF62" s="637"/>
      <c r="HG62" s="637"/>
      <c r="HH62" s="637"/>
      <c r="HI62" s="637"/>
      <c r="HJ62" s="637"/>
      <c r="HK62" s="637"/>
      <c r="HL62" s="637"/>
      <c r="HM62" s="637"/>
      <c r="HN62" s="637"/>
      <c r="HO62" s="637"/>
      <c r="HP62" s="637"/>
      <c r="HQ62" s="637"/>
      <c r="HR62" s="637"/>
      <c r="HS62" s="637"/>
      <c r="HT62" s="637"/>
      <c r="HU62" s="637"/>
      <c r="HV62" s="637"/>
      <c r="HW62" s="637"/>
      <c r="HX62" s="637"/>
      <c r="HY62" s="637"/>
      <c r="HZ62" s="637"/>
      <c r="IA62" s="637"/>
      <c r="IB62" s="637"/>
      <c r="IC62" s="637"/>
      <c r="ID62" s="637"/>
      <c r="IE62" s="637"/>
      <c r="IF62" s="637"/>
      <c r="IG62" s="637"/>
      <c r="IH62" s="637"/>
      <c r="II62" s="637"/>
      <c r="IJ62" s="637"/>
      <c r="IK62" s="637"/>
      <c r="IL62" s="637"/>
      <c r="IM62" s="637"/>
      <c r="IN62" s="637"/>
      <c r="IO62" s="637"/>
      <c r="IP62" s="637"/>
      <c r="IQ62" s="637"/>
      <c r="IR62" s="637"/>
      <c r="IS62" s="637"/>
      <c r="IT62" s="637"/>
      <c r="IU62" s="637"/>
      <c r="IV62" s="637"/>
      <c r="IW62" s="637"/>
      <c r="IX62" s="637"/>
      <c r="IY62" s="637"/>
      <c r="IZ62" s="637"/>
      <c r="JA62" s="637"/>
      <c r="JB62" s="637"/>
      <c r="JC62" s="637"/>
      <c r="JD62" s="637"/>
      <c r="JE62" s="637"/>
      <c r="JF62" s="637"/>
      <c r="JG62" s="637"/>
      <c r="JH62" s="637"/>
      <c r="JI62" s="637"/>
      <c r="JJ62" s="637"/>
      <c r="JK62" s="637"/>
      <c r="JL62" s="637"/>
      <c r="JM62" s="637"/>
      <c r="JN62" s="637"/>
      <c r="JO62" s="637"/>
      <c r="JP62" s="637"/>
      <c r="JQ62" s="637"/>
      <c r="JR62" s="637"/>
      <c r="JS62" s="637"/>
      <c r="JT62" s="637"/>
      <c r="JU62" s="637"/>
      <c r="JV62" s="637"/>
      <c r="JW62" s="637"/>
      <c r="JX62" s="637"/>
      <c r="JY62" s="637"/>
      <c r="JZ62" s="637"/>
      <c r="KA62" s="637"/>
      <c r="KB62" s="637"/>
      <c r="KC62" s="637"/>
      <c r="KD62" s="637"/>
      <c r="KE62" s="637"/>
      <c r="KF62" s="637"/>
      <c r="KG62" s="637"/>
      <c r="KH62" s="637"/>
      <c r="KI62" s="637"/>
      <c r="KJ62" s="637"/>
      <c r="KK62" s="637"/>
      <c r="KL62" s="637"/>
      <c r="KM62" s="637"/>
      <c r="KN62" s="637"/>
      <c r="KO62" s="637"/>
      <c r="KP62" s="637"/>
      <c r="KQ62" s="637"/>
      <c r="KR62" s="637"/>
      <c r="KS62" s="637"/>
      <c r="KT62" s="637"/>
      <c r="KU62" s="637"/>
      <c r="KV62" s="637"/>
      <c r="KW62" s="637"/>
      <c r="KX62" s="637"/>
      <c r="KY62" s="637"/>
      <c r="KZ62" s="637"/>
      <c r="LA62" s="637"/>
      <c r="LB62" s="637"/>
      <c r="LC62" s="637"/>
      <c r="LD62" s="637"/>
      <c r="LE62" s="637"/>
      <c r="LF62" s="637"/>
      <c r="LG62" s="637"/>
      <c r="LH62" s="637"/>
      <c r="LI62" s="637"/>
      <c r="LJ62" s="637"/>
      <c r="LK62" s="637"/>
      <c r="LL62" s="637"/>
      <c r="LM62" s="637"/>
      <c r="LN62" s="637"/>
      <c r="LO62" s="637"/>
      <c r="LP62" s="637"/>
      <c r="LQ62" s="637"/>
      <c r="LR62" s="637"/>
      <c r="LS62" s="637"/>
      <c r="LT62" s="637"/>
      <c r="LU62" s="637"/>
      <c r="LV62" s="637"/>
      <c r="LW62" s="637"/>
      <c r="LX62" s="637"/>
      <c r="LY62" s="637"/>
      <c r="LZ62" s="637"/>
      <c r="MA62" s="637"/>
      <c r="MB62" s="637"/>
      <c r="MC62" s="637"/>
      <c r="MD62" s="637"/>
      <c r="ME62" s="637"/>
      <c r="MF62" s="637"/>
      <c r="MG62" s="637"/>
      <c r="MH62" s="637"/>
      <c r="MI62" s="637"/>
      <c r="MJ62" s="637"/>
      <c r="MK62" s="637"/>
      <c r="ML62" s="637"/>
      <c r="MM62" s="637"/>
      <c r="MN62" s="637"/>
      <c r="MO62" s="637"/>
      <c r="MP62" s="637"/>
      <c r="MQ62" s="637"/>
      <c r="MR62" s="637"/>
      <c r="MS62" s="637"/>
      <c r="MT62" s="637"/>
      <c r="MU62" s="637"/>
      <c r="MV62" s="637"/>
      <c r="MW62" s="637"/>
      <c r="MX62" s="637"/>
      <c r="MY62" s="637"/>
      <c r="MZ62" s="637"/>
      <c r="NA62" s="637"/>
      <c r="NB62" s="637"/>
      <c r="NC62" s="637"/>
      <c r="ND62" s="637"/>
      <c r="NE62" s="637"/>
      <c r="NF62" s="637"/>
      <c r="NG62" s="637"/>
      <c r="NH62" s="637"/>
      <c r="NI62" s="637"/>
      <c r="NJ62" s="637"/>
      <c r="NK62" s="637"/>
      <c r="NL62" s="637"/>
      <c r="NM62" s="637"/>
      <c r="NN62" s="637"/>
      <c r="NO62" s="637"/>
      <c r="NP62" s="637"/>
      <c r="NQ62" s="637"/>
      <c r="NR62" s="637"/>
      <c r="NS62" s="637"/>
      <c r="NT62" s="637"/>
      <c r="NU62" s="637"/>
      <c r="NV62" s="637"/>
      <c r="NW62" s="637"/>
      <c r="NX62" s="637"/>
      <c r="NY62" s="637"/>
      <c r="NZ62" s="637"/>
      <c r="OA62" s="637"/>
      <c r="OB62" s="637"/>
      <c r="OC62" s="637"/>
      <c r="OD62" s="637"/>
      <c r="OE62" s="637"/>
      <c r="OF62" s="637"/>
      <c r="OG62" s="637"/>
      <c r="OH62" s="637"/>
      <c r="OI62" s="637"/>
      <c r="OJ62" s="637"/>
      <c r="OK62" s="637"/>
      <c r="OL62" s="637"/>
      <c r="OM62" s="637"/>
      <c r="ON62" s="637"/>
      <c r="OO62" s="637"/>
      <c r="OP62" s="637"/>
      <c r="OQ62" s="637"/>
      <c r="OR62" s="637"/>
      <c r="OS62" s="637"/>
      <c r="OT62" s="637"/>
      <c r="OU62" s="637"/>
      <c r="OV62" s="637"/>
      <c r="OW62" s="637"/>
      <c r="OX62" s="637"/>
      <c r="OY62" s="637"/>
      <c r="OZ62" s="637"/>
      <c r="PA62" s="637"/>
      <c r="PB62" s="637"/>
      <c r="PC62" s="637"/>
      <c r="PD62" s="637"/>
      <c r="PE62" s="637"/>
      <c r="PF62" s="637"/>
      <c r="PG62" s="637"/>
      <c r="PH62" s="637"/>
      <c r="PI62" s="637"/>
      <c r="PJ62" s="637"/>
      <c r="PK62" s="637"/>
      <c r="PL62" s="637"/>
      <c r="PM62" s="637"/>
      <c r="PN62" s="637"/>
      <c r="PO62" s="637"/>
      <c r="PP62" s="637"/>
      <c r="PQ62" s="637"/>
      <c r="PR62" s="637"/>
      <c r="PS62" s="637"/>
      <c r="PT62" s="637"/>
      <c r="PU62" s="637"/>
      <c r="PV62" s="637"/>
      <c r="PW62" s="637"/>
      <c r="PX62" s="637"/>
      <c r="PY62" s="637"/>
      <c r="PZ62" s="637"/>
      <c r="QA62" s="637"/>
      <c r="QB62" s="637"/>
      <c r="QC62" s="637"/>
      <c r="QD62" s="637"/>
      <c r="QE62" s="637"/>
      <c r="QF62" s="637"/>
      <c r="QG62" s="637"/>
      <c r="QH62" s="637"/>
      <c r="QI62" s="637"/>
      <c r="QJ62" s="637"/>
      <c r="QK62" s="637"/>
      <c r="QL62" s="637"/>
      <c r="QM62" s="637"/>
      <c r="QN62" s="637"/>
      <c r="QO62" s="637"/>
      <c r="QP62" s="637"/>
      <c r="QQ62" s="637"/>
      <c r="QR62" s="637"/>
      <c r="QS62" s="637"/>
      <c r="QT62" s="637"/>
      <c r="QU62" s="637"/>
      <c r="QV62" s="637"/>
      <c r="QW62" s="637"/>
      <c r="QX62" s="637"/>
      <c r="QY62" s="637"/>
      <c r="QZ62" s="637"/>
      <c r="RA62" s="637"/>
      <c r="RB62" s="637"/>
      <c r="RC62" s="637"/>
      <c r="RD62" s="637"/>
      <c r="RE62" s="637"/>
      <c r="RF62" s="637"/>
      <c r="RG62" s="637"/>
      <c r="RH62" s="637"/>
      <c r="RI62" s="637"/>
      <c r="RJ62" s="637"/>
      <c r="RK62" s="637"/>
      <c r="RL62" s="637"/>
      <c r="RM62" s="637"/>
      <c r="RN62" s="637"/>
      <c r="RO62" s="637"/>
      <c r="RP62" s="637"/>
      <c r="RQ62" s="637"/>
      <c r="RR62" s="637"/>
      <c r="RS62" s="637"/>
      <c r="RT62" s="637"/>
      <c r="RU62" s="637"/>
      <c r="RV62" s="637"/>
      <c r="RW62" s="637"/>
      <c r="RX62" s="637"/>
      <c r="RY62" s="637"/>
      <c r="RZ62" s="637"/>
      <c r="SA62" s="637"/>
      <c r="SB62" s="637"/>
      <c r="SC62" s="637"/>
      <c r="SD62" s="637"/>
      <c r="SE62" s="637"/>
      <c r="SF62" s="637"/>
      <c r="SG62" s="637"/>
      <c r="SH62" s="637"/>
      <c r="SI62" s="637"/>
      <c r="SJ62" s="637"/>
      <c r="SK62" s="637"/>
      <c r="SL62" s="637"/>
      <c r="SM62" s="637"/>
      <c r="SN62" s="637"/>
      <c r="SO62" s="637"/>
      <c r="SP62" s="637"/>
      <c r="SQ62" s="637"/>
      <c r="SR62" s="637"/>
      <c r="SS62" s="637"/>
      <c r="ST62" s="637"/>
      <c r="SU62" s="637"/>
      <c r="SV62" s="637"/>
      <c r="SW62" s="637"/>
      <c r="SX62" s="637"/>
      <c r="SY62" s="637"/>
      <c r="SZ62" s="637"/>
      <c r="TA62" s="637"/>
      <c r="TB62" s="637"/>
      <c r="TC62" s="637"/>
      <c r="TD62" s="637"/>
      <c r="TE62" s="637"/>
      <c r="TF62" s="637"/>
      <c r="TG62" s="637"/>
      <c r="TH62" s="637"/>
      <c r="TI62" s="637"/>
      <c r="TJ62" s="637"/>
      <c r="TK62" s="637"/>
      <c r="TL62" s="637"/>
      <c r="TM62" s="637"/>
      <c r="TN62" s="637"/>
      <c r="TO62" s="637"/>
      <c r="TP62" s="637"/>
      <c r="TQ62" s="637"/>
      <c r="TR62" s="637"/>
      <c r="TS62" s="637"/>
      <c r="TT62" s="637"/>
      <c r="TU62" s="637"/>
      <c r="TV62" s="637"/>
      <c r="TW62" s="637"/>
      <c r="TX62" s="637"/>
      <c r="TY62" s="637"/>
      <c r="TZ62" s="637"/>
      <c r="UA62" s="637"/>
      <c r="UB62" s="637"/>
      <c r="UC62" s="637"/>
      <c r="UD62" s="637"/>
      <c r="UE62" s="637"/>
      <c r="UF62" s="637"/>
      <c r="UG62" s="637"/>
      <c r="UH62" s="637"/>
      <c r="UI62" s="637"/>
      <c r="UJ62" s="637"/>
      <c r="UK62" s="637"/>
      <c r="UL62" s="637"/>
      <c r="UM62" s="637"/>
      <c r="UN62" s="637"/>
      <c r="UO62" s="637"/>
      <c r="UP62" s="637"/>
      <c r="UQ62" s="637"/>
      <c r="UR62" s="637"/>
      <c r="US62" s="637"/>
      <c r="UT62" s="637"/>
      <c r="UU62" s="637"/>
      <c r="UV62" s="637"/>
      <c r="UW62" s="637"/>
      <c r="UX62" s="637"/>
      <c r="UY62" s="637"/>
      <c r="UZ62" s="637"/>
      <c r="VA62" s="637"/>
      <c r="VB62" s="637"/>
      <c r="VC62" s="637"/>
      <c r="VD62" s="637"/>
      <c r="VE62" s="637"/>
      <c r="VF62" s="637"/>
      <c r="VG62" s="637"/>
      <c r="VH62" s="637"/>
      <c r="VI62" s="637"/>
      <c r="VJ62" s="637"/>
      <c r="VK62" s="637"/>
      <c r="VL62" s="637"/>
      <c r="VM62" s="637"/>
      <c r="VN62" s="637"/>
      <c r="VO62" s="637"/>
      <c r="VP62" s="637"/>
      <c r="VQ62" s="637"/>
      <c r="VR62" s="637"/>
      <c r="VS62" s="637"/>
      <c r="VT62" s="637"/>
      <c r="VU62" s="637"/>
      <c r="VV62" s="637"/>
      <c r="VW62" s="637"/>
      <c r="VX62" s="637"/>
      <c r="VY62" s="637"/>
      <c r="VZ62" s="637"/>
      <c r="WA62" s="637"/>
      <c r="WB62" s="637"/>
      <c r="WC62" s="637"/>
      <c r="WD62" s="637"/>
      <c r="WE62" s="637"/>
      <c r="WF62" s="637"/>
      <c r="WG62" s="637"/>
      <c r="WH62" s="637"/>
      <c r="WI62" s="637"/>
      <c r="WJ62" s="637"/>
      <c r="WK62" s="637"/>
      <c r="WL62" s="637"/>
      <c r="WM62" s="637"/>
      <c r="WN62" s="637"/>
      <c r="WO62" s="637"/>
      <c r="WP62" s="637"/>
      <c r="WQ62" s="637"/>
      <c r="WR62" s="637"/>
      <c r="WS62" s="637"/>
      <c r="WT62" s="637"/>
      <c r="WU62" s="637"/>
      <c r="WV62" s="637"/>
      <c r="WW62" s="637"/>
      <c r="WX62" s="637"/>
      <c r="WY62" s="637"/>
      <c r="WZ62" s="637"/>
      <c r="XA62" s="637"/>
      <c r="XB62" s="637"/>
      <c r="XC62" s="637"/>
      <c r="XD62" s="637"/>
      <c r="XE62" s="637"/>
      <c r="XF62" s="637"/>
      <c r="XG62" s="637"/>
      <c r="XH62" s="637"/>
      <c r="XI62" s="637"/>
      <c r="XJ62" s="637"/>
      <c r="XK62" s="637"/>
      <c r="XL62" s="637"/>
      <c r="XM62" s="637"/>
      <c r="XN62" s="637"/>
      <c r="XO62" s="637"/>
      <c r="XP62" s="637"/>
      <c r="XQ62" s="637"/>
      <c r="XR62" s="637"/>
      <c r="XS62" s="637"/>
      <c r="XT62" s="637"/>
      <c r="XU62" s="637"/>
      <c r="XV62" s="637"/>
      <c r="XW62" s="637"/>
      <c r="XX62" s="637"/>
      <c r="XY62" s="637"/>
      <c r="XZ62" s="637"/>
      <c r="YA62" s="637"/>
      <c r="YB62" s="637"/>
      <c r="YC62" s="637"/>
      <c r="YD62" s="637"/>
      <c r="YE62" s="637"/>
      <c r="YF62" s="637"/>
      <c r="YG62" s="637"/>
      <c r="YH62" s="637"/>
      <c r="YI62" s="637"/>
      <c r="YJ62" s="637"/>
      <c r="YK62" s="637"/>
      <c r="YL62" s="637"/>
      <c r="YM62" s="637"/>
      <c r="YN62" s="637"/>
      <c r="YO62" s="637"/>
      <c r="YP62" s="637"/>
      <c r="YQ62" s="637"/>
      <c r="YR62" s="637"/>
      <c r="YS62" s="637"/>
      <c r="YT62" s="637"/>
      <c r="YU62" s="637"/>
      <c r="YV62" s="637"/>
      <c r="YW62" s="637"/>
      <c r="YX62" s="637"/>
      <c r="YY62" s="637"/>
      <c r="YZ62" s="637"/>
      <c r="ZA62" s="637"/>
      <c r="ZB62" s="637"/>
      <c r="ZC62" s="637"/>
      <c r="ZD62" s="637"/>
      <c r="ZE62" s="637"/>
      <c r="ZF62" s="637"/>
      <c r="ZG62" s="637"/>
      <c r="ZH62" s="637"/>
      <c r="ZI62" s="637"/>
      <c r="ZJ62" s="637"/>
      <c r="ZK62" s="637"/>
      <c r="ZL62" s="637"/>
      <c r="ZM62" s="637"/>
      <c r="ZN62" s="637"/>
      <c r="ZO62" s="637"/>
      <c r="ZP62" s="637"/>
      <c r="ZQ62" s="637"/>
      <c r="ZR62" s="637"/>
      <c r="ZS62" s="637"/>
      <c r="ZT62" s="637"/>
      <c r="ZU62" s="637"/>
      <c r="ZV62" s="637"/>
      <c r="ZW62" s="637"/>
      <c r="ZX62" s="637"/>
      <c r="ZY62" s="637"/>
      <c r="ZZ62" s="637"/>
      <c r="AAA62" s="637"/>
      <c r="AAB62" s="637"/>
      <c r="AAC62" s="637"/>
      <c r="AAD62" s="637"/>
      <c r="AAE62" s="637"/>
      <c r="AAF62" s="637"/>
      <c r="AAG62" s="637"/>
      <c r="AAH62" s="637"/>
      <c r="AAI62" s="637"/>
      <c r="AAJ62" s="637"/>
      <c r="AAK62" s="637"/>
      <c r="AAL62" s="637"/>
      <c r="AAM62" s="637"/>
      <c r="AAN62" s="637"/>
      <c r="AAO62" s="637"/>
      <c r="AAP62" s="637"/>
      <c r="AAQ62" s="637"/>
      <c r="AAR62" s="637"/>
      <c r="AAS62" s="637"/>
      <c r="AAT62" s="637"/>
      <c r="AAU62" s="637"/>
      <c r="AAV62" s="637"/>
      <c r="AAW62" s="637"/>
      <c r="AAX62" s="637"/>
      <c r="AAY62" s="637"/>
      <c r="AAZ62" s="637"/>
      <c r="ABA62" s="637"/>
      <c r="ABB62" s="637"/>
      <c r="ABC62" s="637"/>
      <c r="ABD62" s="637"/>
      <c r="ABE62" s="637"/>
      <c r="ABF62" s="637"/>
      <c r="ABG62" s="637"/>
      <c r="ABH62" s="637"/>
      <c r="ABI62" s="637"/>
      <c r="ABJ62" s="637"/>
      <c r="ABK62" s="637"/>
      <c r="ABL62" s="637"/>
      <c r="ABM62" s="637"/>
      <c r="ABN62" s="637"/>
      <c r="ABO62" s="637"/>
      <c r="ABP62" s="637"/>
      <c r="ABQ62" s="637"/>
      <c r="ABR62" s="637"/>
      <c r="ABS62" s="637"/>
      <c r="ABT62" s="637"/>
      <c r="ABU62" s="637"/>
      <c r="ABV62" s="637"/>
      <c r="ABW62" s="637"/>
      <c r="ABX62" s="637"/>
      <c r="ABY62" s="637"/>
      <c r="ABZ62" s="637"/>
      <c r="ACA62" s="637"/>
      <c r="ACB62" s="637"/>
      <c r="ACC62" s="637"/>
      <c r="ACD62" s="637"/>
      <c r="ACE62" s="637"/>
      <c r="ACF62" s="637"/>
      <c r="ACG62" s="637"/>
      <c r="ACH62" s="637"/>
      <c r="ACI62" s="637"/>
      <c r="ACJ62" s="637"/>
      <c r="ACK62" s="637"/>
      <c r="ACL62" s="637"/>
      <c r="ACM62" s="637"/>
      <c r="ACN62" s="637"/>
      <c r="ACO62" s="637"/>
      <c r="ACP62" s="637"/>
      <c r="ACQ62" s="637"/>
      <c r="ACR62" s="637"/>
      <c r="ACS62" s="637"/>
      <c r="ACT62" s="637"/>
      <c r="ACU62" s="637"/>
      <c r="ACV62" s="637"/>
      <c r="ACW62" s="637"/>
      <c r="ACX62" s="637"/>
      <c r="ACY62" s="637"/>
      <c r="ACZ62" s="637"/>
      <c r="ADA62" s="637"/>
      <c r="ADB62" s="637"/>
      <c r="ADC62" s="637"/>
      <c r="ADD62" s="637"/>
      <c r="ADE62" s="637"/>
      <c r="ADF62" s="637"/>
      <c r="ADG62" s="637"/>
      <c r="ADH62" s="637"/>
      <c r="ADI62" s="637"/>
      <c r="ADJ62" s="637"/>
      <c r="ADK62" s="637"/>
      <c r="ADL62" s="637"/>
      <c r="ADM62" s="637"/>
      <c r="ADN62" s="637"/>
      <c r="ADO62" s="637"/>
      <c r="ADP62" s="637"/>
      <c r="ADQ62" s="637"/>
      <c r="ADR62" s="637"/>
      <c r="ADS62" s="637"/>
      <c r="ADT62" s="637"/>
      <c r="ADU62" s="637"/>
      <c r="ADV62" s="637"/>
      <c r="ADW62" s="637"/>
      <c r="ADX62" s="637"/>
      <c r="ADY62" s="637"/>
      <c r="ADZ62" s="637"/>
      <c r="AEA62" s="637"/>
      <c r="AEB62" s="637"/>
      <c r="AEC62" s="637"/>
      <c r="AED62" s="637"/>
      <c r="AEE62" s="637"/>
      <c r="AEF62" s="637"/>
      <c r="AEG62" s="637"/>
      <c r="AEH62" s="637"/>
      <c r="AEI62" s="637"/>
      <c r="AEJ62" s="637"/>
      <c r="AEK62" s="637"/>
      <c r="AEL62" s="637"/>
      <c r="AEM62" s="637"/>
      <c r="AEN62" s="637"/>
      <c r="AEO62" s="637"/>
      <c r="AEP62" s="637"/>
      <c r="AEQ62" s="637"/>
      <c r="AER62" s="637"/>
      <c r="AES62" s="637"/>
      <c r="AET62" s="637"/>
      <c r="AEU62" s="637"/>
      <c r="AEV62" s="637"/>
      <c r="AEW62" s="637"/>
      <c r="AEX62" s="637"/>
      <c r="AEY62" s="637"/>
      <c r="AEZ62" s="637"/>
      <c r="AFA62" s="637"/>
      <c r="AFB62" s="637"/>
      <c r="AFC62" s="637"/>
      <c r="AFD62" s="637"/>
      <c r="AFE62" s="637"/>
      <c r="AFF62" s="637"/>
      <c r="AFG62" s="637"/>
      <c r="AFH62" s="637"/>
      <c r="AFI62" s="637"/>
      <c r="AFJ62" s="637"/>
      <c r="AFK62" s="637"/>
      <c r="AFL62" s="637"/>
      <c r="AFM62" s="637"/>
      <c r="AFN62" s="637"/>
      <c r="AFO62" s="637"/>
      <c r="AFP62" s="637"/>
      <c r="AFQ62" s="637"/>
      <c r="AFR62" s="637"/>
      <c r="AFS62" s="637"/>
      <c r="AFT62" s="637"/>
      <c r="AFU62" s="637"/>
      <c r="AFV62" s="637"/>
      <c r="AFW62" s="637"/>
      <c r="AFX62" s="637"/>
      <c r="AFY62" s="637"/>
      <c r="AFZ62" s="637"/>
      <c r="AGA62" s="637"/>
      <c r="AGB62" s="637"/>
      <c r="AGC62" s="637"/>
      <c r="AGD62" s="637"/>
      <c r="AGE62" s="637"/>
      <c r="AGF62" s="637"/>
      <c r="AGG62" s="637"/>
      <c r="AGH62" s="637"/>
      <c r="AGI62" s="637"/>
      <c r="AGJ62" s="637"/>
      <c r="AGK62" s="637"/>
      <c r="AGL62" s="637"/>
      <c r="AGM62" s="637"/>
      <c r="AGN62" s="637"/>
      <c r="AGO62" s="637"/>
      <c r="AGP62" s="637"/>
      <c r="AGQ62" s="637"/>
      <c r="AGR62" s="637"/>
      <c r="AGS62" s="637"/>
      <c r="AGT62" s="637"/>
      <c r="AGU62" s="637"/>
      <c r="AGV62" s="637"/>
      <c r="AGW62" s="637"/>
      <c r="AGX62" s="637"/>
      <c r="AGY62" s="637"/>
      <c r="AGZ62" s="637"/>
      <c r="AHA62" s="637"/>
      <c r="AHB62" s="637"/>
      <c r="AHC62" s="637"/>
      <c r="AHD62" s="637"/>
      <c r="AHE62" s="637"/>
      <c r="AHF62" s="637"/>
      <c r="AHG62" s="637"/>
      <c r="AHH62" s="637"/>
      <c r="AHI62" s="637"/>
      <c r="AHJ62" s="637"/>
      <c r="AHK62" s="637"/>
      <c r="AHL62" s="637"/>
      <c r="AHM62" s="637"/>
      <c r="AHN62" s="637"/>
      <c r="AHO62" s="637"/>
      <c r="AHP62" s="637"/>
      <c r="AHQ62" s="637"/>
      <c r="AHR62" s="637"/>
      <c r="AHS62" s="637"/>
      <c r="AHT62" s="637"/>
      <c r="AHU62" s="637"/>
      <c r="AHV62" s="637"/>
      <c r="AHW62" s="637"/>
      <c r="AHX62" s="637"/>
      <c r="AHY62" s="637"/>
      <c r="AHZ62" s="637"/>
      <c r="AIA62" s="637"/>
      <c r="AIB62" s="637"/>
      <c r="AIC62" s="637"/>
      <c r="AID62" s="637"/>
      <c r="AIE62" s="637"/>
      <c r="AIF62" s="637"/>
      <c r="AIG62" s="637"/>
      <c r="AIH62" s="637"/>
      <c r="AII62" s="637"/>
      <c r="AIJ62" s="637"/>
      <c r="AIK62" s="637"/>
      <c r="AIL62" s="637"/>
      <c r="AIM62" s="637"/>
      <c r="AIN62" s="637"/>
      <c r="AIO62" s="637"/>
      <c r="AIP62" s="637"/>
      <c r="AIQ62" s="637"/>
      <c r="AIR62" s="637"/>
      <c r="AIS62" s="637"/>
      <c r="AIT62" s="637"/>
      <c r="AIU62" s="637"/>
      <c r="AIV62" s="637"/>
      <c r="AIW62" s="637"/>
      <c r="AIX62" s="637"/>
      <c r="AIY62" s="637"/>
      <c r="AIZ62" s="637"/>
      <c r="AJA62" s="637"/>
      <c r="AJB62" s="637"/>
      <c r="AJC62" s="637"/>
      <c r="AJD62" s="637"/>
      <c r="AJE62" s="637"/>
      <c r="AJF62" s="637"/>
      <c r="AJG62" s="637"/>
      <c r="AJH62" s="637"/>
      <c r="AJI62" s="637"/>
      <c r="AJJ62" s="637"/>
      <c r="AJK62" s="637"/>
      <c r="AJL62" s="637"/>
      <c r="AJM62" s="637"/>
      <c r="AJN62" s="637"/>
      <c r="AJO62" s="637"/>
      <c r="AJP62" s="637"/>
      <c r="AJQ62" s="637"/>
      <c r="AJR62" s="637"/>
      <c r="AJS62" s="637"/>
      <c r="AJT62" s="637"/>
      <c r="AJU62" s="637"/>
      <c r="AJV62" s="637"/>
      <c r="AJW62" s="637"/>
      <c r="AJX62" s="637"/>
      <c r="AJY62" s="637"/>
      <c r="AJZ62" s="637"/>
      <c r="AKA62" s="637"/>
      <c r="AKB62" s="637"/>
      <c r="AKC62" s="637"/>
      <c r="AKD62" s="637"/>
      <c r="AKE62" s="637"/>
      <c r="AKF62" s="637"/>
      <c r="AKG62" s="637"/>
      <c r="AKH62" s="637"/>
      <c r="AKI62" s="637"/>
      <c r="AKJ62" s="637"/>
      <c r="AKK62" s="637"/>
      <c r="AKL62" s="637"/>
      <c r="AKM62" s="637"/>
      <c r="AKN62" s="637"/>
      <c r="AKO62" s="637"/>
      <c r="AKP62" s="637"/>
      <c r="AKQ62" s="637"/>
      <c r="AKR62" s="637"/>
      <c r="AKS62" s="637"/>
      <c r="AKT62" s="637"/>
      <c r="AKU62" s="637"/>
      <c r="AKV62" s="637"/>
      <c r="AKW62" s="637"/>
      <c r="AKX62" s="637"/>
      <c r="AKY62" s="637"/>
      <c r="AKZ62" s="637"/>
      <c r="ALA62" s="637"/>
      <c r="ALB62" s="637"/>
      <c r="ALC62" s="637"/>
      <c r="ALD62" s="637"/>
      <c r="ALE62" s="637"/>
      <c r="ALF62" s="637"/>
      <c r="ALG62" s="637"/>
      <c r="ALH62" s="637"/>
      <c r="ALI62" s="637"/>
      <c r="ALJ62" s="637"/>
      <c r="ALK62" s="637"/>
      <c r="ALL62" s="637"/>
      <c r="ALM62" s="637"/>
      <c r="ALN62" s="637"/>
      <c r="ALO62" s="637"/>
      <c r="ALP62" s="637"/>
      <c r="ALQ62" s="637"/>
      <c r="ALR62" s="637"/>
      <c r="ALS62" s="637"/>
      <c r="ALT62" s="637"/>
      <c r="ALU62" s="637"/>
      <c r="ALV62" s="637"/>
      <c r="ALW62" s="637"/>
      <c r="ALX62" s="637"/>
      <c r="ALY62" s="637"/>
      <c r="ALZ62" s="637"/>
      <c r="AMA62" s="637"/>
      <c r="AMB62" s="637"/>
      <c r="AMC62" s="637"/>
      <c r="AMD62" s="637"/>
      <c r="AME62" s="637"/>
      <c r="AMF62" s="637"/>
      <c r="AMG62" s="637"/>
      <c r="AMH62" s="637"/>
      <c r="AMI62" s="637"/>
      <c r="AMJ62" s="637"/>
    </row>
    <row r="63" spans="1:1024" s="638" customFormat="1" ht="12.75" hidden="1">
      <c r="A63" s="984"/>
      <c r="B63" s="985"/>
      <c r="C63" s="986"/>
      <c r="D63" s="988"/>
      <c r="E63" s="989"/>
      <c r="F63" s="989">
        <v>10</v>
      </c>
      <c r="G63" s="990"/>
      <c r="H63" s="990"/>
      <c r="I63" s="990"/>
      <c r="J63" s="990"/>
      <c r="K63" s="990">
        <v>10</v>
      </c>
      <c r="L63" s="990"/>
      <c r="M63" s="990"/>
      <c r="N63" s="990"/>
      <c r="O63" s="990"/>
      <c r="P63" s="990"/>
      <c r="Q63" s="990"/>
      <c r="R63" s="991"/>
      <c r="S63" s="637"/>
      <c r="T63" s="637"/>
      <c r="U63" s="637"/>
      <c r="V63" s="637"/>
      <c r="W63" s="637"/>
      <c r="X63" s="637"/>
      <c r="Y63" s="637"/>
      <c r="Z63" s="637"/>
      <c r="AA63" s="637"/>
      <c r="AB63" s="637"/>
      <c r="AC63" s="637"/>
      <c r="AD63" s="637"/>
      <c r="AE63" s="637"/>
      <c r="AF63" s="637"/>
      <c r="AG63" s="637"/>
      <c r="AH63" s="637"/>
      <c r="AI63" s="637"/>
      <c r="AJ63" s="637"/>
      <c r="AK63" s="637"/>
      <c r="AL63" s="637"/>
      <c r="AM63" s="637"/>
      <c r="AN63" s="637"/>
      <c r="AO63" s="637"/>
      <c r="AP63" s="637"/>
      <c r="AQ63" s="637"/>
      <c r="AR63" s="637"/>
      <c r="AS63" s="637"/>
      <c r="AT63" s="637"/>
      <c r="AU63" s="637"/>
      <c r="AV63" s="637"/>
      <c r="AW63" s="637"/>
      <c r="AX63" s="637"/>
      <c r="AY63" s="637"/>
      <c r="AZ63" s="637"/>
      <c r="BA63" s="637"/>
      <c r="BB63" s="637"/>
      <c r="BC63" s="637"/>
      <c r="BD63" s="637"/>
      <c r="BE63" s="637"/>
      <c r="BF63" s="637"/>
      <c r="BG63" s="637"/>
      <c r="BH63" s="637"/>
      <c r="BI63" s="637"/>
      <c r="BJ63" s="637"/>
      <c r="BK63" s="637"/>
      <c r="BL63" s="637"/>
      <c r="BM63" s="637"/>
      <c r="BN63" s="637"/>
      <c r="BO63" s="637"/>
      <c r="BP63" s="637"/>
      <c r="BQ63" s="637"/>
      <c r="BR63" s="637"/>
      <c r="BS63" s="637"/>
      <c r="BT63" s="637"/>
      <c r="BU63" s="637"/>
      <c r="BV63" s="637"/>
      <c r="BW63" s="637"/>
      <c r="BX63" s="637"/>
      <c r="BY63" s="637"/>
      <c r="BZ63" s="637"/>
      <c r="CA63" s="637"/>
      <c r="CB63" s="637"/>
      <c r="CC63" s="637"/>
      <c r="CD63" s="637"/>
      <c r="CE63" s="637"/>
      <c r="CF63" s="637"/>
      <c r="CG63" s="637"/>
      <c r="CH63" s="637"/>
      <c r="CI63" s="637"/>
      <c r="CJ63" s="637"/>
      <c r="CK63" s="637"/>
      <c r="CL63" s="637"/>
      <c r="CM63" s="637"/>
      <c r="CN63" s="637"/>
      <c r="CO63" s="637"/>
      <c r="CP63" s="637"/>
      <c r="CQ63" s="637"/>
      <c r="CR63" s="637"/>
      <c r="CS63" s="637"/>
      <c r="CT63" s="637"/>
      <c r="CU63" s="637"/>
      <c r="CV63" s="637"/>
      <c r="CW63" s="637"/>
      <c r="CX63" s="637"/>
      <c r="CY63" s="637"/>
      <c r="CZ63" s="637"/>
      <c r="DA63" s="637"/>
      <c r="DB63" s="637"/>
      <c r="DC63" s="637"/>
      <c r="DD63" s="637"/>
      <c r="DE63" s="637"/>
      <c r="DF63" s="637"/>
      <c r="DG63" s="637"/>
      <c r="DH63" s="637"/>
      <c r="DI63" s="637"/>
      <c r="DJ63" s="637"/>
      <c r="DK63" s="637"/>
      <c r="DL63" s="637"/>
      <c r="DM63" s="637"/>
      <c r="DN63" s="637"/>
      <c r="DO63" s="637"/>
      <c r="DP63" s="637"/>
      <c r="DQ63" s="637"/>
      <c r="DR63" s="637"/>
      <c r="DS63" s="637"/>
      <c r="DT63" s="637"/>
      <c r="DU63" s="637"/>
      <c r="DV63" s="637"/>
      <c r="DW63" s="637"/>
      <c r="DX63" s="637"/>
      <c r="DY63" s="637"/>
      <c r="DZ63" s="637"/>
      <c r="EA63" s="637"/>
      <c r="EB63" s="637"/>
      <c r="EC63" s="637"/>
      <c r="ED63" s="637"/>
      <c r="EE63" s="637"/>
      <c r="EF63" s="637"/>
      <c r="EG63" s="637"/>
      <c r="EH63" s="637"/>
      <c r="EI63" s="637"/>
      <c r="EJ63" s="637"/>
      <c r="EK63" s="637"/>
      <c r="EL63" s="637"/>
      <c r="EM63" s="637"/>
      <c r="EN63" s="637"/>
      <c r="EO63" s="637"/>
      <c r="EP63" s="637"/>
      <c r="EQ63" s="637"/>
      <c r="ER63" s="637"/>
      <c r="ES63" s="637"/>
      <c r="ET63" s="637"/>
      <c r="EU63" s="637"/>
      <c r="EV63" s="637"/>
      <c r="EW63" s="637"/>
      <c r="EX63" s="637"/>
      <c r="EY63" s="637"/>
      <c r="EZ63" s="637"/>
      <c r="FA63" s="637"/>
      <c r="FB63" s="637"/>
      <c r="FC63" s="637"/>
      <c r="FD63" s="637"/>
      <c r="FE63" s="637"/>
      <c r="FF63" s="637"/>
      <c r="FG63" s="637"/>
      <c r="FH63" s="637"/>
      <c r="FI63" s="637"/>
      <c r="FJ63" s="637"/>
      <c r="FK63" s="637"/>
      <c r="FL63" s="637"/>
      <c r="FM63" s="637"/>
      <c r="FN63" s="637"/>
      <c r="FO63" s="637"/>
      <c r="FP63" s="637"/>
      <c r="FQ63" s="637"/>
      <c r="FR63" s="637"/>
      <c r="FS63" s="637"/>
      <c r="FT63" s="637"/>
      <c r="FU63" s="637"/>
      <c r="FV63" s="637"/>
      <c r="FW63" s="637"/>
      <c r="FX63" s="637"/>
      <c r="FY63" s="637"/>
      <c r="FZ63" s="637"/>
      <c r="GA63" s="637"/>
      <c r="GB63" s="637"/>
      <c r="GC63" s="637"/>
      <c r="GD63" s="637"/>
      <c r="GE63" s="637"/>
      <c r="GF63" s="637"/>
      <c r="GG63" s="637"/>
      <c r="GH63" s="637"/>
      <c r="GI63" s="637"/>
      <c r="GJ63" s="637"/>
      <c r="GK63" s="637"/>
      <c r="GL63" s="637"/>
      <c r="GM63" s="637"/>
      <c r="GN63" s="637"/>
      <c r="GO63" s="637"/>
      <c r="GP63" s="637"/>
      <c r="GQ63" s="637"/>
      <c r="GR63" s="637"/>
      <c r="GS63" s="637"/>
      <c r="GT63" s="637"/>
      <c r="GU63" s="637"/>
      <c r="GV63" s="637"/>
      <c r="GW63" s="637"/>
      <c r="GX63" s="637"/>
      <c r="GY63" s="637"/>
      <c r="GZ63" s="637"/>
      <c r="HA63" s="637"/>
      <c r="HB63" s="637"/>
      <c r="HC63" s="637"/>
      <c r="HD63" s="637"/>
      <c r="HE63" s="637"/>
      <c r="HF63" s="637"/>
      <c r="HG63" s="637"/>
      <c r="HH63" s="637"/>
      <c r="HI63" s="637"/>
      <c r="HJ63" s="637"/>
      <c r="HK63" s="637"/>
      <c r="HL63" s="637"/>
      <c r="HM63" s="637"/>
      <c r="HN63" s="637"/>
      <c r="HO63" s="637"/>
      <c r="HP63" s="637"/>
      <c r="HQ63" s="637"/>
      <c r="HR63" s="637"/>
      <c r="HS63" s="637"/>
      <c r="HT63" s="637"/>
      <c r="HU63" s="637"/>
      <c r="HV63" s="637"/>
      <c r="HW63" s="637"/>
      <c r="HX63" s="637"/>
      <c r="HY63" s="637"/>
      <c r="HZ63" s="637"/>
      <c r="IA63" s="637"/>
      <c r="IB63" s="637"/>
      <c r="IC63" s="637"/>
      <c r="ID63" s="637"/>
      <c r="IE63" s="637"/>
      <c r="IF63" s="637"/>
      <c r="IG63" s="637"/>
      <c r="IH63" s="637"/>
      <c r="II63" s="637"/>
      <c r="IJ63" s="637"/>
      <c r="IK63" s="637"/>
      <c r="IL63" s="637"/>
      <c r="IM63" s="637"/>
      <c r="IN63" s="637"/>
      <c r="IO63" s="637"/>
      <c r="IP63" s="637"/>
      <c r="IQ63" s="637"/>
      <c r="IR63" s="637"/>
      <c r="IS63" s="637"/>
      <c r="IT63" s="637"/>
      <c r="IU63" s="637"/>
      <c r="IV63" s="637"/>
      <c r="IW63" s="637"/>
      <c r="IX63" s="637"/>
      <c r="IY63" s="637"/>
      <c r="IZ63" s="637"/>
      <c r="JA63" s="637"/>
      <c r="JB63" s="637"/>
      <c r="JC63" s="637"/>
      <c r="JD63" s="637"/>
      <c r="JE63" s="637"/>
      <c r="JF63" s="637"/>
      <c r="JG63" s="637"/>
      <c r="JH63" s="637"/>
      <c r="JI63" s="637"/>
      <c r="JJ63" s="637"/>
      <c r="JK63" s="637"/>
      <c r="JL63" s="637"/>
      <c r="JM63" s="637"/>
      <c r="JN63" s="637"/>
      <c r="JO63" s="637"/>
      <c r="JP63" s="637"/>
      <c r="JQ63" s="637"/>
      <c r="JR63" s="637"/>
      <c r="JS63" s="637"/>
      <c r="JT63" s="637"/>
      <c r="JU63" s="637"/>
      <c r="JV63" s="637"/>
      <c r="JW63" s="637"/>
      <c r="JX63" s="637"/>
      <c r="JY63" s="637"/>
      <c r="JZ63" s="637"/>
      <c r="KA63" s="637"/>
      <c r="KB63" s="637"/>
      <c r="KC63" s="637"/>
      <c r="KD63" s="637"/>
      <c r="KE63" s="637"/>
      <c r="KF63" s="637"/>
      <c r="KG63" s="637"/>
      <c r="KH63" s="637"/>
      <c r="KI63" s="637"/>
      <c r="KJ63" s="637"/>
      <c r="KK63" s="637"/>
      <c r="KL63" s="637"/>
      <c r="KM63" s="637"/>
      <c r="KN63" s="637"/>
      <c r="KO63" s="637"/>
      <c r="KP63" s="637"/>
      <c r="KQ63" s="637"/>
      <c r="KR63" s="637"/>
      <c r="KS63" s="637"/>
      <c r="KT63" s="637"/>
      <c r="KU63" s="637"/>
      <c r="KV63" s="637"/>
      <c r="KW63" s="637"/>
      <c r="KX63" s="637"/>
      <c r="KY63" s="637"/>
      <c r="KZ63" s="637"/>
      <c r="LA63" s="637"/>
      <c r="LB63" s="637"/>
      <c r="LC63" s="637"/>
      <c r="LD63" s="637"/>
      <c r="LE63" s="637"/>
      <c r="LF63" s="637"/>
      <c r="LG63" s="637"/>
      <c r="LH63" s="637"/>
      <c r="LI63" s="637"/>
      <c r="LJ63" s="637"/>
      <c r="LK63" s="637"/>
      <c r="LL63" s="637"/>
      <c r="LM63" s="637"/>
      <c r="LN63" s="637"/>
      <c r="LO63" s="637"/>
      <c r="LP63" s="637"/>
      <c r="LQ63" s="637"/>
      <c r="LR63" s="637"/>
      <c r="LS63" s="637"/>
      <c r="LT63" s="637"/>
      <c r="LU63" s="637"/>
      <c r="LV63" s="637"/>
      <c r="LW63" s="637"/>
      <c r="LX63" s="637"/>
      <c r="LY63" s="637"/>
      <c r="LZ63" s="637"/>
      <c r="MA63" s="637"/>
      <c r="MB63" s="637"/>
      <c r="MC63" s="637"/>
      <c r="MD63" s="637"/>
      <c r="ME63" s="637"/>
      <c r="MF63" s="637"/>
      <c r="MG63" s="637"/>
      <c r="MH63" s="637"/>
      <c r="MI63" s="637"/>
      <c r="MJ63" s="637"/>
      <c r="MK63" s="637"/>
      <c r="ML63" s="637"/>
      <c r="MM63" s="637"/>
      <c r="MN63" s="637"/>
      <c r="MO63" s="637"/>
      <c r="MP63" s="637"/>
      <c r="MQ63" s="637"/>
      <c r="MR63" s="637"/>
      <c r="MS63" s="637"/>
      <c r="MT63" s="637"/>
      <c r="MU63" s="637"/>
      <c r="MV63" s="637"/>
      <c r="MW63" s="637"/>
      <c r="MX63" s="637"/>
      <c r="MY63" s="637"/>
      <c r="MZ63" s="637"/>
      <c r="NA63" s="637"/>
      <c r="NB63" s="637"/>
      <c r="NC63" s="637"/>
      <c r="ND63" s="637"/>
      <c r="NE63" s="637"/>
      <c r="NF63" s="637"/>
      <c r="NG63" s="637"/>
      <c r="NH63" s="637"/>
      <c r="NI63" s="637"/>
      <c r="NJ63" s="637"/>
      <c r="NK63" s="637"/>
      <c r="NL63" s="637"/>
      <c r="NM63" s="637"/>
      <c r="NN63" s="637"/>
      <c r="NO63" s="637"/>
      <c r="NP63" s="637"/>
      <c r="NQ63" s="637"/>
      <c r="NR63" s="637"/>
      <c r="NS63" s="637"/>
      <c r="NT63" s="637"/>
      <c r="NU63" s="637"/>
      <c r="NV63" s="637"/>
      <c r="NW63" s="637"/>
      <c r="NX63" s="637"/>
      <c r="NY63" s="637"/>
      <c r="NZ63" s="637"/>
      <c r="OA63" s="637"/>
      <c r="OB63" s="637"/>
      <c r="OC63" s="637"/>
      <c r="OD63" s="637"/>
      <c r="OE63" s="637"/>
      <c r="OF63" s="637"/>
      <c r="OG63" s="637"/>
      <c r="OH63" s="637"/>
      <c r="OI63" s="637"/>
      <c r="OJ63" s="637"/>
      <c r="OK63" s="637"/>
      <c r="OL63" s="637"/>
      <c r="OM63" s="637"/>
      <c r="ON63" s="637"/>
      <c r="OO63" s="637"/>
      <c r="OP63" s="637"/>
      <c r="OQ63" s="637"/>
      <c r="OR63" s="637"/>
      <c r="OS63" s="637"/>
      <c r="OT63" s="637"/>
      <c r="OU63" s="637"/>
      <c r="OV63" s="637"/>
      <c r="OW63" s="637"/>
      <c r="OX63" s="637"/>
      <c r="OY63" s="637"/>
      <c r="OZ63" s="637"/>
      <c r="PA63" s="637"/>
      <c r="PB63" s="637"/>
      <c r="PC63" s="637"/>
      <c r="PD63" s="637"/>
      <c r="PE63" s="637"/>
      <c r="PF63" s="637"/>
      <c r="PG63" s="637"/>
      <c r="PH63" s="637"/>
      <c r="PI63" s="637"/>
      <c r="PJ63" s="637"/>
      <c r="PK63" s="637"/>
      <c r="PL63" s="637"/>
      <c r="PM63" s="637"/>
      <c r="PN63" s="637"/>
      <c r="PO63" s="637"/>
      <c r="PP63" s="637"/>
      <c r="PQ63" s="637"/>
      <c r="PR63" s="637"/>
      <c r="PS63" s="637"/>
      <c r="PT63" s="637"/>
      <c r="PU63" s="637"/>
      <c r="PV63" s="637"/>
      <c r="PW63" s="637"/>
      <c r="PX63" s="637"/>
      <c r="PY63" s="637"/>
      <c r="PZ63" s="637"/>
      <c r="QA63" s="637"/>
      <c r="QB63" s="637"/>
      <c r="QC63" s="637"/>
      <c r="QD63" s="637"/>
      <c r="QE63" s="637"/>
      <c r="QF63" s="637"/>
      <c r="QG63" s="637"/>
      <c r="QH63" s="637"/>
      <c r="QI63" s="637"/>
      <c r="QJ63" s="637"/>
      <c r="QK63" s="637"/>
      <c r="QL63" s="637"/>
      <c r="QM63" s="637"/>
      <c r="QN63" s="637"/>
      <c r="QO63" s="637"/>
      <c r="QP63" s="637"/>
      <c r="QQ63" s="637"/>
      <c r="QR63" s="637"/>
      <c r="QS63" s="637"/>
      <c r="QT63" s="637"/>
      <c r="QU63" s="637"/>
      <c r="QV63" s="637"/>
      <c r="QW63" s="637"/>
      <c r="QX63" s="637"/>
      <c r="QY63" s="637"/>
      <c r="QZ63" s="637"/>
      <c r="RA63" s="637"/>
      <c r="RB63" s="637"/>
      <c r="RC63" s="637"/>
      <c r="RD63" s="637"/>
      <c r="RE63" s="637"/>
      <c r="RF63" s="637"/>
      <c r="RG63" s="637"/>
      <c r="RH63" s="637"/>
      <c r="RI63" s="637"/>
      <c r="RJ63" s="637"/>
      <c r="RK63" s="637"/>
      <c r="RL63" s="637"/>
      <c r="RM63" s="637"/>
      <c r="RN63" s="637"/>
      <c r="RO63" s="637"/>
      <c r="RP63" s="637"/>
      <c r="RQ63" s="637"/>
      <c r="RR63" s="637"/>
      <c r="RS63" s="637"/>
      <c r="RT63" s="637"/>
      <c r="RU63" s="637"/>
      <c r="RV63" s="637"/>
      <c r="RW63" s="637"/>
      <c r="RX63" s="637"/>
      <c r="RY63" s="637"/>
      <c r="RZ63" s="637"/>
      <c r="SA63" s="637"/>
      <c r="SB63" s="637"/>
      <c r="SC63" s="637"/>
      <c r="SD63" s="637"/>
      <c r="SE63" s="637"/>
      <c r="SF63" s="637"/>
      <c r="SG63" s="637"/>
      <c r="SH63" s="637"/>
      <c r="SI63" s="637"/>
      <c r="SJ63" s="637"/>
      <c r="SK63" s="637"/>
      <c r="SL63" s="637"/>
      <c r="SM63" s="637"/>
      <c r="SN63" s="637"/>
      <c r="SO63" s="637"/>
      <c r="SP63" s="637"/>
      <c r="SQ63" s="637"/>
      <c r="SR63" s="637"/>
      <c r="SS63" s="637"/>
      <c r="ST63" s="637"/>
      <c r="SU63" s="637"/>
      <c r="SV63" s="637"/>
      <c r="SW63" s="637"/>
      <c r="SX63" s="637"/>
      <c r="SY63" s="637"/>
      <c r="SZ63" s="637"/>
      <c r="TA63" s="637"/>
      <c r="TB63" s="637"/>
      <c r="TC63" s="637"/>
      <c r="TD63" s="637"/>
      <c r="TE63" s="637"/>
      <c r="TF63" s="637"/>
      <c r="TG63" s="637"/>
      <c r="TH63" s="637"/>
      <c r="TI63" s="637"/>
      <c r="TJ63" s="637"/>
      <c r="TK63" s="637"/>
      <c r="TL63" s="637"/>
      <c r="TM63" s="637"/>
      <c r="TN63" s="637"/>
      <c r="TO63" s="637"/>
      <c r="TP63" s="637"/>
      <c r="TQ63" s="637"/>
      <c r="TR63" s="637"/>
      <c r="TS63" s="637"/>
      <c r="TT63" s="637"/>
      <c r="TU63" s="637"/>
      <c r="TV63" s="637"/>
      <c r="TW63" s="637"/>
      <c r="TX63" s="637"/>
      <c r="TY63" s="637"/>
      <c r="TZ63" s="637"/>
      <c r="UA63" s="637"/>
      <c r="UB63" s="637"/>
      <c r="UC63" s="637"/>
      <c r="UD63" s="637"/>
      <c r="UE63" s="637"/>
      <c r="UF63" s="637"/>
      <c r="UG63" s="637"/>
      <c r="UH63" s="637"/>
      <c r="UI63" s="637"/>
      <c r="UJ63" s="637"/>
      <c r="UK63" s="637"/>
      <c r="UL63" s="637"/>
      <c r="UM63" s="637"/>
      <c r="UN63" s="637"/>
      <c r="UO63" s="637"/>
      <c r="UP63" s="637"/>
      <c r="UQ63" s="637"/>
      <c r="UR63" s="637"/>
      <c r="US63" s="637"/>
      <c r="UT63" s="637"/>
      <c r="UU63" s="637"/>
      <c r="UV63" s="637"/>
      <c r="UW63" s="637"/>
      <c r="UX63" s="637"/>
      <c r="UY63" s="637"/>
      <c r="UZ63" s="637"/>
      <c r="VA63" s="637"/>
      <c r="VB63" s="637"/>
      <c r="VC63" s="637"/>
      <c r="VD63" s="637"/>
      <c r="VE63" s="637"/>
      <c r="VF63" s="637"/>
      <c r="VG63" s="637"/>
      <c r="VH63" s="637"/>
      <c r="VI63" s="637"/>
      <c r="VJ63" s="637"/>
      <c r="VK63" s="637"/>
      <c r="VL63" s="637"/>
      <c r="VM63" s="637"/>
      <c r="VN63" s="637"/>
      <c r="VO63" s="637"/>
      <c r="VP63" s="637"/>
      <c r="VQ63" s="637"/>
      <c r="VR63" s="637"/>
      <c r="VS63" s="637"/>
      <c r="VT63" s="637"/>
      <c r="VU63" s="637"/>
      <c r="VV63" s="637"/>
      <c r="VW63" s="637"/>
      <c r="VX63" s="637"/>
      <c r="VY63" s="637"/>
      <c r="VZ63" s="637"/>
      <c r="WA63" s="637"/>
      <c r="WB63" s="637"/>
      <c r="WC63" s="637"/>
      <c r="WD63" s="637"/>
      <c r="WE63" s="637"/>
      <c r="WF63" s="637"/>
      <c r="WG63" s="637"/>
      <c r="WH63" s="637"/>
      <c r="WI63" s="637"/>
      <c r="WJ63" s="637"/>
      <c r="WK63" s="637"/>
      <c r="WL63" s="637"/>
      <c r="WM63" s="637"/>
      <c r="WN63" s="637"/>
      <c r="WO63" s="637"/>
      <c r="WP63" s="637"/>
      <c r="WQ63" s="637"/>
      <c r="WR63" s="637"/>
      <c r="WS63" s="637"/>
      <c r="WT63" s="637"/>
      <c r="WU63" s="637"/>
      <c r="WV63" s="637"/>
      <c r="WW63" s="637"/>
      <c r="WX63" s="637"/>
      <c r="WY63" s="637"/>
      <c r="WZ63" s="637"/>
      <c r="XA63" s="637"/>
      <c r="XB63" s="637"/>
      <c r="XC63" s="637"/>
      <c r="XD63" s="637"/>
      <c r="XE63" s="637"/>
      <c r="XF63" s="637"/>
      <c r="XG63" s="637"/>
      <c r="XH63" s="637"/>
      <c r="XI63" s="637"/>
      <c r="XJ63" s="637"/>
      <c r="XK63" s="637"/>
      <c r="XL63" s="637"/>
      <c r="XM63" s="637"/>
      <c r="XN63" s="637"/>
      <c r="XO63" s="637"/>
      <c r="XP63" s="637"/>
      <c r="XQ63" s="637"/>
      <c r="XR63" s="637"/>
      <c r="XS63" s="637"/>
      <c r="XT63" s="637"/>
      <c r="XU63" s="637"/>
      <c r="XV63" s="637"/>
      <c r="XW63" s="637"/>
      <c r="XX63" s="637"/>
      <c r="XY63" s="637"/>
      <c r="XZ63" s="637"/>
      <c r="YA63" s="637"/>
      <c r="YB63" s="637"/>
      <c r="YC63" s="637"/>
      <c r="YD63" s="637"/>
      <c r="YE63" s="637"/>
      <c r="YF63" s="637"/>
      <c r="YG63" s="637"/>
      <c r="YH63" s="637"/>
      <c r="YI63" s="637"/>
      <c r="YJ63" s="637"/>
      <c r="YK63" s="637"/>
      <c r="YL63" s="637"/>
      <c r="YM63" s="637"/>
      <c r="YN63" s="637"/>
      <c r="YO63" s="637"/>
      <c r="YP63" s="637"/>
      <c r="YQ63" s="637"/>
      <c r="YR63" s="637"/>
      <c r="YS63" s="637"/>
      <c r="YT63" s="637"/>
      <c r="YU63" s="637"/>
      <c r="YV63" s="637"/>
      <c r="YW63" s="637"/>
      <c r="YX63" s="637"/>
      <c r="YY63" s="637"/>
      <c r="YZ63" s="637"/>
      <c r="ZA63" s="637"/>
      <c r="ZB63" s="637"/>
      <c r="ZC63" s="637"/>
      <c r="ZD63" s="637"/>
      <c r="ZE63" s="637"/>
      <c r="ZF63" s="637"/>
      <c r="ZG63" s="637"/>
      <c r="ZH63" s="637"/>
      <c r="ZI63" s="637"/>
      <c r="ZJ63" s="637"/>
      <c r="ZK63" s="637"/>
      <c r="ZL63" s="637"/>
      <c r="ZM63" s="637"/>
      <c r="ZN63" s="637"/>
      <c r="ZO63" s="637"/>
      <c r="ZP63" s="637"/>
      <c r="ZQ63" s="637"/>
      <c r="ZR63" s="637"/>
      <c r="ZS63" s="637"/>
      <c r="ZT63" s="637"/>
      <c r="ZU63" s="637"/>
      <c r="ZV63" s="637"/>
      <c r="ZW63" s="637"/>
      <c r="ZX63" s="637"/>
      <c r="ZY63" s="637"/>
      <c r="ZZ63" s="637"/>
      <c r="AAA63" s="637"/>
      <c r="AAB63" s="637"/>
      <c r="AAC63" s="637"/>
      <c r="AAD63" s="637"/>
      <c r="AAE63" s="637"/>
      <c r="AAF63" s="637"/>
      <c r="AAG63" s="637"/>
      <c r="AAH63" s="637"/>
      <c r="AAI63" s="637"/>
      <c r="AAJ63" s="637"/>
      <c r="AAK63" s="637"/>
      <c r="AAL63" s="637"/>
      <c r="AAM63" s="637"/>
      <c r="AAN63" s="637"/>
      <c r="AAO63" s="637"/>
      <c r="AAP63" s="637"/>
      <c r="AAQ63" s="637"/>
      <c r="AAR63" s="637"/>
      <c r="AAS63" s="637"/>
      <c r="AAT63" s="637"/>
      <c r="AAU63" s="637"/>
      <c r="AAV63" s="637"/>
      <c r="AAW63" s="637"/>
      <c r="AAX63" s="637"/>
      <c r="AAY63" s="637"/>
      <c r="AAZ63" s="637"/>
      <c r="ABA63" s="637"/>
      <c r="ABB63" s="637"/>
      <c r="ABC63" s="637"/>
      <c r="ABD63" s="637"/>
      <c r="ABE63" s="637"/>
      <c r="ABF63" s="637"/>
      <c r="ABG63" s="637"/>
      <c r="ABH63" s="637"/>
      <c r="ABI63" s="637"/>
      <c r="ABJ63" s="637"/>
      <c r="ABK63" s="637"/>
      <c r="ABL63" s="637"/>
      <c r="ABM63" s="637"/>
      <c r="ABN63" s="637"/>
      <c r="ABO63" s="637"/>
      <c r="ABP63" s="637"/>
      <c r="ABQ63" s="637"/>
      <c r="ABR63" s="637"/>
      <c r="ABS63" s="637"/>
      <c r="ABT63" s="637"/>
      <c r="ABU63" s="637"/>
      <c r="ABV63" s="637"/>
      <c r="ABW63" s="637"/>
      <c r="ABX63" s="637"/>
      <c r="ABY63" s="637"/>
      <c r="ABZ63" s="637"/>
      <c r="ACA63" s="637"/>
      <c r="ACB63" s="637"/>
      <c r="ACC63" s="637"/>
      <c r="ACD63" s="637"/>
      <c r="ACE63" s="637"/>
      <c r="ACF63" s="637"/>
      <c r="ACG63" s="637"/>
      <c r="ACH63" s="637"/>
      <c r="ACI63" s="637"/>
      <c r="ACJ63" s="637"/>
      <c r="ACK63" s="637"/>
      <c r="ACL63" s="637"/>
      <c r="ACM63" s="637"/>
      <c r="ACN63" s="637"/>
      <c r="ACO63" s="637"/>
      <c r="ACP63" s="637"/>
      <c r="ACQ63" s="637"/>
      <c r="ACR63" s="637"/>
      <c r="ACS63" s="637"/>
      <c r="ACT63" s="637"/>
      <c r="ACU63" s="637"/>
      <c r="ACV63" s="637"/>
      <c r="ACW63" s="637"/>
      <c r="ACX63" s="637"/>
      <c r="ACY63" s="637"/>
      <c r="ACZ63" s="637"/>
      <c r="ADA63" s="637"/>
      <c r="ADB63" s="637"/>
      <c r="ADC63" s="637"/>
      <c r="ADD63" s="637"/>
      <c r="ADE63" s="637"/>
      <c r="ADF63" s="637"/>
      <c r="ADG63" s="637"/>
      <c r="ADH63" s="637"/>
      <c r="ADI63" s="637"/>
      <c r="ADJ63" s="637"/>
      <c r="ADK63" s="637"/>
      <c r="ADL63" s="637"/>
      <c r="ADM63" s="637"/>
      <c r="ADN63" s="637"/>
      <c r="ADO63" s="637"/>
      <c r="ADP63" s="637"/>
      <c r="ADQ63" s="637"/>
      <c r="ADR63" s="637"/>
      <c r="ADS63" s="637"/>
      <c r="ADT63" s="637"/>
      <c r="ADU63" s="637"/>
      <c r="ADV63" s="637"/>
      <c r="ADW63" s="637"/>
      <c r="ADX63" s="637"/>
      <c r="ADY63" s="637"/>
      <c r="ADZ63" s="637"/>
      <c r="AEA63" s="637"/>
      <c r="AEB63" s="637"/>
      <c r="AEC63" s="637"/>
      <c r="AED63" s="637"/>
      <c r="AEE63" s="637"/>
      <c r="AEF63" s="637"/>
      <c r="AEG63" s="637"/>
      <c r="AEH63" s="637"/>
      <c r="AEI63" s="637"/>
      <c r="AEJ63" s="637"/>
      <c r="AEK63" s="637"/>
      <c r="AEL63" s="637"/>
      <c r="AEM63" s="637"/>
      <c r="AEN63" s="637"/>
      <c r="AEO63" s="637"/>
      <c r="AEP63" s="637"/>
      <c r="AEQ63" s="637"/>
      <c r="AER63" s="637"/>
      <c r="AES63" s="637"/>
      <c r="AET63" s="637"/>
      <c r="AEU63" s="637"/>
      <c r="AEV63" s="637"/>
      <c r="AEW63" s="637"/>
      <c r="AEX63" s="637"/>
      <c r="AEY63" s="637"/>
      <c r="AEZ63" s="637"/>
      <c r="AFA63" s="637"/>
      <c r="AFB63" s="637"/>
      <c r="AFC63" s="637"/>
      <c r="AFD63" s="637"/>
      <c r="AFE63" s="637"/>
      <c r="AFF63" s="637"/>
      <c r="AFG63" s="637"/>
      <c r="AFH63" s="637"/>
      <c r="AFI63" s="637"/>
      <c r="AFJ63" s="637"/>
      <c r="AFK63" s="637"/>
      <c r="AFL63" s="637"/>
      <c r="AFM63" s="637"/>
      <c r="AFN63" s="637"/>
      <c r="AFO63" s="637"/>
      <c r="AFP63" s="637"/>
      <c r="AFQ63" s="637"/>
      <c r="AFR63" s="637"/>
      <c r="AFS63" s="637"/>
      <c r="AFT63" s="637"/>
      <c r="AFU63" s="637"/>
      <c r="AFV63" s="637"/>
      <c r="AFW63" s="637"/>
      <c r="AFX63" s="637"/>
      <c r="AFY63" s="637"/>
      <c r="AFZ63" s="637"/>
      <c r="AGA63" s="637"/>
      <c r="AGB63" s="637"/>
      <c r="AGC63" s="637"/>
      <c r="AGD63" s="637"/>
      <c r="AGE63" s="637"/>
      <c r="AGF63" s="637"/>
      <c r="AGG63" s="637"/>
      <c r="AGH63" s="637"/>
      <c r="AGI63" s="637"/>
      <c r="AGJ63" s="637"/>
      <c r="AGK63" s="637"/>
      <c r="AGL63" s="637"/>
      <c r="AGM63" s="637"/>
      <c r="AGN63" s="637"/>
      <c r="AGO63" s="637"/>
      <c r="AGP63" s="637"/>
      <c r="AGQ63" s="637"/>
      <c r="AGR63" s="637"/>
      <c r="AGS63" s="637"/>
      <c r="AGT63" s="637"/>
      <c r="AGU63" s="637"/>
      <c r="AGV63" s="637"/>
      <c r="AGW63" s="637"/>
      <c r="AGX63" s="637"/>
      <c r="AGY63" s="637"/>
      <c r="AGZ63" s="637"/>
      <c r="AHA63" s="637"/>
      <c r="AHB63" s="637"/>
      <c r="AHC63" s="637"/>
      <c r="AHD63" s="637"/>
      <c r="AHE63" s="637"/>
      <c r="AHF63" s="637"/>
      <c r="AHG63" s="637"/>
      <c r="AHH63" s="637"/>
      <c r="AHI63" s="637"/>
      <c r="AHJ63" s="637"/>
      <c r="AHK63" s="637"/>
      <c r="AHL63" s="637"/>
      <c r="AHM63" s="637"/>
      <c r="AHN63" s="637"/>
      <c r="AHO63" s="637"/>
      <c r="AHP63" s="637"/>
      <c r="AHQ63" s="637"/>
      <c r="AHR63" s="637"/>
      <c r="AHS63" s="637"/>
      <c r="AHT63" s="637"/>
      <c r="AHU63" s="637"/>
      <c r="AHV63" s="637"/>
      <c r="AHW63" s="637"/>
      <c r="AHX63" s="637"/>
      <c r="AHY63" s="637"/>
      <c r="AHZ63" s="637"/>
      <c r="AIA63" s="637"/>
      <c r="AIB63" s="637"/>
      <c r="AIC63" s="637"/>
      <c r="AID63" s="637"/>
      <c r="AIE63" s="637"/>
      <c r="AIF63" s="637"/>
      <c r="AIG63" s="637"/>
      <c r="AIH63" s="637"/>
      <c r="AII63" s="637"/>
      <c r="AIJ63" s="637"/>
      <c r="AIK63" s="637"/>
      <c r="AIL63" s="637"/>
      <c r="AIM63" s="637"/>
      <c r="AIN63" s="637"/>
      <c r="AIO63" s="637"/>
      <c r="AIP63" s="637"/>
      <c r="AIQ63" s="637"/>
      <c r="AIR63" s="637"/>
      <c r="AIS63" s="637"/>
      <c r="AIT63" s="637"/>
      <c r="AIU63" s="637"/>
      <c r="AIV63" s="637"/>
      <c r="AIW63" s="637"/>
      <c r="AIX63" s="637"/>
      <c r="AIY63" s="637"/>
      <c r="AIZ63" s="637"/>
      <c r="AJA63" s="637"/>
      <c r="AJB63" s="637"/>
      <c r="AJC63" s="637"/>
      <c r="AJD63" s="637"/>
      <c r="AJE63" s="637"/>
      <c r="AJF63" s="637"/>
      <c r="AJG63" s="637"/>
      <c r="AJH63" s="637"/>
      <c r="AJI63" s="637"/>
      <c r="AJJ63" s="637"/>
      <c r="AJK63" s="637"/>
      <c r="AJL63" s="637"/>
      <c r="AJM63" s="637"/>
      <c r="AJN63" s="637"/>
      <c r="AJO63" s="637"/>
      <c r="AJP63" s="637"/>
      <c r="AJQ63" s="637"/>
      <c r="AJR63" s="637"/>
      <c r="AJS63" s="637"/>
      <c r="AJT63" s="637"/>
      <c r="AJU63" s="637"/>
      <c r="AJV63" s="637"/>
      <c r="AJW63" s="637"/>
      <c r="AJX63" s="637"/>
      <c r="AJY63" s="637"/>
      <c r="AJZ63" s="637"/>
      <c r="AKA63" s="637"/>
      <c r="AKB63" s="637"/>
      <c r="AKC63" s="637"/>
      <c r="AKD63" s="637"/>
      <c r="AKE63" s="637"/>
      <c r="AKF63" s="637"/>
      <c r="AKG63" s="637"/>
      <c r="AKH63" s="637"/>
      <c r="AKI63" s="637"/>
      <c r="AKJ63" s="637"/>
      <c r="AKK63" s="637"/>
      <c r="AKL63" s="637"/>
      <c r="AKM63" s="637"/>
      <c r="AKN63" s="637"/>
      <c r="AKO63" s="637"/>
      <c r="AKP63" s="637"/>
      <c r="AKQ63" s="637"/>
      <c r="AKR63" s="637"/>
      <c r="AKS63" s="637"/>
      <c r="AKT63" s="637"/>
      <c r="AKU63" s="637"/>
      <c r="AKV63" s="637"/>
      <c r="AKW63" s="637"/>
      <c r="AKX63" s="637"/>
      <c r="AKY63" s="637"/>
      <c r="AKZ63" s="637"/>
      <c r="ALA63" s="637"/>
      <c r="ALB63" s="637"/>
      <c r="ALC63" s="637"/>
      <c r="ALD63" s="637"/>
      <c r="ALE63" s="637"/>
      <c r="ALF63" s="637"/>
      <c r="ALG63" s="637"/>
      <c r="ALH63" s="637"/>
      <c r="ALI63" s="637"/>
      <c r="ALJ63" s="637"/>
      <c r="ALK63" s="637"/>
      <c r="ALL63" s="637"/>
      <c r="ALM63" s="637"/>
      <c r="ALN63" s="637"/>
      <c r="ALO63" s="637"/>
      <c r="ALP63" s="637"/>
      <c r="ALQ63" s="637"/>
      <c r="ALR63" s="637"/>
      <c r="ALS63" s="637"/>
      <c r="ALT63" s="637"/>
      <c r="ALU63" s="637"/>
      <c r="ALV63" s="637"/>
      <c r="ALW63" s="637"/>
      <c r="ALX63" s="637"/>
      <c r="ALY63" s="637"/>
      <c r="ALZ63" s="637"/>
      <c r="AMA63" s="637"/>
      <c r="AMB63" s="637"/>
      <c r="AMC63" s="637"/>
      <c r="AMD63" s="637"/>
      <c r="AME63" s="637"/>
      <c r="AMF63" s="637"/>
      <c r="AMG63" s="637"/>
      <c r="AMH63" s="637"/>
      <c r="AMI63" s="637"/>
      <c r="AMJ63" s="637"/>
    </row>
    <row r="64" spans="1:1024" s="638" customFormat="1" ht="12.75">
      <c r="A64" s="1098" t="s">
        <v>152</v>
      </c>
      <c r="B64" s="1098"/>
      <c r="C64" s="1098"/>
      <c r="D64" s="997" t="s">
        <v>4</v>
      </c>
      <c r="E64" s="994">
        <f>E7+E12+E16+E20+E24+E28+E32+E36+E40+E44+E48+E52+E56+E60</f>
        <v>638157</v>
      </c>
      <c r="F64" s="994">
        <f aca="true" t="shared" si="4" ref="F64:R64">F7+F12+F20+F24+F28+F32+F36+F40+F44+F48+F52+F56+F60</f>
        <v>638157</v>
      </c>
      <c r="G64" s="994">
        <f t="shared" si="4"/>
        <v>355368</v>
      </c>
      <c r="H64" s="994">
        <f t="shared" si="4"/>
        <v>111400</v>
      </c>
      <c r="I64" s="994">
        <f t="shared" si="4"/>
        <v>137219</v>
      </c>
      <c r="J64" s="994">
        <f t="shared" si="4"/>
        <v>0</v>
      </c>
      <c r="K64" s="994">
        <f t="shared" si="4"/>
        <v>0</v>
      </c>
      <c r="L64" s="994">
        <f t="shared" si="4"/>
        <v>0</v>
      </c>
      <c r="M64" s="994">
        <f t="shared" si="4"/>
        <v>0</v>
      </c>
      <c r="N64" s="994">
        <f t="shared" si="4"/>
        <v>32970</v>
      </c>
      <c r="O64" s="994">
        <f t="shared" si="4"/>
        <v>1200</v>
      </c>
      <c r="P64" s="994">
        <f t="shared" si="4"/>
        <v>0</v>
      </c>
      <c r="Q64" s="994">
        <f t="shared" si="4"/>
        <v>0</v>
      </c>
      <c r="R64" s="994">
        <f t="shared" si="4"/>
        <v>0</v>
      </c>
      <c r="S64" s="637"/>
      <c r="T64" s="637"/>
      <c r="U64" s="637"/>
      <c r="V64" s="637"/>
      <c r="W64" s="637"/>
      <c r="X64" s="637"/>
      <c r="Y64" s="637"/>
      <c r="Z64" s="637"/>
      <c r="AA64" s="637"/>
      <c r="AB64" s="637"/>
      <c r="AC64" s="637"/>
      <c r="AD64" s="637"/>
      <c r="AE64" s="637"/>
      <c r="AF64" s="637"/>
      <c r="AG64" s="637"/>
      <c r="AH64" s="637"/>
      <c r="AI64" s="637"/>
      <c r="AJ64" s="637"/>
      <c r="AK64" s="637"/>
      <c r="AL64" s="637"/>
      <c r="AM64" s="637"/>
      <c r="AN64" s="637"/>
      <c r="AO64" s="637"/>
      <c r="AP64" s="637"/>
      <c r="AQ64" s="637"/>
      <c r="AR64" s="637"/>
      <c r="AS64" s="637"/>
      <c r="AT64" s="637"/>
      <c r="AU64" s="637"/>
      <c r="AV64" s="637"/>
      <c r="AW64" s="637"/>
      <c r="AX64" s="637"/>
      <c r="AY64" s="637"/>
      <c r="AZ64" s="637"/>
      <c r="BA64" s="637"/>
      <c r="BB64" s="637"/>
      <c r="BC64" s="637"/>
      <c r="BD64" s="637"/>
      <c r="BE64" s="637"/>
      <c r="BF64" s="637"/>
      <c r="BG64" s="637"/>
      <c r="BH64" s="637"/>
      <c r="BI64" s="637"/>
      <c r="BJ64" s="637"/>
      <c r="BK64" s="637"/>
      <c r="BL64" s="637"/>
      <c r="BM64" s="637"/>
      <c r="BN64" s="637"/>
      <c r="BO64" s="637"/>
      <c r="BP64" s="637"/>
      <c r="BQ64" s="637"/>
      <c r="BR64" s="637"/>
      <c r="BS64" s="637"/>
      <c r="BT64" s="637"/>
      <c r="BU64" s="637"/>
      <c r="BV64" s="637"/>
      <c r="BW64" s="637"/>
      <c r="BX64" s="637"/>
      <c r="BY64" s="637"/>
      <c r="BZ64" s="637"/>
      <c r="CA64" s="637"/>
      <c r="CB64" s="637"/>
      <c r="CC64" s="637"/>
      <c r="CD64" s="637"/>
      <c r="CE64" s="637"/>
      <c r="CF64" s="637"/>
      <c r="CG64" s="637"/>
      <c r="CH64" s="637"/>
      <c r="CI64" s="637"/>
      <c r="CJ64" s="637"/>
      <c r="CK64" s="637"/>
      <c r="CL64" s="637"/>
      <c r="CM64" s="637"/>
      <c r="CN64" s="637"/>
      <c r="CO64" s="637"/>
      <c r="CP64" s="637"/>
      <c r="CQ64" s="637"/>
      <c r="CR64" s="637"/>
      <c r="CS64" s="637"/>
      <c r="CT64" s="637"/>
      <c r="CU64" s="637"/>
      <c r="CV64" s="637"/>
      <c r="CW64" s="637"/>
      <c r="CX64" s="637"/>
      <c r="CY64" s="637"/>
      <c r="CZ64" s="637"/>
      <c r="DA64" s="637"/>
      <c r="DB64" s="637"/>
      <c r="DC64" s="637"/>
      <c r="DD64" s="637"/>
      <c r="DE64" s="637"/>
      <c r="DF64" s="637"/>
      <c r="DG64" s="637"/>
      <c r="DH64" s="637"/>
      <c r="DI64" s="637"/>
      <c r="DJ64" s="637"/>
      <c r="DK64" s="637"/>
      <c r="DL64" s="637"/>
      <c r="DM64" s="637"/>
      <c r="DN64" s="637"/>
      <c r="DO64" s="637"/>
      <c r="DP64" s="637"/>
      <c r="DQ64" s="637"/>
      <c r="DR64" s="637"/>
      <c r="DS64" s="637"/>
      <c r="DT64" s="637"/>
      <c r="DU64" s="637"/>
      <c r="DV64" s="637"/>
      <c r="DW64" s="637"/>
      <c r="DX64" s="637"/>
      <c r="DY64" s="637"/>
      <c r="DZ64" s="637"/>
      <c r="EA64" s="637"/>
      <c r="EB64" s="637"/>
      <c r="EC64" s="637"/>
      <c r="ED64" s="637"/>
      <c r="EE64" s="637"/>
      <c r="EF64" s="637"/>
      <c r="EG64" s="637"/>
      <c r="EH64" s="637"/>
      <c r="EI64" s="637"/>
      <c r="EJ64" s="637"/>
      <c r="EK64" s="637"/>
      <c r="EL64" s="637"/>
      <c r="EM64" s="637"/>
      <c r="EN64" s="637"/>
      <c r="EO64" s="637"/>
      <c r="EP64" s="637"/>
      <c r="EQ64" s="637"/>
      <c r="ER64" s="637"/>
      <c r="ES64" s="637"/>
      <c r="ET64" s="637"/>
      <c r="EU64" s="637"/>
      <c r="EV64" s="637"/>
      <c r="EW64" s="637"/>
      <c r="EX64" s="637"/>
      <c r="EY64" s="637"/>
      <c r="EZ64" s="637"/>
      <c r="FA64" s="637"/>
      <c r="FB64" s="637"/>
      <c r="FC64" s="637"/>
      <c r="FD64" s="637"/>
      <c r="FE64" s="637"/>
      <c r="FF64" s="637"/>
      <c r="FG64" s="637"/>
      <c r="FH64" s="637"/>
      <c r="FI64" s="637"/>
      <c r="FJ64" s="637"/>
      <c r="FK64" s="637"/>
      <c r="FL64" s="637"/>
      <c r="FM64" s="637"/>
      <c r="FN64" s="637"/>
      <c r="FO64" s="637"/>
      <c r="FP64" s="637"/>
      <c r="FQ64" s="637"/>
      <c r="FR64" s="637"/>
      <c r="FS64" s="637"/>
      <c r="FT64" s="637"/>
      <c r="FU64" s="637"/>
      <c r="FV64" s="637"/>
      <c r="FW64" s="637"/>
      <c r="FX64" s="637"/>
      <c r="FY64" s="637"/>
      <c r="FZ64" s="637"/>
      <c r="GA64" s="637"/>
      <c r="GB64" s="637"/>
      <c r="GC64" s="637"/>
      <c r="GD64" s="637"/>
      <c r="GE64" s="637"/>
      <c r="GF64" s="637"/>
      <c r="GG64" s="637"/>
      <c r="GH64" s="637"/>
      <c r="GI64" s="637"/>
      <c r="GJ64" s="637"/>
      <c r="GK64" s="637"/>
      <c r="GL64" s="637"/>
      <c r="GM64" s="637"/>
      <c r="GN64" s="637"/>
      <c r="GO64" s="637"/>
      <c r="GP64" s="637"/>
      <c r="GQ64" s="637"/>
      <c r="GR64" s="637"/>
      <c r="GS64" s="637"/>
      <c r="GT64" s="637"/>
      <c r="GU64" s="637"/>
      <c r="GV64" s="637"/>
      <c r="GW64" s="637"/>
      <c r="GX64" s="637"/>
      <c r="GY64" s="637"/>
      <c r="GZ64" s="637"/>
      <c r="HA64" s="637"/>
      <c r="HB64" s="637"/>
      <c r="HC64" s="637"/>
      <c r="HD64" s="637"/>
      <c r="HE64" s="637"/>
      <c r="HF64" s="637"/>
      <c r="HG64" s="637"/>
      <c r="HH64" s="637"/>
      <c r="HI64" s="637"/>
      <c r="HJ64" s="637"/>
      <c r="HK64" s="637"/>
      <c r="HL64" s="637"/>
      <c r="HM64" s="637"/>
      <c r="HN64" s="637"/>
      <c r="HO64" s="637"/>
      <c r="HP64" s="637"/>
      <c r="HQ64" s="637"/>
      <c r="HR64" s="637"/>
      <c r="HS64" s="637"/>
      <c r="HT64" s="637"/>
      <c r="HU64" s="637"/>
      <c r="HV64" s="637"/>
      <c r="HW64" s="637"/>
      <c r="HX64" s="637"/>
      <c r="HY64" s="637"/>
      <c r="HZ64" s="637"/>
      <c r="IA64" s="637"/>
      <c r="IB64" s="637"/>
      <c r="IC64" s="637"/>
      <c r="ID64" s="637"/>
      <c r="IE64" s="637"/>
      <c r="IF64" s="637"/>
      <c r="IG64" s="637"/>
      <c r="IH64" s="637"/>
      <c r="II64" s="637"/>
      <c r="IJ64" s="637"/>
      <c r="IK64" s="637"/>
      <c r="IL64" s="637"/>
      <c r="IM64" s="637"/>
      <c r="IN64" s="637"/>
      <c r="IO64" s="637"/>
      <c r="IP64" s="637"/>
      <c r="IQ64" s="637"/>
      <c r="IR64" s="637"/>
      <c r="IS64" s="637"/>
      <c r="IT64" s="637"/>
      <c r="IU64" s="637"/>
      <c r="IV64" s="637"/>
      <c r="IW64" s="637"/>
      <c r="IX64" s="637"/>
      <c r="IY64" s="637"/>
      <c r="IZ64" s="637"/>
      <c r="JA64" s="637"/>
      <c r="JB64" s="637"/>
      <c r="JC64" s="637"/>
      <c r="JD64" s="637"/>
      <c r="JE64" s="637"/>
      <c r="JF64" s="637"/>
      <c r="JG64" s="637"/>
      <c r="JH64" s="637"/>
      <c r="JI64" s="637"/>
      <c r="JJ64" s="637"/>
      <c r="JK64" s="637"/>
      <c r="JL64" s="637"/>
      <c r="JM64" s="637"/>
      <c r="JN64" s="637"/>
      <c r="JO64" s="637"/>
      <c r="JP64" s="637"/>
      <c r="JQ64" s="637"/>
      <c r="JR64" s="637"/>
      <c r="JS64" s="637"/>
      <c r="JT64" s="637"/>
      <c r="JU64" s="637"/>
      <c r="JV64" s="637"/>
      <c r="JW64" s="637"/>
      <c r="JX64" s="637"/>
      <c r="JY64" s="637"/>
      <c r="JZ64" s="637"/>
      <c r="KA64" s="637"/>
      <c r="KB64" s="637"/>
      <c r="KC64" s="637"/>
      <c r="KD64" s="637"/>
      <c r="KE64" s="637"/>
      <c r="KF64" s="637"/>
      <c r="KG64" s="637"/>
      <c r="KH64" s="637"/>
      <c r="KI64" s="637"/>
      <c r="KJ64" s="637"/>
      <c r="KK64" s="637"/>
      <c r="KL64" s="637"/>
      <c r="KM64" s="637"/>
      <c r="KN64" s="637"/>
      <c r="KO64" s="637"/>
      <c r="KP64" s="637"/>
      <c r="KQ64" s="637"/>
      <c r="KR64" s="637"/>
      <c r="KS64" s="637"/>
      <c r="KT64" s="637"/>
      <c r="KU64" s="637"/>
      <c r="KV64" s="637"/>
      <c r="KW64" s="637"/>
      <c r="KX64" s="637"/>
      <c r="KY64" s="637"/>
      <c r="KZ64" s="637"/>
      <c r="LA64" s="637"/>
      <c r="LB64" s="637"/>
      <c r="LC64" s="637"/>
      <c r="LD64" s="637"/>
      <c r="LE64" s="637"/>
      <c r="LF64" s="637"/>
      <c r="LG64" s="637"/>
      <c r="LH64" s="637"/>
      <c r="LI64" s="637"/>
      <c r="LJ64" s="637"/>
      <c r="LK64" s="637"/>
      <c r="LL64" s="637"/>
      <c r="LM64" s="637"/>
      <c r="LN64" s="637"/>
      <c r="LO64" s="637"/>
      <c r="LP64" s="637"/>
      <c r="LQ64" s="637"/>
      <c r="LR64" s="637"/>
      <c r="LS64" s="637"/>
      <c r="LT64" s="637"/>
      <c r="LU64" s="637"/>
      <c r="LV64" s="637"/>
      <c r="LW64" s="637"/>
      <c r="LX64" s="637"/>
      <c r="LY64" s="637"/>
      <c r="LZ64" s="637"/>
      <c r="MA64" s="637"/>
      <c r="MB64" s="637"/>
      <c r="MC64" s="637"/>
      <c r="MD64" s="637"/>
      <c r="ME64" s="637"/>
      <c r="MF64" s="637"/>
      <c r="MG64" s="637"/>
      <c r="MH64" s="637"/>
      <c r="MI64" s="637"/>
      <c r="MJ64" s="637"/>
      <c r="MK64" s="637"/>
      <c r="ML64" s="637"/>
      <c r="MM64" s="637"/>
      <c r="MN64" s="637"/>
      <c r="MO64" s="637"/>
      <c r="MP64" s="637"/>
      <c r="MQ64" s="637"/>
      <c r="MR64" s="637"/>
      <c r="MS64" s="637"/>
      <c r="MT64" s="637"/>
      <c r="MU64" s="637"/>
      <c r="MV64" s="637"/>
      <c r="MW64" s="637"/>
      <c r="MX64" s="637"/>
      <c r="MY64" s="637"/>
      <c r="MZ64" s="637"/>
      <c r="NA64" s="637"/>
      <c r="NB64" s="637"/>
      <c r="NC64" s="637"/>
      <c r="ND64" s="637"/>
      <c r="NE64" s="637"/>
      <c r="NF64" s="637"/>
      <c r="NG64" s="637"/>
      <c r="NH64" s="637"/>
      <c r="NI64" s="637"/>
      <c r="NJ64" s="637"/>
      <c r="NK64" s="637"/>
      <c r="NL64" s="637"/>
      <c r="NM64" s="637"/>
      <c r="NN64" s="637"/>
      <c r="NO64" s="637"/>
      <c r="NP64" s="637"/>
      <c r="NQ64" s="637"/>
      <c r="NR64" s="637"/>
      <c r="NS64" s="637"/>
      <c r="NT64" s="637"/>
      <c r="NU64" s="637"/>
      <c r="NV64" s="637"/>
      <c r="NW64" s="637"/>
      <c r="NX64" s="637"/>
      <c r="NY64" s="637"/>
      <c r="NZ64" s="637"/>
      <c r="OA64" s="637"/>
      <c r="OB64" s="637"/>
      <c r="OC64" s="637"/>
      <c r="OD64" s="637"/>
      <c r="OE64" s="637"/>
      <c r="OF64" s="637"/>
      <c r="OG64" s="637"/>
      <c r="OH64" s="637"/>
      <c r="OI64" s="637"/>
      <c r="OJ64" s="637"/>
      <c r="OK64" s="637"/>
      <c r="OL64" s="637"/>
      <c r="OM64" s="637"/>
      <c r="ON64" s="637"/>
      <c r="OO64" s="637"/>
      <c r="OP64" s="637"/>
      <c r="OQ64" s="637"/>
      <c r="OR64" s="637"/>
      <c r="OS64" s="637"/>
      <c r="OT64" s="637"/>
      <c r="OU64" s="637"/>
      <c r="OV64" s="637"/>
      <c r="OW64" s="637"/>
      <c r="OX64" s="637"/>
      <c r="OY64" s="637"/>
      <c r="OZ64" s="637"/>
      <c r="PA64" s="637"/>
      <c r="PB64" s="637"/>
      <c r="PC64" s="637"/>
      <c r="PD64" s="637"/>
      <c r="PE64" s="637"/>
      <c r="PF64" s="637"/>
      <c r="PG64" s="637"/>
      <c r="PH64" s="637"/>
      <c r="PI64" s="637"/>
      <c r="PJ64" s="637"/>
      <c r="PK64" s="637"/>
      <c r="PL64" s="637"/>
      <c r="PM64" s="637"/>
      <c r="PN64" s="637"/>
      <c r="PO64" s="637"/>
      <c r="PP64" s="637"/>
      <c r="PQ64" s="637"/>
      <c r="PR64" s="637"/>
      <c r="PS64" s="637"/>
      <c r="PT64" s="637"/>
      <c r="PU64" s="637"/>
      <c r="PV64" s="637"/>
      <c r="PW64" s="637"/>
      <c r="PX64" s="637"/>
      <c r="PY64" s="637"/>
      <c r="PZ64" s="637"/>
      <c r="QA64" s="637"/>
      <c r="QB64" s="637"/>
      <c r="QC64" s="637"/>
      <c r="QD64" s="637"/>
      <c r="QE64" s="637"/>
      <c r="QF64" s="637"/>
      <c r="QG64" s="637"/>
      <c r="QH64" s="637"/>
      <c r="QI64" s="637"/>
      <c r="QJ64" s="637"/>
      <c r="QK64" s="637"/>
      <c r="QL64" s="637"/>
      <c r="QM64" s="637"/>
      <c r="QN64" s="637"/>
      <c r="QO64" s="637"/>
      <c r="QP64" s="637"/>
      <c r="QQ64" s="637"/>
      <c r="QR64" s="637"/>
      <c r="QS64" s="637"/>
      <c r="QT64" s="637"/>
      <c r="QU64" s="637"/>
      <c r="QV64" s="637"/>
      <c r="QW64" s="637"/>
      <c r="QX64" s="637"/>
      <c r="QY64" s="637"/>
      <c r="QZ64" s="637"/>
      <c r="RA64" s="637"/>
      <c r="RB64" s="637"/>
      <c r="RC64" s="637"/>
      <c r="RD64" s="637"/>
      <c r="RE64" s="637"/>
      <c r="RF64" s="637"/>
      <c r="RG64" s="637"/>
      <c r="RH64" s="637"/>
      <c r="RI64" s="637"/>
      <c r="RJ64" s="637"/>
      <c r="RK64" s="637"/>
      <c r="RL64" s="637"/>
      <c r="RM64" s="637"/>
      <c r="RN64" s="637"/>
      <c r="RO64" s="637"/>
      <c r="RP64" s="637"/>
      <c r="RQ64" s="637"/>
      <c r="RR64" s="637"/>
      <c r="RS64" s="637"/>
      <c r="RT64" s="637"/>
      <c r="RU64" s="637"/>
      <c r="RV64" s="637"/>
      <c r="RW64" s="637"/>
      <c r="RX64" s="637"/>
      <c r="RY64" s="637"/>
      <c r="RZ64" s="637"/>
      <c r="SA64" s="637"/>
      <c r="SB64" s="637"/>
      <c r="SC64" s="637"/>
      <c r="SD64" s="637"/>
      <c r="SE64" s="637"/>
      <c r="SF64" s="637"/>
      <c r="SG64" s="637"/>
      <c r="SH64" s="637"/>
      <c r="SI64" s="637"/>
      <c r="SJ64" s="637"/>
      <c r="SK64" s="637"/>
      <c r="SL64" s="637"/>
      <c r="SM64" s="637"/>
      <c r="SN64" s="637"/>
      <c r="SO64" s="637"/>
      <c r="SP64" s="637"/>
      <c r="SQ64" s="637"/>
      <c r="SR64" s="637"/>
      <c r="SS64" s="637"/>
      <c r="ST64" s="637"/>
      <c r="SU64" s="637"/>
      <c r="SV64" s="637"/>
      <c r="SW64" s="637"/>
      <c r="SX64" s="637"/>
      <c r="SY64" s="637"/>
      <c r="SZ64" s="637"/>
      <c r="TA64" s="637"/>
      <c r="TB64" s="637"/>
      <c r="TC64" s="637"/>
      <c r="TD64" s="637"/>
      <c r="TE64" s="637"/>
      <c r="TF64" s="637"/>
      <c r="TG64" s="637"/>
      <c r="TH64" s="637"/>
      <c r="TI64" s="637"/>
      <c r="TJ64" s="637"/>
      <c r="TK64" s="637"/>
      <c r="TL64" s="637"/>
      <c r="TM64" s="637"/>
      <c r="TN64" s="637"/>
      <c r="TO64" s="637"/>
      <c r="TP64" s="637"/>
      <c r="TQ64" s="637"/>
      <c r="TR64" s="637"/>
      <c r="TS64" s="637"/>
      <c r="TT64" s="637"/>
      <c r="TU64" s="637"/>
      <c r="TV64" s="637"/>
      <c r="TW64" s="637"/>
      <c r="TX64" s="637"/>
      <c r="TY64" s="637"/>
      <c r="TZ64" s="637"/>
      <c r="UA64" s="637"/>
      <c r="UB64" s="637"/>
      <c r="UC64" s="637"/>
      <c r="UD64" s="637"/>
      <c r="UE64" s="637"/>
      <c r="UF64" s="637"/>
      <c r="UG64" s="637"/>
      <c r="UH64" s="637"/>
      <c r="UI64" s="637"/>
      <c r="UJ64" s="637"/>
      <c r="UK64" s="637"/>
      <c r="UL64" s="637"/>
      <c r="UM64" s="637"/>
      <c r="UN64" s="637"/>
      <c r="UO64" s="637"/>
      <c r="UP64" s="637"/>
      <c r="UQ64" s="637"/>
      <c r="UR64" s="637"/>
      <c r="US64" s="637"/>
      <c r="UT64" s="637"/>
      <c r="UU64" s="637"/>
      <c r="UV64" s="637"/>
      <c r="UW64" s="637"/>
      <c r="UX64" s="637"/>
      <c r="UY64" s="637"/>
      <c r="UZ64" s="637"/>
      <c r="VA64" s="637"/>
      <c r="VB64" s="637"/>
      <c r="VC64" s="637"/>
      <c r="VD64" s="637"/>
      <c r="VE64" s="637"/>
      <c r="VF64" s="637"/>
      <c r="VG64" s="637"/>
      <c r="VH64" s="637"/>
      <c r="VI64" s="637"/>
      <c r="VJ64" s="637"/>
      <c r="VK64" s="637"/>
      <c r="VL64" s="637"/>
      <c r="VM64" s="637"/>
      <c r="VN64" s="637"/>
      <c r="VO64" s="637"/>
      <c r="VP64" s="637"/>
      <c r="VQ64" s="637"/>
      <c r="VR64" s="637"/>
      <c r="VS64" s="637"/>
      <c r="VT64" s="637"/>
      <c r="VU64" s="637"/>
      <c r="VV64" s="637"/>
      <c r="VW64" s="637"/>
      <c r="VX64" s="637"/>
      <c r="VY64" s="637"/>
      <c r="VZ64" s="637"/>
      <c r="WA64" s="637"/>
      <c r="WB64" s="637"/>
      <c r="WC64" s="637"/>
      <c r="WD64" s="637"/>
      <c r="WE64" s="637"/>
      <c r="WF64" s="637"/>
      <c r="WG64" s="637"/>
      <c r="WH64" s="637"/>
      <c r="WI64" s="637"/>
      <c r="WJ64" s="637"/>
      <c r="WK64" s="637"/>
      <c r="WL64" s="637"/>
      <c r="WM64" s="637"/>
      <c r="WN64" s="637"/>
      <c r="WO64" s="637"/>
      <c r="WP64" s="637"/>
      <c r="WQ64" s="637"/>
      <c r="WR64" s="637"/>
      <c r="WS64" s="637"/>
      <c r="WT64" s="637"/>
      <c r="WU64" s="637"/>
      <c r="WV64" s="637"/>
      <c r="WW64" s="637"/>
      <c r="WX64" s="637"/>
      <c r="WY64" s="637"/>
      <c r="WZ64" s="637"/>
      <c r="XA64" s="637"/>
      <c r="XB64" s="637"/>
      <c r="XC64" s="637"/>
      <c r="XD64" s="637"/>
      <c r="XE64" s="637"/>
      <c r="XF64" s="637"/>
      <c r="XG64" s="637"/>
      <c r="XH64" s="637"/>
      <c r="XI64" s="637"/>
      <c r="XJ64" s="637"/>
      <c r="XK64" s="637"/>
      <c r="XL64" s="637"/>
      <c r="XM64" s="637"/>
      <c r="XN64" s="637"/>
      <c r="XO64" s="637"/>
      <c r="XP64" s="637"/>
      <c r="XQ64" s="637"/>
      <c r="XR64" s="637"/>
      <c r="XS64" s="637"/>
      <c r="XT64" s="637"/>
      <c r="XU64" s="637"/>
      <c r="XV64" s="637"/>
      <c r="XW64" s="637"/>
      <c r="XX64" s="637"/>
      <c r="XY64" s="637"/>
      <c r="XZ64" s="637"/>
      <c r="YA64" s="637"/>
      <c r="YB64" s="637"/>
      <c r="YC64" s="637"/>
      <c r="YD64" s="637"/>
      <c r="YE64" s="637"/>
      <c r="YF64" s="637"/>
      <c r="YG64" s="637"/>
      <c r="YH64" s="637"/>
      <c r="YI64" s="637"/>
      <c r="YJ64" s="637"/>
      <c r="YK64" s="637"/>
      <c r="YL64" s="637"/>
      <c r="YM64" s="637"/>
      <c r="YN64" s="637"/>
      <c r="YO64" s="637"/>
      <c r="YP64" s="637"/>
      <c r="YQ64" s="637"/>
      <c r="YR64" s="637"/>
      <c r="YS64" s="637"/>
      <c r="YT64" s="637"/>
      <c r="YU64" s="637"/>
      <c r="YV64" s="637"/>
      <c r="YW64" s="637"/>
      <c r="YX64" s="637"/>
      <c r="YY64" s="637"/>
      <c r="YZ64" s="637"/>
      <c r="ZA64" s="637"/>
      <c r="ZB64" s="637"/>
      <c r="ZC64" s="637"/>
      <c r="ZD64" s="637"/>
      <c r="ZE64" s="637"/>
      <c r="ZF64" s="637"/>
      <c r="ZG64" s="637"/>
      <c r="ZH64" s="637"/>
      <c r="ZI64" s="637"/>
      <c r="ZJ64" s="637"/>
      <c r="ZK64" s="637"/>
      <c r="ZL64" s="637"/>
      <c r="ZM64" s="637"/>
      <c r="ZN64" s="637"/>
      <c r="ZO64" s="637"/>
      <c r="ZP64" s="637"/>
      <c r="ZQ64" s="637"/>
      <c r="ZR64" s="637"/>
      <c r="ZS64" s="637"/>
      <c r="ZT64" s="637"/>
      <c r="ZU64" s="637"/>
      <c r="ZV64" s="637"/>
      <c r="ZW64" s="637"/>
      <c r="ZX64" s="637"/>
      <c r="ZY64" s="637"/>
      <c r="ZZ64" s="637"/>
      <c r="AAA64" s="637"/>
      <c r="AAB64" s="637"/>
      <c r="AAC64" s="637"/>
      <c r="AAD64" s="637"/>
      <c r="AAE64" s="637"/>
      <c r="AAF64" s="637"/>
      <c r="AAG64" s="637"/>
      <c r="AAH64" s="637"/>
      <c r="AAI64" s="637"/>
      <c r="AAJ64" s="637"/>
      <c r="AAK64" s="637"/>
      <c r="AAL64" s="637"/>
      <c r="AAM64" s="637"/>
      <c r="AAN64" s="637"/>
      <c r="AAO64" s="637"/>
      <c r="AAP64" s="637"/>
      <c r="AAQ64" s="637"/>
      <c r="AAR64" s="637"/>
      <c r="AAS64" s="637"/>
      <c r="AAT64" s="637"/>
      <c r="AAU64" s="637"/>
      <c r="AAV64" s="637"/>
      <c r="AAW64" s="637"/>
      <c r="AAX64" s="637"/>
      <c r="AAY64" s="637"/>
      <c r="AAZ64" s="637"/>
      <c r="ABA64" s="637"/>
      <c r="ABB64" s="637"/>
      <c r="ABC64" s="637"/>
      <c r="ABD64" s="637"/>
      <c r="ABE64" s="637"/>
      <c r="ABF64" s="637"/>
      <c r="ABG64" s="637"/>
      <c r="ABH64" s="637"/>
      <c r="ABI64" s="637"/>
      <c r="ABJ64" s="637"/>
      <c r="ABK64" s="637"/>
      <c r="ABL64" s="637"/>
      <c r="ABM64" s="637"/>
      <c r="ABN64" s="637"/>
      <c r="ABO64" s="637"/>
      <c r="ABP64" s="637"/>
      <c r="ABQ64" s="637"/>
      <c r="ABR64" s="637"/>
      <c r="ABS64" s="637"/>
      <c r="ABT64" s="637"/>
      <c r="ABU64" s="637"/>
      <c r="ABV64" s="637"/>
      <c r="ABW64" s="637"/>
      <c r="ABX64" s="637"/>
      <c r="ABY64" s="637"/>
      <c r="ABZ64" s="637"/>
      <c r="ACA64" s="637"/>
      <c r="ACB64" s="637"/>
      <c r="ACC64" s="637"/>
      <c r="ACD64" s="637"/>
      <c r="ACE64" s="637"/>
      <c r="ACF64" s="637"/>
      <c r="ACG64" s="637"/>
      <c r="ACH64" s="637"/>
      <c r="ACI64" s="637"/>
      <c r="ACJ64" s="637"/>
      <c r="ACK64" s="637"/>
      <c r="ACL64" s="637"/>
      <c r="ACM64" s="637"/>
      <c r="ACN64" s="637"/>
      <c r="ACO64" s="637"/>
      <c r="ACP64" s="637"/>
      <c r="ACQ64" s="637"/>
      <c r="ACR64" s="637"/>
      <c r="ACS64" s="637"/>
      <c r="ACT64" s="637"/>
      <c r="ACU64" s="637"/>
      <c r="ACV64" s="637"/>
      <c r="ACW64" s="637"/>
      <c r="ACX64" s="637"/>
      <c r="ACY64" s="637"/>
      <c r="ACZ64" s="637"/>
      <c r="ADA64" s="637"/>
      <c r="ADB64" s="637"/>
      <c r="ADC64" s="637"/>
      <c r="ADD64" s="637"/>
      <c r="ADE64" s="637"/>
      <c r="ADF64" s="637"/>
      <c r="ADG64" s="637"/>
      <c r="ADH64" s="637"/>
      <c r="ADI64" s="637"/>
      <c r="ADJ64" s="637"/>
      <c r="ADK64" s="637"/>
      <c r="ADL64" s="637"/>
      <c r="ADM64" s="637"/>
      <c r="ADN64" s="637"/>
      <c r="ADO64" s="637"/>
      <c r="ADP64" s="637"/>
      <c r="ADQ64" s="637"/>
      <c r="ADR64" s="637"/>
      <c r="ADS64" s="637"/>
      <c r="ADT64" s="637"/>
      <c r="ADU64" s="637"/>
      <c r="ADV64" s="637"/>
      <c r="ADW64" s="637"/>
      <c r="ADX64" s="637"/>
      <c r="ADY64" s="637"/>
      <c r="ADZ64" s="637"/>
      <c r="AEA64" s="637"/>
      <c r="AEB64" s="637"/>
      <c r="AEC64" s="637"/>
      <c r="AED64" s="637"/>
      <c r="AEE64" s="637"/>
      <c r="AEF64" s="637"/>
      <c r="AEG64" s="637"/>
      <c r="AEH64" s="637"/>
      <c r="AEI64" s="637"/>
      <c r="AEJ64" s="637"/>
      <c r="AEK64" s="637"/>
      <c r="AEL64" s="637"/>
      <c r="AEM64" s="637"/>
      <c r="AEN64" s="637"/>
      <c r="AEO64" s="637"/>
      <c r="AEP64" s="637"/>
      <c r="AEQ64" s="637"/>
      <c r="AER64" s="637"/>
      <c r="AES64" s="637"/>
      <c r="AET64" s="637"/>
      <c r="AEU64" s="637"/>
      <c r="AEV64" s="637"/>
      <c r="AEW64" s="637"/>
      <c r="AEX64" s="637"/>
      <c r="AEY64" s="637"/>
      <c r="AEZ64" s="637"/>
      <c r="AFA64" s="637"/>
      <c r="AFB64" s="637"/>
      <c r="AFC64" s="637"/>
      <c r="AFD64" s="637"/>
      <c r="AFE64" s="637"/>
      <c r="AFF64" s="637"/>
      <c r="AFG64" s="637"/>
      <c r="AFH64" s="637"/>
      <c r="AFI64" s="637"/>
      <c r="AFJ64" s="637"/>
      <c r="AFK64" s="637"/>
      <c r="AFL64" s="637"/>
      <c r="AFM64" s="637"/>
      <c r="AFN64" s="637"/>
      <c r="AFO64" s="637"/>
      <c r="AFP64" s="637"/>
      <c r="AFQ64" s="637"/>
      <c r="AFR64" s="637"/>
      <c r="AFS64" s="637"/>
      <c r="AFT64" s="637"/>
      <c r="AFU64" s="637"/>
      <c r="AFV64" s="637"/>
      <c r="AFW64" s="637"/>
      <c r="AFX64" s="637"/>
      <c r="AFY64" s="637"/>
      <c r="AFZ64" s="637"/>
      <c r="AGA64" s="637"/>
      <c r="AGB64" s="637"/>
      <c r="AGC64" s="637"/>
      <c r="AGD64" s="637"/>
      <c r="AGE64" s="637"/>
      <c r="AGF64" s="637"/>
      <c r="AGG64" s="637"/>
      <c r="AGH64" s="637"/>
      <c r="AGI64" s="637"/>
      <c r="AGJ64" s="637"/>
      <c r="AGK64" s="637"/>
      <c r="AGL64" s="637"/>
      <c r="AGM64" s="637"/>
      <c r="AGN64" s="637"/>
      <c r="AGO64" s="637"/>
      <c r="AGP64" s="637"/>
      <c r="AGQ64" s="637"/>
      <c r="AGR64" s="637"/>
      <c r="AGS64" s="637"/>
      <c r="AGT64" s="637"/>
      <c r="AGU64" s="637"/>
      <c r="AGV64" s="637"/>
      <c r="AGW64" s="637"/>
      <c r="AGX64" s="637"/>
      <c r="AGY64" s="637"/>
      <c r="AGZ64" s="637"/>
      <c r="AHA64" s="637"/>
      <c r="AHB64" s="637"/>
      <c r="AHC64" s="637"/>
      <c r="AHD64" s="637"/>
      <c r="AHE64" s="637"/>
      <c r="AHF64" s="637"/>
      <c r="AHG64" s="637"/>
      <c r="AHH64" s="637"/>
      <c r="AHI64" s="637"/>
      <c r="AHJ64" s="637"/>
      <c r="AHK64" s="637"/>
      <c r="AHL64" s="637"/>
      <c r="AHM64" s="637"/>
      <c r="AHN64" s="637"/>
      <c r="AHO64" s="637"/>
      <c r="AHP64" s="637"/>
      <c r="AHQ64" s="637"/>
      <c r="AHR64" s="637"/>
      <c r="AHS64" s="637"/>
      <c r="AHT64" s="637"/>
      <c r="AHU64" s="637"/>
      <c r="AHV64" s="637"/>
      <c r="AHW64" s="637"/>
      <c r="AHX64" s="637"/>
      <c r="AHY64" s="637"/>
      <c r="AHZ64" s="637"/>
      <c r="AIA64" s="637"/>
      <c r="AIB64" s="637"/>
      <c r="AIC64" s="637"/>
      <c r="AID64" s="637"/>
      <c r="AIE64" s="637"/>
      <c r="AIF64" s="637"/>
      <c r="AIG64" s="637"/>
      <c r="AIH64" s="637"/>
      <c r="AII64" s="637"/>
      <c r="AIJ64" s="637"/>
      <c r="AIK64" s="637"/>
      <c r="AIL64" s="637"/>
      <c r="AIM64" s="637"/>
      <c r="AIN64" s="637"/>
      <c r="AIO64" s="637"/>
      <c r="AIP64" s="637"/>
      <c r="AIQ64" s="637"/>
      <c r="AIR64" s="637"/>
      <c r="AIS64" s="637"/>
      <c r="AIT64" s="637"/>
      <c r="AIU64" s="637"/>
      <c r="AIV64" s="637"/>
      <c r="AIW64" s="637"/>
      <c r="AIX64" s="637"/>
      <c r="AIY64" s="637"/>
      <c r="AIZ64" s="637"/>
      <c r="AJA64" s="637"/>
      <c r="AJB64" s="637"/>
      <c r="AJC64" s="637"/>
      <c r="AJD64" s="637"/>
      <c r="AJE64" s="637"/>
      <c r="AJF64" s="637"/>
      <c r="AJG64" s="637"/>
      <c r="AJH64" s="637"/>
      <c r="AJI64" s="637"/>
      <c r="AJJ64" s="637"/>
      <c r="AJK64" s="637"/>
      <c r="AJL64" s="637"/>
      <c r="AJM64" s="637"/>
      <c r="AJN64" s="637"/>
      <c r="AJO64" s="637"/>
      <c r="AJP64" s="637"/>
      <c r="AJQ64" s="637"/>
      <c r="AJR64" s="637"/>
      <c r="AJS64" s="637"/>
      <c r="AJT64" s="637"/>
      <c r="AJU64" s="637"/>
      <c r="AJV64" s="637"/>
      <c r="AJW64" s="637"/>
      <c r="AJX64" s="637"/>
      <c r="AJY64" s="637"/>
      <c r="AJZ64" s="637"/>
      <c r="AKA64" s="637"/>
      <c r="AKB64" s="637"/>
      <c r="AKC64" s="637"/>
      <c r="AKD64" s="637"/>
      <c r="AKE64" s="637"/>
      <c r="AKF64" s="637"/>
      <c r="AKG64" s="637"/>
      <c r="AKH64" s="637"/>
      <c r="AKI64" s="637"/>
      <c r="AKJ64" s="637"/>
      <c r="AKK64" s="637"/>
      <c r="AKL64" s="637"/>
      <c r="AKM64" s="637"/>
      <c r="AKN64" s="637"/>
      <c r="AKO64" s="637"/>
      <c r="AKP64" s="637"/>
      <c r="AKQ64" s="637"/>
      <c r="AKR64" s="637"/>
      <c r="AKS64" s="637"/>
      <c r="AKT64" s="637"/>
      <c r="AKU64" s="637"/>
      <c r="AKV64" s="637"/>
      <c r="AKW64" s="637"/>
      <c r="AKX64" s="637"/>
      <c r="AKY64" s="637"/>
      <c r="AKZ64" s="637"/>
      <c r="ALA64" s="637"/>
      <c r="ALB64" s="637"/>
      <c r="ALC64" s="637"/>
      <c r="ALD64" s="637"/>
      <c r="ALE64" s="637"/>
      <c r="ALF64" s="637"/>
      <c r="ALG64" s="637"/>
      <c r="ALH64" s="637"/>
      <c r="ALI64" s="637"/>
      <c r="ALJ64" s="637"/>
      <c r="ALK64" s="637"/>
      <c r="ALL64" s="637"/>
      <c r="ALM64" s="637"/>
      <c r="ALN64" s="637"/>
      <c r="ALO64" s="637"/>
      <c r="ALP64" s="637"/>
      <c r="ALQ64" s="637"/>
      <c r="ALR64" s="637"/>
      <c r="ALS64" s="637"/>
      <c r="ALT64" s="637"/>
      <c r="ALU64" s="637"/>
      <c r="ALV64" s="637"/>
      <c r="ALW64" s="637"/>
      <c r="ALX64" s="637"/>
      <c r="ALY64" s="637"/>
      <c r="ALZ64" s="637"/>
      <c r="AMA64" s="637"/>
      <c r="AMB64" s="637"/>
      <c r="AMC64" s="637"/>
      <c r="AMD64" s="637"/>
      <c r="AME64" s="637"/>
      <c r="AMF64" s="637"/>
      <c r="AMG64" s="637"/>
      <c r="AMH64" s="637"/>
      <c r="AMI64" s="637"/>
      <c r="AMJ64" s="637"/>
    </row>
    <row r="65" spans="1:1024" s="638" customFormat="1" ht="12.75">
      <c r="A65" s="998"/>
      <c r="B65" s="999"/>
      <c r="C65" s="1000"/>
      <c r="D65" s="997" t="s">
        <v>861</v>
      </c>
      <c r="E65" s="994">
        <f>E8+E13+E17+E21+E25+E29+E33+E37+E45+E49+E53+E57+E61</f>
        <v>676167</v>
      </c>
      <c r="F65" s="994">
        <f aca="true" t="shared" si="5" ref="F65:R67">F8+F13+F17+F21+F25+F29+F33+F37+F41+F45+F49+F53+F57+F61</f>
        <v>676167</v>
      </c>
      <c r="G65" s="994">
        <f t="shared" si="5"/>
        <v>371545</v>
      </c>
      <c r="H65" s="994">
        <f t="shared" si="5"/>
        <v>117796</v>
      </c>
      <c r="I65" s="994">
        <f t="shared" si="5"/>
        <v>134411</v>
      </c>
      <c r="J65" s="994">
        <f t="shared" si="5"/>
        <v>15000</v>
      </c>
      <c r="K65" s="994">
        <f t="shared" si="5"/>
        <v>16</v>
      </c>
      <c r="L65" s="994">
        <f t="shared" si="5"/>
        <v>0</v>
      </c>
      <c r="M65" s="994">
        <f t="shared" si="5"/>
        <v>185</v>
      </c>
      <c r="N65" s="994">
        <f t="shared" si="5"/>
        <v>36014</v>
      </c>
      <c r="O65" s="994">
        <f t="shared" si="5"/>
        <v>1200</v>
      </c>
      <c r="P65" s="994">
        <f t="shared" si="5"/>
        <v>0</v>
      </c>
      <c r="Q65" s="994">
        <f t="shared" si="5"/>
        <v>0</v>
      </c>
      <c r="R65" s="994">
        <f t="shared" si="5"/>
        <v>0</v>
      </c>
      <c r="S65" s="637"/>
      <c r="T65" s="637"/>
      <c r="U65" s="637"/>
      <c r="V65" s="637"/>
      <c r="W65" s="637"/>
      <c r="X65" s="637"/>
      <c r="Y65" s="637"/>
      <c r="Z65" s="637"/>
      <c r="AA65" s="637"/>
      <c r="AB65" s="637"/>
      <c r="AC65" s="637"/>
      <c r="AD65" s="637"/>
      <c r="AE65" s="637"/>
      <c r="AF65" s="637"/>
      <c r="AG65" s="637"/>
      <c r="AH65" s="637"/>
      <c r="AI65" s="637"/>
      <c r="AJ65" s="637"/>
      <c r="AK65" s="637"/>
      <c r="AL65" s="637"/>
      <c r="AM65" s="637"/>
      <c r="AN65" s="637"/>
      <c r="AO65" s="637"/>
      <c r="AP65" s="637"/>
      <c r="AQ65" s="637"/>
      <c r="AR65" s="637"/>
      <c r="AS65" s="637"/>
      <c r="AT65" s="637"/>
      <c r="AU65" s="637"/>
      <c r="AV65" s="637"/>
      <c r="AW65" s="637"/>
      <c r="AX65" s="637"/>
      <c r="AY65" s="637"/>
      <c r="AZ65" s="637"/>
      <c r="BA65" s="637"/>
      <c r="BB65" s="637"/>
      <c r="BC65" s="637"/>
      <c r="BD65" s="637"/>
      <c r="BE65" s="637"/>
      <c r="BF65" s="637"/>
      <c r="BG65" s="637"/>
      <c r="BH65" s="637"/>
      <c r="BI65" s="637"/>
      <c r="BJ65" s="637"/>
      <c r="BK65" s="637"/>
      <c r="BL65" s="637"/>
      <c r="BM65" s="637"/>
      <c r="BN65" s="637"/>
      <c r="BO65" s="637"/>
      <c r="BP65" s="637"/>
      <c r="BQ65" s="637"/>
      <c r="BR65" s="637"/>
      <c r="BS65" s="637"/>
      <c r="BT65" s="637"/>
      <c r="BU65" s="637"/>
      <c r="BV65" s="637"/>
      <c r="BW65" s="637"/>
      <c r="BX65" s="637"/>
      <c r="BY65" s="637"/>
      <c r="BZ65" s="637"/>
      <c r="CA65" s="637"/>
      <c r="CB65" s="637"/>
      <c r="CC65" s="637"/>
      <c r="CD65" s="637"/>
      <c r="CE65" s="637"/>
      <c r="CF65" s="637"/>
      <c r="CG65" s="637"/>
      <c r="CH65" s="637"/>
      <c r="CI65" s="637"/>
      <c r="CJ65" s="637"/>
      <c r="CK65" s="637"/>
      <c r="CL65" s="637"/>
      <c r="CM65" s="637"/>
      <c r="CN65" s="637"/>
      <c r="CO65" s="637"/>
      <c r="CP65" s="637"/>
      <c r="CQ65" s="637"/>
      <c r="CR65" s="637"/>
      <c r="CS65" s="637"/>
      <c r="CT65" s="637"/>
      <c r="CU65" s="637"/>
      <c r="CV65" s="637"/>
      <c r="CW65" s="637"/>
      <c r="CX65" s="637"/>
      <c r="CY65" s="637"/>
      <c r="CZ65" s="637"/>
      <c r="DA65" s="637"/>
      <c r="DB65" s="637"/>
      <c r="DC65" s="637"/>
      <c r="DD65" s="637"/>
      <c r="DE65" s="637"/>
      <c r="DF65" s="637"/>
      <c r="DG65" s="637"/>
      <c r="DH65" s="637"/>
      <c r="DI65" s="637"/>
      <c r="DJ65" s="637"/>
      <c r="DK65" s="637"/>
      <c r="DL65" s="637"/>
      <c r="DM65" s="637"/>
      <c r="DN65" s="637"/>
      <c r="DO65" s="637"/>
      <c r="DP65" s="637"/>
      <c r="DQ65" s="637"/>
      <c r="DR65" s="637"/>
      <c r="DS65" s="637"/>
      <c r="DT65" s="637"/>
      <c r="DU65" s="637"/>
      <c r="DV65" s="637"/>
      <c r="DW65" s="637"/>
      <c r="DX65" s="637"/>
      <c r="DY65" s="637"/>
      <c r="DZ65" s="637"/>
      <c r="EA65" s="637"/>
      <c r="EB65" s="637"/>
      <c r="EC65" s="637"/>
      <c r="ED65" s="637"/>
      <c r="EE65" s="637"/>
      <c r="EF65" s="637"/>
      <c r="EG65" s="637"/>
      <c r="EH65" s="637"/>
      <c r="EI65" s="637"/>
      <c r="EJ65" s="637"/>
      <c r="EK65" s="637"/>
      <c r="EL65" s="637"/>
      <c r="EM65" s="637"/>
      <c r="EN65" s="637"/>
      <c r="EO65" s="637"/>
      <c r="EP65" s="637"/>
      <c r="EQ65" s="637"/>
      <c r="ER65" s="637"/>
      <c r="ES65" s="637"/>
      <c r="ET65" s="637"/>
      <c r="EU65" s="637"/>
      <c r="EV65" s="637"/>
      <c r="EW65" s="637"/>
      <c r="EX65" s="637"/>
      <c r="EY65" s="637"/>
      <c r="EZ65" s="637"/>
      <c r="FA65" s="637"/>
      <c r="FB65" s="637"/>
      <c r="FC65" s="637"/>
      <c r="FD65" s="637"/>
      <c r="FE65" s="637"/>
      <c r="FF65" s="637"/>
      <c r="FG65" s="637"/>
      <c r="FH65" s="637"/>
      <c r="FI65" s="637"/>
      <c r="FJ65" s="637"/>
      <c r="FK65" s="637"/>
      <c r="FL65" s="637"/>
      <c r="FM65" s="637"/>
      <c r="FN65" s="637"/>
      <c r="FO65" s="637"/>
      <c r="FP65" s="637"/>
      <c r="FQ65" s="637"/>
      <c r="FR65" s="637"/>
      <c r="FS65" s="637"/>
      <c r="FT65" s="637"/>
      <c r="FU65" s="637"/>
      <c r="FV65" s="637"/>
      <c r="FW65" s="637"/>
      <c r="FX65" s="637"/>
      <c r="FY65" s="637"/>
      <c r="FZ65" s="637"/>
      <c r="GA65" s="637"/>
      <c r="GB65" s="637"/>
      <c r="GC65" s="637"/>
      <c r="GD65" s="637"/>
      <c r="GE65" s="637"/>
      <c r="GF65" s="637"/>
      <c r="GG65" s="637"/>
      <c r="GH65" s="637"/>
      <c r="GI65" s="637"/>
      <c r="GJ65" s="637"/>
      <c r="GK65" s="637"/>
      <c r="GL65" s="637"/>
      <c r="GM65" s="637"/>
      <c r="GN65" s="637"/>
      <c r="GO65" s="637"/>
      <c r="GP65" s="637"/>
      <c r="GQ65" s="637"/>
      <c r="GR65" s="637"/>
      <c r="GS65" s="637"/>
      <c r="GT65" s="637"/>
      <c r="GU65" s="637"/>
      <c r="GV65" s="637"/>
      <c r="GW65" s="637"/>
      <c r="GX65" s="637"/>
      <c r="GY65" s="637"/>
      <c r="GZ65" s="637"/>
      <c r="HA65" s="637"/>
      <c r="HB65" s="637"/>
      <c r="HC65" s="637"/>
      <c r="HD65" s="637"/>
      <c r="HE65" s="637"/>
      <c r="HF65" s="637"/>
      <c r="HG65" s="637"/>
      <c r="HH65" s="637"/>
      <c r="HI65" s="637"/>
      <c r="HJ65" s="637"/>
      <c r="HK65" s="637"/>
      <c r="HL65" s="637"/>
      <c r="HM65" s="637"/>
      <c r="HN65" s="637"/>
      <c r="HO65" s="637"/>
      <c r="HP65" s="637"/>
      <c r="HQ65" s="637"/>
      <c r="HR65" s="637"/>
      <c r="HS65" s="637"/>
      <c r="HT65" s="637"/>
      <c r="HU65" s="637"/>
      <c r="HV65" s="637"/>
      <c r="HW65" s="637"/>
      <c r="HX65" s="637"/>
      <c r="HY65" s="637"/>
      <c r="HZ65" s="637"/>
      <c r="IA65" s="637"/>
      <c r="IB65" s="637"/>
      <c r="IC65" s="637"/>
      <c r="ID65" s="637"/>
      <c r="IE65" s="637"/>
      <c r="IF65" s="637"/>
      <c r="IG65" s="637"/>
      <c r="IH65" s="637"/>
      <c r="II65" s="637"/>
      <c r="IJ65" s="637"/>
      <c r="IK65" s="637"/>
      <c r="IL65" s="637"/>
      <c r="IM65" s="637"/>
      <c r="IN65" s="637"/>
      <c r="IO65" s="637"/>
      <c r="IP65" s="637"/>
      <c r="IQ65" s="637"/>
      <c r="IR65" s="637"/>
      <c r="IS65" s="637"/>
      <c r="IT65" s="637"/>
      <c r="IU65" s="637"/>
      <c r="IV65" s="637"/>
      <c r="IW65" s="637"/>
      <c r="IX65" s="637"/>
      <c r="IY65" s="637"/>
      <c r="IZ65" s="637"/>
      <c r="JA65" s="637"/>
      <c r="JB65" s="637"/>
      <c r="JC65" s="637"/>
      <c r="JD65" s="637"/>
      <c r="JE65" s="637"/>
      <c r="JF65" s="637"/>
      <c r="JG65" s="637"/>
      <c r="JH65" s="637"/>
      <c r="JI65" s="637"/>
      <c r="JJ65" s="637"/>
      <c r="JK65" s="637"/>
      <c r="JL65" s="637"/>
      <c r="JM65" s="637"/>
      <c r="JN65" s="637"/>
      <c r="JO65" s="637"/>
      <c r="JP65" s="637"/>
      <c r="JQ65" s="637"/>
      <c r="JR65" s="637"/>
      <c r="JS65" s="637"/>
      <c r="JT65" s="637"/>
      <c r="JU65" s="637"/>
      <c r="JV65" s="637"/>
      <c r="JW65" s="637"/>
      <c r="JX65" s="637"/>
      <c r="JY65" s="637"/>
      <c r="JZ65" s="637"/>
      <c r="KA65" s="637"/>
      <c r="KB65" s="637"/>
      <c r="KC65" s="637"/>
      <c r="KD65" s="637"/>
      <c r="KE65" s="637"/>
      <c r="KF65" s="637"/>
      <c r="KG65" s="637"/>
      <c r="KH65" s="637"/>
      <c r="KI65" s="637"/>
      <c r="KJ65" s="637"/>
      <c r="KK65" s="637"/>
      <c r="KL65" s="637"/>
      <c r="KM65" s="637"/>
      <c r="KN65" s="637"/>
      <c r="KO65" s="637"/>
      <c r="KP65" s="637"/>
      <c r="KQ65" s="637"/>
      <c r="KR65" s="637"/>
      <c r="KS65" s="637"/>
      <c r="KT65" s="637"/>
      <c r="KU65" s="637"/>
      <c r="KV65" s="637"/>
      <c r="KW65" s="637"/>
      <c r="KX65" s="637"/>
      <c r="KY65" s="637"/>
      <c r="KZ65" s="637"/>
      <c r="LA65" s="637"/>
      <c r="LB65" s="637"/>
      <c r="LC65" s="637"/>
      <c r="LD65" s="637"/>
      <c r="LE65" s="637"/>
      <c r="LF65" s="637"/>
      <c r="LG65" s="637"/>
      <c r="LH65" s="637"/>
      <c r="LI65" s="637"/>
      <c r="LJ65" s="637"/>
      <c r="LK65" s="637"/>
      <c r="LL65" s="637"/>
      <c r="LM65" s="637"/>
      <c r="LN65" s="637"/>
      <c r="LO65" s="637"/>
      <c r="LP65" s="637"/>
      <c r="LQ65" s="637"/>
      <c r="LR65" s="637"/>
      <c r="LS65" s="637"/>
      <c r="LT65" s="637"/>
      <c r="LU65" s="637"/>
      <c r="LV65" s="637"/>
      <c r="LW65" s="637"/>
      <c r="LX65" s="637"/>
      <c r="LY65" s="637"/>
      <c r="LZ65" s="637"/>
      <c r="MA65" s="637"/>
      <c r="MB65" s="637"/>
      <c r="MC65" s="637"/>
      <c r="MD65" s="637"/>
      <c r="ME65" s="637"/>
      <c r="MF65" s="637"/>
      <c r="MG65" s="637"/>
      <c r="MH65" s="637"/>
      <c r="MI65" s="637"/>
      <c r="MJ65" s="637"/>
      <c r="MK65" s="637"/>
      <c r="ML65" s="637"/>
      <c r="MM65" s="637"/>
      <c r="MN65" s="637"/>
      <c r="MO65" s="637"/>
      <c r="MP65" s="637"/>
      <c r="MQ65" s="637"/>
      <c r="MR65" s="637"/>
      <c r="MS65" s="637"/>
      <c r="MT65" s="637"/>
      <c r="MU65" s="637"/>
      <c r="MV65" s="637"/>
      <c r="MW65" s="637"/>
      <c r="MX65" s="637"/>
      <c r="MY65" s="637"/>
      <c r="MZ65" s="637"/>
      <c r="NA65" s="637"/>
      <c r="NB65" s="637"/>
      <c r="NC65" s="637"/>
      <c r="ND65" s="637"/>
      <c r="NE65" s="637"/>
      <c r="NF65" s="637"/>
      <c r="NG65" s="637"/>
      <c r="NH65" s="637"/>
      <c r="NI65" s="637"/>
      <c r="NJ65" s="637"/>
      <c r="NK65" s="637"/>
      <c r="NL65" s="637"/>
      <c r="NM65" s="637"/>
      <c r="NN65" s="637"/>
      <c r="NO65" s="637"/>
      <c r="NP65" s="637"/>
      <c r="NQ65" s="637"/>
      <c r="NR65" s="637"/>
      <c r="NS65" s="637"/>
      <c r="NT65" s="637"/>
      <c r="NU65" s="637"/>
      <c r="NV65" s="637"/>
      <c r="NW65" s="637"/>
      <c r="NX65" s="637"/>
      <c r="NY65" s="637"/>
      <c r="NZ65" s="637"/>
      <c r="OA65" s="637"/>
      <c r="OB65" s="637"/>
      <c r="OC65" s="637"/>
      <c r="OD65" s="637"/>
      <c r="OE65" s="637"/>
      <c r="OF65" s="637"/>
      <c r="OG65" s="637"/>
      <c r="OH65" s="637"/>
      <c r="OI65" s="637"/>
      <c r="OJ65" s="637"/>
      <c r="OK65" s="637"/>
      <c r="OL65" s="637"/>
      <c r="OM65" s="637"/>
      <c r="ON65" s="637"/>
      <c r="OO65" s="637"/>
      <c r="OP65" s="637"/>
      <c r="OQ65" s="637"/>
      <c r="OR65" s="637"/>
      <c r="OS65" s="637"/>
      <c r="OT65" s="637"/>
      <c r="OU65" s="637"/>
      <c r="OV65" s="637"/>
      <c r="OW65" s="637"/>
      <c r="OX65" s="637"/>
      <c r="OY65" s="637"/>
      <c r="OZ65" s="637"/>
      <c r="PA65" s="637"/>
      <c r="PB65" s="637"/>
      <c r="PC65" s="637"/>
      <c r="PD65" s="637"/>
      <c r="PE65" s="637"/>
      <c r="PF65" s="637"/>
      <c r="PG65" s="637"/>
      <c r="PH65" s="637"/>
      <c r="PI65" s="637"/>
      <c r="PJ65" s="637"/>
      <c r="PK65" s="637"/>
      <c r="PL65" s="637"/>
      <c r="PM65" s="637"/>
      <c r="PN65" s="637"/>
      <c r="PO65" s="637"/>
      <c r="PP65" s="637"/>
      <c r="PQ65" s="637"/>
      <c r="PR65" s="637"/>
      <c r="PS65" s="637"/>
      <c r="PT65" s="637"/>
      <c r="PU65" s="637"/>
      <c r="PV65" s="637"/>
      <c r="PW65" s="637"/>
      <c r="PX65" s="637"/>
      <c r="PY65" s="637"/>
      <c r="PZ65" s="637"/>
      <c r="QA65" s="637"/>
      <c r="QB65" s="637"/>
      <c r="QC65" s="637"/>
      <c r="QD65" s="637"/>
      <c r="QE65" s="637"/>
      <c r="QF65" s="637"/>
      <c r="QG65" s="637"/>
      <c r="QH65" s="637"/>
      <c r="QI65" s="637"/>
      <c r="QJ65" s="637"/>
      <c r="QK65" s="637"/>
      <c r="QL65" s="637"/>
      <c r="QM65" s="637"/>
      <c r="QN65" s="637"/>
      <c r="QO65" s="637"/>
      <c r="QP65" s="637"/>
      <c r="QQ65" s="637"/>
      <c r="QR65" s="637"/>
      <c r="QS65" s="637"/>
      <c r="QT65" s="637"/>
      <c r="QU65" s="637"/>
      <c r="QV65" s="637"/>
      <c r="QW65" s="637"/>
      <c r="QX65" s="637"/>
      <c r="QY65" s="637"/>
      <c r="QZ65" s="637"/>
      <c r="RA65" s="637"/>
      <c r="RB65" s="637"/>
      <c r="RC65" s="637"/>
      <c r="RD65" s="637"/>
      <c r="RE65" s="637"/>
      <c r="RF65" s="637"/>
      <c r="RG65" s="637"/>
      <c r="RH65" s="637"/>
      <c r="RI65" s="637"/>
      <c r="RJ65" s="637"/>
      <c r="RK65" s="637"/>
      <c r="RL65" s="637"/>
      <c r="RM65" s="637"/>
      <c r="RN65" s="637"/>
      <c r="RO65" s="637"/>
      <c r="RP65" s="637"/>
      <c r="RQ65" s="637"/>
      <c r="RR65" s="637"/>
      <c r="RS65" s="637"/>
      <c r="RT65" s="637"/>
      <c r="RU65" s="637"/>
      <c r="RV65" s="637"/>
      <c r="RW65" s="637"/>
      <c r="RX65" s="637"/>
      <c r="RY65" s="637"/>
      <c r="RZ65" s="637"/>
      <c r="SA65" s="637"/>
      <c r="SB65" s="637"/>
      <c r="SC65" s="637"/>
      <c r="SD65" s="637"/>
      <c r="SE65" s="637"/>
      <c r="SF65" s="637"/>
      <c r="SG65" s="637"/>
      <c r="SH65" s="637"/>
      <c r="SI65" s="637"/>
      <c r="SJ65" s="637"/>
      <c r="SK65" s="637"/>
      <c r="SL65" s="637"/>
      <c r="SM65" s="637"/>
      <c r="SN65" s="637"/>
      <c r="SO65" s="637"/>
      <c r="SP65" s="637"/>
      <c r="SQ65" s="637"/>
      <c r="SR65" s="637"/>
      <c r="SS65" s="637"/>
      <c r="ST65" s="637"/>
      <c r="SU65" s="637"/>
      <c r="SV65" s="637"/>
      <c r="SW65" s="637"/>
      <c r="SX65" s="637"/>
      <c r="SY65" s="637"/>
      <c r="SZ65" s="637"/>
      <c r="TA65" s="637"/>
      <c r="TB65" s="637"/>
      <c r="TC65" s="637"/>
      <c r="TD65" s="637"/>
      <c r="TE65" s="637"/>
      <c r="TF65" s="637"/>
      <c r="TG65" s="637"/>
      <c r="TH65" s="637"/>
      <c r="TI65" s="637"/>
      <c r="TJ65" s="637"/>
      <c r="TK65" s="637"/>
      <c r="TL65" s="637"/>
      <c r="TM65" s="637"/>
      <c r="TN65" s="637"/>
      <c r="TO65" s="637"/>
      <c r="TP65" s="637"/>
      <c r="TQ65" s="637"/>
      <c r="TR65" s="637"/>
      <c r="TS65" s="637"/>
      <c r="TT65" s="637"/>
      <c r="TU65" s="637"/>
      <c r="TV65" s="637"/>
      <c r="TW65" s="637"/>
      <c r="TX65" s="637"/>
      <c r="TY65" s="637"/>
      <c r="TZ65" s="637"/>
      <c r="UA65" s="637"/>
      <c r="UB65" s="637"/>
      <c r="UC65" s="637"/>
      <c r="UD65" s="637"/>
      <c r="UE65" s="637"/>
      <c r="UF65" s="637"/>
      <c r="UG65" s="637"/>
      <c r="UH65" s="637"/>
      <c r="UI65" s="637"/>
      <c r="UJ65" s="637"/>
      <c r="UK65" s="637"/>
      <c r="UL65" s="637"/>
      <c r="UM65" s="637"/>
      <c r="UN65" s="637"/>
      <c r="UO65" s="637"/>
      <c r="UP65" s="637"/>
      <c r="UQ65" s="637"/>
      <c r="UR65" s="637"/>
      <c r="US65" s="637"/>
      <c r="UT65" s="637"/>
      <c r="UU65" s="637"/>
      <c r="UV65" s="637"/>
      <c r="UW65" s="637"/>
      <c r="UX65" s="637"/>
      <c r="UY65" s="637"/>
      <c r="UZ65" s="637"/>
      <c r="VA65" s="637"/>
      <c r="VB65" s="637"/>
      <c r="VC65" s="637"/>
      <c r="VD65" s="637"/>
      <c r="VE65" s="637"/>
      <c r="VF65" s="637"/>
      <c r="VG65" s="637"/>
      <c r="VH65" s="637"/>
      <c r="VI65" s="637"/>
      <c r="VJ65" s="637"/>
      <c r="VK65" s="637"/>
      <c r="VL65" s="637"/>
      <c r="VM65" s="637"/>
      <c r="VN65" s="637"/>
      <c r="VO65" s="637"/>
      <c r="VP65" s="637"/>
      <c r="VQ65" s="637"/>
      <c r="VR65" s="637"/>
      <c r="VS65" s="637"/>
      <c r="VT65" s="637"/>
      <c r="VU65" s="637"/>
      <c r="VV65" s="637"/>
      <c r="VW65" s="637"/>
      <c r="VX65" s="637"/>
      <c r="VY65" s="637"/>
      <c r="VZ65" s="637"/>
      <c r="WA65" s="637"/>
      <c r="WB65" s="637"/>
      <c r="WC65" s="637"/>
      <c r="WD65" s="637"/>
      <c r="WE65" s="637"/>
      <c r="WF65" s="637"/>
      <c r="WG65" s="637"/>
      <c r="WH65" s="637"/>
      <c r="WI65" s="637"/>
      <c r="WJ65" s="637"/>
      <c r="WK65" s="637"/>
      <c r="WL65" s="637"/>
      <c r="WM65" s="637"/>
      <c r="WN65" s="637"/>
      <c r="WO65" s="637"/>
      <c r="WP65" s="637"/>
      <c r="WQ65" s="637"/>
      <c r="WR65" s="637"/>
      <c r="WS65" s="637"/>
      <c r="WT65" s="637"/>
      <c r="WU65" s="637"/>
      <c r="WV65" s="637"/>
      <c r="WW65" s="637"/>
      <c r="WX65" s="637"/>
      <c r="WY65" s="637"/>
      <c r="WZ65" s="637"/>
      <c r="XA65" s="637"/>
      <c r="XB65" s="637"/>
      <c r="XC65" s="637"/>
      <c r="XD65" s="637"/>
      <c r="XE65" s="637"/>
      <c r="XF65" s="637"/>
      <c r="XG65" s="637"/>
      <c r="XH65" s="637"/>
      <c r="XI65" s="637"/>
      <c r="XJ65" s="637"/>
      <c r="XK65" s="637"/>
      <c r="XL65" s="637"/>
      <c r="XM65" s="637"/>
      <c r="XN65" s="637"/>
      <c r="XO65" s="637"/>
      <c r="XP65" s="637"/>
      <c r="XQ65" s="637"/>
      <c r="XR65" s="637"/>
      <c r="XS65" s="637"/>
      <c r="XT65" s="637"/>
      <c r="XU65" s="637"/>
      <c r="XV65" s="637"/>
      <c r="XW65" s="637"/>
      <c r="XX65" s="637"/>
      <c r="XY65" s="637"/>
      <c r="XZ65" s="637"/>
      <c r="YA65" s="637"/>
      <c r="YB65" s="637"/>
      <c r="YC65" s="637"/>
      <c r="YD65" s="637"/>
      <c r="YE65" s="637"/>
      <c r="YF65" s="637"/>
      <c r="YG65" s="637"/>
      <c r="YH65" s="637"/>
      <c r="YI65" s="637"/>
      <c r="YJ65" s="637"/>
      <c r="YK65" s="637"/>
      <c r="YL65" s="637"/>
      <c r="YM65" s="637"/>
      <c r="YN65" s="637"/>
      <c r="YO65" s="637"/>
      <c r="YP65" s="637"/>
      <c r="YQ65" s="637"/>
      <c r="YR65" s="637"/>
      <c r="YS65" s="637"/>
      <c r="YT65" s="637"/>
      <c r="YU65" s="637"/>
      <c r="YV65" s="637"/>
      <c r="YW65" s="637"/>
      <c r="YX65" s="637"/>
      <c r="YY65" s="637"/>
      <c r="YZ65" s="637"/>
      <c r="ZA65" s="637"/>
      <c r="ZB65" s="637"/>
      <c r="ZC65" s="637"/>
      <c r="ZD65" s="637"/>
      <c r="ZE65" s="637"/>
      <c r="ZF65" s="637"/>
      <c r="ZG65" s="637"/>
      <c r="ZH65" s="637"/>
      <c r="ZI65" s="637"/>
      <c r="ZJ65" s="637"/>
      <c r="ZK65" s="637"/>
      <c r="ZL65" s="637"/>
      <c r="ZM65" s="637"/>
      <c r="ZN65" s="637"/>
      <c r="ZO65" s="637"/>
      <c r="ZP65" s="637"/>
      <c r="ZQ65" s="637"/>
      <c r="ZR65" s="637"/>
      <c r="ZS65" s="637"/>
      <c r="ZT65" s="637"/>
      <c r="ZU65" s="637"/>
      <c r="ZV65" s="637"/>
      <c r="ZW65" s="637"/>
      <c r="ZX65" s="637"/>
      <c r="ZY65" s="637"/>
      <c r="ZZ65" s="637"/>
      <c r="AAA65" s="637"/>
      <c r="AAB65" s="637"/>
      <c r="AAC65" s="637"/>
      <c r="AAD65" s="637"/>
      <c r="AAE65" s="637"/>
      <c r="AAF65" s="637"/>
      <c r="AAG65" s="637"/>
      <c r="AAH65" s="637"/>
      <c r="AAI65" s="637"/>
      <c r="AAJ65" s="637"/>
      <c r="AAK65" s="637"/>
      <c r="AAL65" s="637"/>
      <c r="AAM65" s="637"/>
      <c r="AAN65" s="637"/>
      <c r="AAO65" s="637"/>
      <c r="AAP65" s="637"/>
      <c r="AAQ65" s="637"/>
      <c r="AAR65" s="637"/>
      <c r="AAS65" s="637"/>
      <c r="AAT65" s="637"/>
      <c r="AAU65" s="637"/>
      <c r="AAV65" s="637"/>
      <c r="AAW65" s="637"/>
      <c r="AAX65" s="637"/>
      <c r="AAY65" s="637"/>
      <c r="AAZ65" s="637"/>
      <c r="ABA65" s="637"/>
      <c r="ABB65" s="637"/>
      <c r="ABC65" s="637"/>
      <c r="ABD65" s="637"/>
      <c r="ABE65" s="637"/>
      <c r="ABF65" s="637"/>
      <c r="ABG65" s="637"/>
      <c r="ABH65" s="637"/>
      <c r="ABI65" s="637"/>
      <c r="ABJ65" s="637"/>
      <c r="ABK65" s="637"/>
      <c r="ABL65" s="637"/>
      <c r="ABM65" s="637"/>
      <c r="ABN65" s="637"/>
      <c r="ABO65" s="637"/>
      <c r="ABP65" s="637"/>
      <c r="ABQ65" s="637"/>
      <c r="ABR65" s="637"/>
      <c r="ABS65" s="637"/>
      <c r="ABT65" s="637"/>
      <c r="ABU65" s="637"/>
      <c r="ABV65" s="637"/>
      <c r="ABW65" s="637"/>
      <c r="ABX65" s="637"/>
      <c r="ABY65" s="637"/>
      <c r="ABZ65" s="637"/>
      <c r="ACA65" s="637"/>
      <c r="ACB65" s="637"/>
      <c r="ACC65" s="637"/>
      <c r="ACD65" s="637"/>
      <c r="ACE65" s="637"/>
      <c r="ACF65" s="637"/>
      <c r="ACG65" s="637"/>
      <c r="ACH65" s="637"/>
      <c r="ACI65" s="637"/>
      <c r="ACJ65" s="637"/>
      <c r="ACK65" s="637"/>
      <c r="ACL65" s="637"/>
      <c r="ACM65" s="637"/>
      <c r="ACN65" s="637"/>
      <c r="ACO65" s="637"/>
      <c r="ACP65" s="637"/>
      <c r="ACQ65" s="637"/>
      <c r="ACR65" s="637"/>
      <c r="ACS65" s="637"/>
      <c r="ACT65" s="637"/>
      <c r="ACU65" s="637"/>
      <c r="ACV65" s="637"/>
      <c r="ACW65" s="637"/>
      <c r="ACX65" s="637"/>
      <c r="ACY65" s="637"/>
      <c r="ACZ65" s="637"/>
      <c r="ADA65" s="637"/>
      <c r="ADB65" s="637"/>
      <c r="ADC65" s="637"/>
      <c r="ADD65" s="637"/>
      <c r="ADE65" s="637"/>
      <c r="ADF65" s="637"/>
      <c r="ADG65" s="637"/>
      <c r="ADH65" s="637"/>
      <c r="ADI65" s="637"/>
      <c r="ADJ65" s="637"/>
      <c r="ADK65" s="637"/>
      <c r="ADL65" s="637"/>
      <c r="ADM65" s="637"/>
      <c r="ADN65" s="637"/>
      <c r="ADO65" s="637"/>
      <c r="ADP65" s="637"/>
      <c r="ADQ65" s="637"/>
      <c r="ADR65" s="637"/>
      <c r="ADS65" s="637"/>
      <c r="ADT65" s="637"/>
      <c r="ADU65" s="637"/>
      <c r="ADV65" s="637"/>
      <c r="ADW65" s="637"/>
      <c r="ADX65" s="637"/>
      <c r="ADY65" s="637"/>
      <c r="ADZ65" s="637"/>
      <c r="AEA65" s="637"/>
      <c r="AEB65" s="637"/>
      <c r="AEC65" s="637"/>
      <c r="AED65" s="637"/>
      <c r="AEE65" s="637"/>
      <c r="AEF65" s="637"/>
      <c r="AEG65" s="637"/>
      <c r="AEH65" s="637"/>
      <c r="AEI65" s="637"/>
      <c r="AEJ65" s="637"/>
      <c r="AEK65" s="637"/>
      <c r="AEL65" s="637"/>
      <c r="AEM65" s="637"/>
      <c r="AEN65" s="637"/>
      <c r="AEO65" s="637"/>
      <c r="AEP65" s="637"/>
      <c r="AEQ65" s="637"/>
      <c r="AER65" s="637"/>
      <c r="AES65" s="637"/>
      <c r="AET65" s="637"/>
      <c r="AEU65" s="637"/>
      <c r="AEV65" s="637"/>
      <c r="AEW65" s="637"/>
      <c r="AEX65" s="637"/>
      <c r="AEY65" s="637"/>
      <c r="AEZ65" s="637"/>
      <c r="AFA65" s="637"/>
      <c r="AFB65" s="637"/>
      <c r="AFC65" s="637"/>
      <c r="AFD65" s="637"/>
      <c r="AFE65" s="637"/>
      <c r="AFF65" s="637"/>
      <c r="AFG65" s="637"/>
      <c r="AFH65" s="637"/>
      <c r="AFI65" s="637"/>
      <c r="AFJ65" s="637"/>
      <c r="AFK65" s="637"/>
      <c r="AFL65" s="637"/>
      <c r="AFM65" s="637"/>
      <c r="AFN65" s="637"/>
      <c r="AFO65" s="637"/>
      <c r="AFP65" s="637"/>
      <c r="AFQ65" s="637"/>
      <c r="AFR65" s="637"/>
      <c r="AFS65" s="637"/>
      <c r="AFT65" s="637"/>
      <c r="AFU65" s="637"/>
      <c r="AFV65" s="637"/>
      <c r="AFW65" s="637"/>
      <c r="AFX65" s="637"/>
      <c r="AFY65" s="637"/>
      <c r="AFZ65" s="637"/>
      <c r="AGA65" s="637"/>
      <c r="AGB65" s="637"/>
      <c r="AGC65" s="637"/>
      <c r="AGD65" s="637"/>
      <c r="AGE65" s="637"/>
      <c r="AGF65" s="637"/>
      <c r="AGG65" s="637"/>
      <c r="AGH65" s="637"/>
      <c r="AGI65" s="637"/>
      <c r="AGJ65" s="637"/>
      <c r="AGK65" s="637"/>
      <c r="AGL65" s="637"/>
      <c r="AGM65" s="637"/>
      <c r="AGN65" s="637"/>
      <c r="AGO65" s="637"/>
      <c r="AGP65" s="637"/>
      <c r="AGQ65" s="637"/>
      <c r="AGR65" s="637"/>
      <c r="AGS65" s="637"/>
      <c r="AGT65" s="637"/>
      <c r="AGU65" s="637"/>
      <c r="AGV65" s="637"/>
      <c r="AGW65" s="637"/>
      <c r="AGX65" s="637"/>
      <c r="AGY65" s="637"/>
      <c r="AGZ65" s="637"/>
      <c r="AHA65" s="637"/>
      <c r="AHB65" s="637"/>
      <c r="AHC65" s="637"/>
      <c r="AHD65" s="637"/>
      <c r="AHE65" s="637"/>
      <c r="AHF65" s="637"/>
      <c r="AHG65" s="637"/>
      <c r="AHH65" s="637"/>
      <c r="AHI65" s="637"/>
      <c r="AHJ65" s="637"/>
      <c r="AHK65" s="637"/>
      <c r="AHL65" s="637"/>
      <c r="AHM65" s="637"/>
      <c r="AHN65" s="637"/>
      <c r="AHO65" s="637"/>
      <c r="AHP65" s="637"/>
      <c r="AHQ65" s="637"/>
      <c r="AHR65" s="637"/>
      <c r="AHS65" s="637"/>
      <c r="AHT65" s="637"/>
      <c r="AHU65" s="637"/>
      <c r="AHV65" s="637"/>
      <c r="AHW65" s="637"/>
      <c r="AHX65" s="637"/>
      <c r="AHY65" s="637"/>
      <c r="AHZ65" s="637"/>
      <c r="AIA65" s="637"/>
      <c r="AIB65" s="637"/>
      <c r="AIC65" s="637"/>
      <c r="AID65" s="637"/>
      <c r="AIE65" s="637"/>
      <c r="AIF65" s="637"/>
      <c r="AIG65" s="637"/>
      <c r="AIH65" s="637"/>
      <c r="AII65" s="637"/>
      <c r="AIJ65" s="637"/>
      <c r="AIK65" s="637"/>
      <c r="AIL65" s="637"/>
      <c r="AIM65" s="637"/>
      <c r="AIN65" s="637"/>
      <c r="AIO65" s="637"/>
      <c r="AIP65" s="637"/>
      <c r="AIQ65" s="637"/>
      <c r="AIR65" s="637"/>
      <c r="AIS65" s="637"/>
      <c r="AIT65" s="637"/>
      <c r="AIU65" s="637"/>
      <c r="AIV65" s="637"/>
      <c r="AIW65" s="637"/>
      <c r="AIX65" s="637"/>
      <c r="AIY65" s="637"/>
      <c r="AIZ65" s="637"/>
      <c r="AJA65" s="637"/>
      <c r="AJB65" s="637"/>
      <c r="AJC65" s="637"/>
      <c r="AJD65" s="637"/>
      <c r="AJE65" s="637"/>
      <c r="AJF65" s="637"/>
      <c r="AJG65" s="637"/>
      <c r="AJH65" s="637"/>
      <c r="AJI65" s="637"/>
      <c r="AJJ65" s="637"/>
      <c r="AJK65" s="637"/>
      <c r="AJL65" s="637"/>
      <c r="AJM65" s="637"/>
      <c r="AJN65" s="637"/>
      <c r="AJO65" s="637"/>
      <c r="AJP65" s="637"/>
      <c r="AJQ65" s="637"/>
      <c r="AJR65" s="637"/>
      <c r="AJS65" s="637"/>
      <c r="AJT65" s="637"/>
      <c r="AJU65" s="637"/>
      <c r="AJV65" s="637"/>
      <c r="AJW65" s="637"/>
      <c r="AJX65" s="637"/>
      <c r="AJY65" s="637"/>
      <c r="AJZ65" s="637"/>
      <c r="AKA65" s="637"/>
      <c r="AKB65" s="637"/>
      <c r="AKC65" s="637"/>
      <c r="AKD65" s="637"/>
      <c r="AKE65" s="637"/>
      <c r="AKF65" s="637"/>
      <c r="AKG65" s="637"/>
      <c r="AKH65" s="637"/>
      <c r="AKI65" s="637"/>
      <c r="AKJ65" s="637"/>
      <c r="AKK65" s="637"/>
      <c r="AKL65" s="637"/>
      <c r="AKM65" s="637"/>
      <c r="AKN65" s="637"/>
      <c r="AKO65" s="637"/>
      <c r="AKP65" s="637"/>
      <c r="AKQ65" s="637"/>
      <c r="AKR65" s="637"/>
      <c r="AKS65" s="637"/>
      <c r="AKT65" s="637"/>
      <c r="AKU65" s="637"/>
      <c r="AKV65" s="637"/>
      <c r="AKW65" s="637"/>
      <c r="AKX65" s="637"/>
      <c r="AKY65" s="637"/>
      <c r="AKZ65" s="637"/>
      <c r="ALA65" s="637"/>
      <c r="ALB65" s="637"/>
      <c r="ALC65" s="637"/>
      <c r="ALD65" s="637"/>
      <c r="ALE65" s="637"/>
      <c r="ALF65" s="637"/>
      <c r="ALG65" s="637"/>
      <c r="ALH65" s="637"/>
      <c r="ALI65" s="637"/>
      <c r="ALJ65" s="637"/>
      <c r="ALK65" s="637"/>
      <c r="ALL65" s="637"/>
      <c r="ALM65" s="637"/>
      <c r="ALN65" s="637"/>
      <c r="ALO65" s="637"/>
      <c r="ALP65" s="637"/>
      <c r="ALQ65" s="637"/>
      <c r="ALR65" s="637"/>
      <c r="ALS65" s="637"/>
      <c r="ALT65" s="637"/>
      <c r="ALU65" s="637"/>
      <c r="ALV65" s="637"/>
      <c r="ALW65" s="637"/>
      <c r="ALX65" s="637"/>
      <c r="ALY65" s="637"/>
      <c r="ALZ65" s="637"/>
      <c r="AMA65" s="637"/>
      <c r="AMB65" s="637"/>
      <c r="AMC65" s="637"/>
      <c r="AMD65" s="637"/>
      <c r="AME65" s="637"/>
      <c r="AMF65" s="637"/>
      <c r="AMG65" s="637"/>
      <c r="AMH65" s="637"/>
      <c r="AMI65" s="637"/>
      <c r="AMJ65" s="637"/>
    </row>
    <row r="66" spans="1:1024" s="638" customFormat="1" ht="12.75">
      <c r="A66" s="1094"/>
      <c r="B66" s="1094"/>
      <c r="C66" s="1094"/>
      <c r="D66" s="981" t="s">
        <v>1041</v>
      </c>
      <c r="E66" s="994">
        <f aca="true" t="shared" si="6" ref="E66:F66">E9+E14+E18+E22+E26+E30+E34+E38+E42+E46+E50+E54+E58+E62</f>
        <v>566055</v>
      </c>
      <c r="F66" s="994">
        <f t="shared" si="6"/>
        <v>566055</v>
      </c>
      <c r="G66" s="994">
        <f t="shared" si="5"/>
        <v>326723</v>
      </c>
      <c r="H66" s="994">
        <f t="shared" si="5"/>
        <v>100845</v>
      </c>
      <c r="I66" s="994">
        <f t="shared" si="5"/>
        <v>102060</v>
      </c>
      <c r="J66" s="994">
        <f t="shared" si="5"/>
        <v>15011</v>
      </c>
      <c r="K66" s="994">
        <f t="shared" si="5"/>
        <v>16</v>
      </c>
      <c r="L66" s="994">
        <f t="shared" si="5"/>
        <v>0</v>
      </c>
      <c r="M66" s="994">
        <f t="shared" si="5"/>
        <v>186</v>
      </c>
      <c r="N66" s="994">
        <f t="shared" si="5"/>
        <v>20014</v>
      </c>
      <c r="O66" s="994">
        <f t="shared" si="5"/>
        <v>1200</v>
      </c>
      <c r="P66" s="994">
        <f t="shared" si="5"/>
        <v>0</v>
      </c>
      <c r="Q66" s="994">
        <f t="shared" si="5"/>
        <v>0</v>
      </c>
      <c r="R66" s="994">
        <f t="shared" si="5"/>
        <v>0</v>
      </c>
      <c r="S66" s="637"/>
      <c r="T66" s="637"/>
      <c r="U66" s="637"/>
      <c r="V66" s="637"/>
      <c r="W66" s="637"/>
      <c r="X66" s="637"/>
      <c r="Y66" s="637"/>
      <c r="Z66" s="637"/>
      <c r="AA66" s="637"/>
      <c r="AB66" s="637"/>
      <c r="AC66" s="637"/>
      <c r="AD66" s="637"/>
      <c r="AE66" s="637"/>
      <c r="AF66" s="637"/>
      <c r="AG66" s="637"/>
      <c r="AH66" s="637"/>
      <c r="AI66" s="637"/>
      <c r="AJ66" s="637"/>
      <c r="AK66" s="637"/>
      <c r="AL66" s="637"/>
      <c r="AM66" s="637"/>
      <c r="AN66" s="637"/>
      <c r="AO66" s="637"/>
      <c r="AP66" s="637"/>
      <c r="AQ66" s="637"/>
      <c r="AR66" s="637"/>
      <c r="AS66" s="637"/>
      <c r="AT66" s="637"/>
      <c r="AU66" s="637"/>
      <c r="AV66" s="637"/>
      <c r="AW66" s="637"/>
      <c r="AX66" s="637"/>
      <c r="AY66" s="637"/>
      <c r="AZ66" s="637"/>
      <c r="BA66" s="637"/>
      <c r="BB66" s="637"/>
      <c r="BC66" s="637"/>
      <c r="BD66" s="637"/>
      <c r="BE66" s="637"/>
      <c r="BF66" s="637"/>
      <c r="BG66" s="637"/>
      <c r="BH66" s="637"/>
      <c r="BI66" s="637"/>
      <c r="BJ66" s="637"/>
      <c r="BK66" s="637"/>
      <c r="BL66" s="637"/>
      <c r="BM66" s="637"/>
      <c r="BN66" s="637"/>
      <c r="BO66" s="637"/>
      <c r="BP66" s="637"/>
      <c r="BQ66" s="637"/>
      <c r="BR66" s="637"/>
      <c r="BS66" s="637"/>
      <c r="BT66" s="637"/>
      <c r="BU66" s="637"/>
      <c r="BV66" s="637"/>
      <c r="BW66" s="637"/>
      <c r="BX66" s="637"/>
      <c r="BY66" s="637"/>
      <c r="BZ66" s="637"/>
      <c r="CA66" s="637"/>
      <c r="CB66" s="637"/>
      <c r="CC66" s="637"/>
      <c r="CD66" s="637"/>
      <c r="CE66" s="637"/>
      <c r="CF66" s="637"/>
      <c r="CG66" s="637"/>
      <c r="CH66" s="637"/>
      <c r="CI66" s="637"/>
      <c r="CJ66" s="637"/>
      <c r="CK66" s="637"/>
      <c r="CL66" s="637"/>
      <c r="CM66" s="637"/>
      <c r="CN66" s="637"/>
      <c r="CO66" s="637"/>
      <c r="CP66" s="637"/>
      <c r="CQ66" s="637"/>
      <c r="CR66" s="637"/>
      <c r="CS66" s="637"/>
      <c r="CT66" s="637"/>
      <c r="CU66" s="637"/>
      <c r="CV66" s="637"/>
      <c r="CW66" s="637"/>
      <c r="CX66" s="637"/>
      <c r="CY66" s="637"/>
      <c r="CZ66" s="637"/>
      <c r="DA66" s="637"/>
      <c r="DB66" s="637"/>
      <c r="DC66" s="637"/>
      <c r="DD66" s="637"/>
      <c r="DE66" s="637"/>
      <c r="DF66" s="637"/>
      <c r="DG66" s="637"/>
      <c r="DH66" s="637"/>
      <c r="DI66" s="637"/>
      <c r="DJ66" s="637"/>
      <c r="DK66" s="637"/>
      <c r="DL66" s="637"/>
      <c r="DM66" s="637"/>
      <c r="DN66" s="637"/>
      <c r="DO66" s="637"/>
      <c r="DP66" s="637"/>
      <c r="DQ66" s="637"/>
      <c r="DR66" s="637"/>
      <c r="DS66" s="637"/>
      <c r="DT66" s="637"/>
      <c r="DU66" s="637"/>
      <c r="DV66" s="637"/>
      <c r="DW66" s="637"/>
      <c r="DX66" s="637"/>
      <c r="DY66" s="637"/>
      <c r="DZ66" s="637"/>
      <c r="EA66" s="637"/>
      <c r="EB66" s="637"/>
      <c r="EC66" s="637"/>
      <c r="ED66" s="637"/>
      <c r="EE66" s="637"/>
      <c r="EF66" s="637"/>
      <c r="EG66" s="637"/>
      <c r="EH66" s="637"/>
      <c r="EI66" s="637"/>
      <c r="EJ66" s="637"/>
      <c r="EK66" s="637"/>
      <c r="EL66" s="637"/>
      <c r="EM66" s="637"/>
      <c r="EN66" s="637"/>
      <c r="EO66" s="637"/>
      <c r="EP66" s="637"/>
      <c r="EQ66" s="637"/>
      <c r="ER66" s="637"/>
      <c r="ES66" s="637"/>
      <c r="ET66" s="637"/>
      <c r="EU66" s="637"/>
      <c r="EV66" s="637"/>
      <c r="EW66" s="637"/>
      <c r="EX66" s="637"/>
      <c r="EY66" s="637"/>
      <c r="EZ66" s="637"/>
      <c r="FA66" s="637"/>
      <c r="FB66" s="637"/>
      <c r="FC66" s="637"/>
      <c r="FD66" s="637"/>
      <c r="FE66" s="637"/>
      <c r="FF66" s="637"/>
      <c r="FG66" s="637"/>
      <c r="FH66" s="637"/>
      <c r="FI66" s="637"/>
      <c r="FJ66" s="637"/>
      <c r="FK66" s="637"/>
      <c r="FL66" s="637"/>
      <c r="FM66" s="637"/>
      <c r="FN66" s="637"/>
      <c r="FO66" s="637"/>
      <c r="FP66" s="637"/>
      <c r="FQ66" s="637"/>
      <c r="FR66" s="637"/>
      <c r="FS66" s="637"/>
      <c r="FT66" s="637"/>
      <c r="FU66" s="637"/>
      <c r="FV66" s="637"/>
      <c r="FW66" s="637"/>
      <c r="FX66" s="637"/>
      <c r="FY66" s="637"/>
      <c r="FZ66" s="637"/>
      <c r="GA66" s="637"/>
      <c r="GB66" s="637"/>
      <c r="GC66" s="637"/>
      <c r="GD66" s="637"/>
      <c r="GE66" s="637"/>
      <c r="GF66" s="637"/>
      <c r="GG66" s="637"/>
      <c r="GH66" s="637"/>
      <c r="GI66" s="637"/>
      <c r="GJ66" s="637"/>
      <c r="GK66" s="637"/>
      <c r="GL66" s="637"/>
      <c r="GM66" s="637"/>
      <c r="GN66" s="637"/>
      <c r="GO66" s="637"/>
      <c r="GP66" s="637"/>
      <c r="GQ66" s="637"/>
      <c r="GR66" s="637"/>
      <c r="GS66" s="637"/>
      <c r="GT66" s="637"/>
      <c r="GU66" s="637"/>
      <c r="GV66" s="637"/>
      <c r="GW66" s="637"/>
      <c r="GX66" s="637"/>
      <c r="GY66" s="637"/>
      <c r="GZ66" s="637"/>
      <c r="HA66" s="637"/>
      <c r="HB66" s="637"/>
      <c r="HC66" s="637"/>
      <c r="HD66" s="637"/>
      <c r="HE66" s="637"/>
      <c r="HF66" s="637"/>
      <c r="HG66" s="637"/>
      <c r="HH66" s="637"/>
      <c r="HI66" s="637"/>
      <c r="HJ66" s="637"/>
      <c r="HK66" s="637"/>
      <c r="HL66" s="637"/>
      <c r="HM66" s="637"/>
      <c r="HN66" s="637"/>
      <c r="HO66" s="637"/>
      <c r="HP66" s="637"/>
      <c r="HQ66" s="637"/>
      <c r="HR66" s="637"/>
      <c r="HS66" s="637"/>
      <c r="HT66" s="637"/>
      <c r="HU66" s="637"/>
      <c r="HV66" s="637"/>
      <c r="HW66" s="637"/>
      <c r="HX66" s="637"/>
      <c r="HY66" s="637"/>
      <c r="HZ66" s="637"/>
      <c r="IA66" s="637"/>
      <c r="IB66" s="637"/>
      <c r="IC66" s="637"/>
      <c r="ID66" s="637"/>
      <c r="IE66" s="637"/>
      <c r="IF66" s="637"/>
      <c r="IG66" s="637"/>
      <c r="IH66" s="637"/>
      <c r="II66" s="637"/>
      <c r="IJ66" s="637"/>
      <c r="IK66" s="637"/>
      <c r="IL66" s="637"/>
      <c r="IM66" s="637"/>
      <c r="IN66" s="637"/>
      <c r="IO66" s="637"/>
      <c r="IP66" s="637"/>
      <c r="IQ66" s="637"/>
      <c r="IR66" s="637"/>
      <c r="IS66" s="637"/>
      <c r="IT66" s="637"/>
      <c r="IU66" s="637"/>
      <c r="IV66" s="637"/>
      <c r="IW66" s="637"/>
      <c r="IX66" s="637"/>
      <c r="IY66" s="637"/>
      <c r="IZ66" s="637"/>
      <c r="JA66" s="637"/>
      <c r="JB66" s="637"/>
      <c r="JC66" s="637"/>
      <c r="JD66" s="637"/>
      <c r="JE66" s="637"/>
      <c r="JF66" s="637"/>
      <c r="JG66" s="637"/>
      <c r="JH66" s="637"/>
      <c r="JI66" s="637"/>
      <c r="JJ66" s="637"/>
      <c r="JK66" s="637"/>
      <c r="JL66" s="637"/>
      <c r="JM66" s="637"/>
      <c r="JN66" s="637"/>
      <c r="JO66" s="637"/>
      <c r="JP66" s="637"/>
      <c r="JQ66" s="637"/>
      <c r="JR66" s="637"/>
      <c r="JS66" s="637"/>
      <c r="JT66" s="637"/>
      <c r="JU66" s="637"/>
      <c r="JV66" s="637"/>
      <c r="JW66" s="637"/>
      <c r="JX66" s="637"/>
      <c r="JY66" s="637"/>
      <c r="JZ66" s="637"/>
      <c r="KA66" s="637"/>
      <c r="KB66" s="637"/>
      <c r="KC66" s="637"/>
      <c r="KD66" s="637"/>
      <c r="KE66" s="637"/>
      <c r="KF66" s="637"/>
      <c r="KG66" s="637"/>
      <c r="KH66" s="637"/>
      <c r="KI66" s="637"/>
      <c r="KJ66" s="637"/>
      <c r="KK66" s="637"/>
      <c r="KL66" s="637"/>
      <c r="KM66" s="637"/>
      <c r="KN66" s="637"/>
      <c r="KO66" s="637"/>
      <c r="KP66" s="637"/>
      <c r="KQ66" s="637"/>
      <c r="KR66" s="637"/>
      <c r="KS66" s="637"/>
      <c r="KT66" s="637"/>
      <c r="KU66" s="637"/>
      <c r="KV66" s="637"/>
      <c r="KW66" s="637"/>
      <c r="KX66" s="637"/>
      <c r="KY66" s="637"/>
      <c r="KZ66" s="637"/>
      <c r="LA66" s="637"/>
      <c r="LB66" s="637"/>
      <c r="LC66" s="637"/>
      <c r="LD66" s="637"/>
      <c r="LE66" s="637"/>
      <c r="LF66" s="637"/>
      <c r="LG66" s="637"/>
      <c r="LH66" s="637"/>
      <c r="LI66" s="637"/>
      <c r="LJ66" s="637"/>
      <c r="LK66" s="637"/>
      <c r="LL66" s="637"/>
      <c r="LM66" s="637"/>
      <c r="LN66" s="637"/>
      <c r="LO66" s="637"/>
      <c r="LP66" s="637"/>
      <c r="LQ66" s="637"/>
      <c r="LR66" s="637"/>
      <c r="LS66" s="637"/>
      <c r="LT66" s="637"/>
      <c r="LU66" s="637"/>
      <c r="LV66" s="637"/>
      <c r="LW66" s="637"/>
      <c r="LX66" s="637"/>
      <c r="LY66" s="637"/>
      <c r="LZ66" s="637"/>
      <c r="MA66" s="637"/>
      <c r="MB66" s="637"/>
      <c r="MC66" s="637"/>
      <c r="MD66" s="637"/>
      <c r="ME66" s="637"/>
      <c r="MF66" s="637"/>
      <c r="MG66" s="637"/>
      <c r="MH66" s="637"/>
      <c r="MI66" s="637"/>
      <c r="MJ66" s="637"/>
      <c r="MK66" s="637"/>
      <c r="ML66" s="637"/>
      <c r="MM66" s="637"/>
      <c r="MN66" s="637"/>
      <c r="MO66" s="637"/>
      <c r="MP66" s="637"/>
      <c r="MQ66" s="637"/>
      <c r="MR66" s="637"/>
      <c r="MS66" s="637"/>
      <c r="MT66" s="637"/>
      <c r="MU66" s="637"/>
      <c r="MV66" s="637"/>
      <c r="MW66" s="637"/>
      <c r="MX66" s="637"/>
      <c r="MY66" s="637"/>
      <c r="MZ66" s="637"/>
      <c r="NA66" s="637"/>
      <c r="NB66" s="637"/>
      <c r="NC66" s="637"/>
      <c r="ND66" s="637"/>
      <c r="NE66" s="637"/>
      <c r="NF66" s="637"/>
      <c r="NG66" s="637"/>
      <c r="NH66" s="637"/>
      <c r="NI66" s="637"/>
      <c r="NJ66" s="637"/>
      <c r="NK66" s="637"/>
      <c r="NL66" s="637"/>
      <c r="NM66" s="637"/>
      <c r="NN66" s="637"/>
      <c r="NO66" s="637"/>
      <c r="NP66" s="637"/>
      <c r="NQ66" s="637"/>
      <c r="NR66" s="637"/>
      <c r="NS66" s="637"/>
      <c r="NT66" s="637"/>
      <c r="NU66" s="637"/>
      <c r="NV66" s="637"/>
      <c r="NW66" s="637"/>
      <c r="NX66" s="637"/>
      <c r="NY66" s="637"/>
      <c r="NZ66" s="637"/>
      <c r="OA66" s="637"/>
      <c r="OB66" s="637"/>
      <c r="OC66" s="637"/>
      <c r="OD66" s="637"/>
      <c r="OE66" s="637"/>
      <c r="OF66" s="637"/>
      <c r="OG66" s="637"/>
      <c r="OH66" s="637"/>
      <c r="OI66" s="637"/>
      <c r="OJ66" s="637"/>
      <c r="OK66" s="637"/>
      <c r="OL66" s="637"/>
      <c r="OM66" s="637"/>
      <c r="ON66" s="637"/>
      <c r="OO66" s="637"/>
      <c r="OP66" s="637"/>
      <c r="OQ66" s="637"/>
      <c r="OR66" s="637"/>
      <c r="OS66" s="637"/>
      <c r="OT66" s="637"/>
      <c r="OU66" s="637"/>
      <c r="OV66" s="637"/>
      <c r="OW66" s="637"/>
      <c r="OX66" s="637"/>
      <c r="OY66" s="637"/>
      <c r="OZ66" s="637"/>
      <c r="PA66" s="637"/>
      <c r="PB66" s="637"/>
      <c r="PC66" s="637"/>
      <c r="PD66" s="637"/>
      <c r="PE66" s="637"/>
      <c r="PF66" s="637"/>
      <c r="PG66" s="637"/>
      <c r="PH66" s="637"/>
      <c r="PI66" s="637"/>
      <c r="PJ66" s="637"/>
      <c r="PK66" s="637"/>
      <c r="PL66" s="637"/>
      <c r="PM66" s="637"/>
      <c r="PN66" s="637"/>
      <c r="PO66" s="637"/>
      <c r="PP66" s="637"/>
      <c r="PQ66" s="637"/>
      <c r="PR66" s="637"/>
      <c r="PS66" s="637"/>
      <c r="PT66" s="637"/>
      <c r="PU66" s="637"/>
      <c r="PV66" s="637"/>
      <c r="PW66" s="637"/>
      <c r="PX66" s="637"/>
      <c r="PY66" s="637"/>
      <c r="PZ66" s="637"/>
      <c r="QA66" s="637"/>
      <c r="QB66" s="637"/>
      <c r="QC66" s="637"/>
      <c r="QD66" s="637"/>
      <c r="QE66" s="637"/>
      <c r="QF66" s="637"/>
      <c r="QG66" s="637"/>
      <c r="QH66" s="637"/>
      <c r="QI66" s="637"/>
      <c r="QJ66" s="637"/>
      <c r="QK66" s="637"/>
      <c r="QL66" s="637"/>
      <c r="QM66" s="637"/>
      <c r="QN66" s="637"/>
      <c r="QO66" s="637"/>
      <c r="QP66" s="637"/>
      <c r="QQ66" s="637"/>
      <c r="QR66" s="637"/>
      <c r="QS66" s="637"/>
      <c r="QT66" s="637"/>
      <c r="QU66" s="637"/>
      <c r="QV66" s="637"/>
      <c r="QW66" s="637"/>
      <c r="QX66" s="637"/>
      <c r="QY66" s="637"/>
      <c r="QZ66" s="637"/>
      <c r="RA66" s="637"/>
      <c r="RB66" s="637"/>
      <c r="RC66" s="637"/>
      <c r="RD66" s="637"/>
      <c r="RE66" s="637"/>
      <c r="RF66" s="637"/>
      <c r="RG66" s="637"/>
      <c r="RH66" s="637"/>
      <c r="RI66" s="637"/>
      <c r="RJ66" s="637"/>
      <c r="RK66" s="637"/>
      <c r="RL66" s="637"/>
      <c r="RM66" s="637"/>
      <c r="RN66" s="637"/>
      <c r="RO66" s="637"/>
      <c r="RP66" s="637"/>
      <c r="RQ66" s="637"/>
      <c r="RR66" s="637"/>
      <c r="RS66" s="637"/>
      <c r="RT66" s="637"/>
      <c r="RU66" s="637"/>
      <c r="RV66" s="637"/>
      <c r="RW66" s="637"/>
      <c r="RX66" s="637"/>
      <c r="RY66" s="637"/>
      <c r="RZ66" s="637"/>
      <c r="SA66" s="637"/>
      <c r="SB66" s="637"/>
      <c r="SC66" s="637"/>
      <c r="SD66" s="637"/>
      <c r="SE66" s="637"/>
      <c r="SF66" s="637"/>
      <c r="SG66" s="637"/>
      <c r="SH66" s="637"/>
      <c r="SI66" s="637"/>
      <c r="SJ66" s="637"/>
      <c r="SK66" s="637"/>
      <c r="SL66" s="637"/>
      <c r="SM66" s="637"/>
      <c r="SN66" s="637"/>
      <c r="SO66" s="637"/>
      <c r="SP66" s="637"/>
      <c r="SQ66" s="637"/>
      <c r="SR66" s="637"/>
      <c r="SS66" s="637"/>
      <c r="ST66" s="637"/>
      <c r="SU66" s="637"/>
      <c r="SV66" s="637"/>
      <c r="SW66" s="637"/>
      <c r="SX66" s="637"/>
      <c r="SY66" s="637"/>
      <c r="SZ66" s="637"/>
      <c r="TA66" s="637"/>
      <c r="TB66" s="637"/>
      <c r="TC66" s="637"/>
      <c r="TD66" s="637"/>
      <c r="TE66" s="637"/>
      <c r="TF66" s="637"/>
      <c r="TG66" s="637"/>
      <c r="TH66" s="637"/>
      <c r="TI66" s="637"/>
      <c r="TJ66" s="637"/>
      <c r="TK66" s="637"/>
      <c r="TL66" s="637"/>
      <c r="TM66" s="637"/>
      <c r="TN66" s="637"/>
      <c r="TO66" s="637"/>
      <c r="TP66" s="637"/>
      <c r="TQ66" s="637"/>
      <c r="TR66" s="637"/>
      <c r="TS66" s="637"/>
      <c r="TT66" s="637"/>
      <c r="TU66" s="637"/>
      <c r="TV66" s="637"/>
      <c r="TW66" s="637"/>
      <c r="TX66" s="637"/>
      <c r="TY66" s="637"/>
      <c r="TZ66" s="637"/>
      <c r="UA66" s="637"/>
      <c r="UB66" s="637"/>
      <c r="UC66" s="637"/>
      <c r="UD66" s="637"/>
      <c r="UE66" s="637"/>
      <c r="UF66" s="637"/>
      <c r="UG66" s="637"/>
      <c r="UH66" s="637"/>
      <c r="UI66" s="637"/>
      <c r="UJ66" s="637"/>
      <c r="UK66" s="637"/>
      <c r="UL66" s="637"/>
      <c r="UM66" s="637"/>
      <c r="UN66" s="637"/>
      <c r="UO66" s="637"/>
      <c r="UP66" s="637"/>
      <c r="UQ66" s="637"/>
      <c r="UR66" s="637"/>
      <c r="US66" s="637"/>
      <c r="UT66" s="637"/>
      <c r="UU66" s="637"/>
      <c r="UV66" s="637"/>
      <c r="UW66" s="637"/>
      <c r="UX66" s="637"/>
      <c r="UY66" s="637"/>
      <c r="UZ66" s="637"/>
      <c r="VA66" s="637"/>
      <c r="VB66" s="637"/>
      <c r="VC66" s="637"/>
      <c r="VD66" s="637"/>
      <c r="VE66" s="637"/>
      <c r="VF66" s="637"/>
      <c r="VG66" s="637"/>
      <c r="VH66" s="637"/>
      <c r="VI66" s="637"/>
      <c r="VJ66" s="637"/>
      <c r="VK66" s="637"/>
      <c r="VL66" s="637"/>
      <c r="VM66" s="637"/>
      <c r="VN66" s="637"/>
      <c r="VO66" s="637"/>
      <c r="VP66" s="637"/>
      <c r="VQ66" s="637"/>
      <c r="VR66" s="637"/>
      <c r="VS66" s="637"/>
      <c r="VT66" s="637"/>
      <c r="VU66" s="637"/>
      <c r="VV66" s="637"/>
      <c r="VW66" s="637"/>
      <c r="VX66" s="637"/>
      <c r="VY66" s="637"/>
      <c r="VZ66" s="637"/>
      <c r="WA66" s="637"/>
      <c r="WB66" s="637"/>
      <c r="WC66" s="637"/>
      <c r="WD66" s="637"/>
      <c r="WE66" s="637"/>
      <c r="WF66" s="637"/>
      <c r="WG66" s="637"/>
      <c r="WH66" s="637"/>
      <c r="WI66" s="637"/>
      <c r="WJ66" s="637"/>
      <c r="WK66" s="637"/>
      <c r="WL66" s="637"/>
      <c r="WM66" s="637"/>
      <c r="WN66" s="637"/>
      <c r="WO66" s="637"/>
      <c r="WP66" s="637"/>
      <c r="WQ66" s="637"/>
      <c r="WR66" s="637"/>
      <c r="WS66" s="637"/>
      <c r="WT66" s="637"/>
      <c r="WU66" s="637"/>
      <c r="WV66" s="637"/>
      <c r="WW66" s="637"/>
      <c r="WX66" s="637"/>
      <c r="WY66" s="637"/>
      <c r="WZ66" s="637"/>
      <c r="XA66" s="637"/>
      <c r="XB66" s="637"/>
      <c r="XC66" s="637"/>
      <c r="XD66" s="637"/>
      <c r="XE66" s="637"/>
      <c r="XF66" s="637"/>
      <c r="XG66" s="637"/>
      <c r="XH66" s="637"/>
      <c r="XI66" s="637"/>
      <c r="XJ66" s="637"/>
      <c r="XK66" s="637"/>
      <c r="XL66" s="637"/>
      <c r="XM66" s="637"/>
      <c r="XN66" s="637"/>
      <c r="XO66" s="637"/>
      <c r="XP66" s="637"/>
      <c r="XQ66" s="637"/>
      <c r="XR66" s="637"/>
      <c r="XS66" s="637"/>
      <c r="XT66" s="637"/>
      <c r="XU66" s="637"/>
      <c r="XV66" s="637"/>
      <c r="XW66" s="637"/>
      <c r="XX66" s="637"/>
      <c r="XY66" s="637"/>
      <c r="XZ66" s="637"/>
      <c r="YA66" s="637"/>
      <c r="YB66" s="637"/>
      <c r="YC66" s="637"/>
      <c r="YD66" s="637"/>
      <c r="YE66" s="637"/>
      <c r="YF66" s="637"/>
      <c r="YG66" s="637"/>
      <c r="YH66" s="637"/>
      <c r="YI66" s="637"/>
      <c r="YJ66" s="637"/>
      <c r="YK66" s="637"/>
      <c r="YL66" s="637"/>
      <c r="YM66" s="637"/>
      <c r="YN66" s="637"/>
      <c r="YO66" s="637"/>
      <c r="YP66" s="637"/>
      <c r="YQ66" s="637"/>
      <c r="YR66" s="637"/>
      <c r="YS66" s="637"/>
      <c r="YT66" s="637"/>
      <c r="YU66" s="637"/>
      <c r="YV66" s="637"/>
      <c r="YW66" s="637"/>
      <c r="YX66" s="637"/>
      <c r="YY66" s="637"/>
      <c r="YZ66" s="637"/>
      <c r="ZA66" s="637"/>
      <c r="ZB66" s="637"/>
      <c r="ZC66" s="637"/>
      <c r="ZD66" s="637"/>
      <c r="ZE66" s="637"/>
      <c r="ZF66" s="637"/>
      <c r="ZG66" s="637"/>
      <c r="ZH66" s="637"/>
      <c r="ZI66" s="637"/>
      <c r="ZJ66" s="637"/>
      <c r="ZK66" s="637"/>
      <c r="ZL66" s="637"/>
      <c r="ZM66" s="637"/>
      <c r="ZN66" s="637"/>
      <c r="ZO66" s="637"/>
      <c r="ZP66" s="637"/>
      <c r="ZQ66" s="637"/>
      <c r="ZR66" s="637"/>
      <c r="ZS66" s="637"/>
      <c r="ZT66" s="637"/>
      <c r="ZU66" s="637"/>
      <c r="ZV66" s="637"/>
      <c r="ZW66" s="637"/>
      <c r="ZX66" s="637"/>
      <c r="ZY66" s="637"/>
      <c r="ZZ66" s="637"/>
      <c r="AAA66" s="637"/>
      <c r="AAB66" s="637"/>
      <c r="AAC66" s="637"/>
      <c r="AAD66" s="637"/>
      <c r="AAE66" s="637"/>
      <c r="AAF66" s="637"/>
      <c r="AAG66" s="637"/>
      <c r="AAH66" s="637"/>
      <c r="AAI66" s="637"/>
      <c r="AAJ66" s="637"/>
      <c r="AAK66" s="637"/>
      <c r="AAL66" s="637"/>
      <c r="AAM66" s="637"/>
      <c r="AAN66" s="637"/>
      <c r="AAO66" s="637"/>
      <c r="AAP66" s="637"/>
      <c r="AAQ66" s="637"/>
      <c r="AAR66" s="637"/>
      <c r="AAS66" s="637"/>
      <c r="AAT66" s="637"/>
      <c r="AAU66" s="637"/>
      <c r="AAV66" s="637"/>
      <c r="AAW66" s="637"/>
      <c r="AAX66" s="637"/>
      <c r="AAY66" s="637"/>
      <c r="AAZ66" s="637"/>
      <c r="ABA66" s="637"/>
      <c r="ABB66" s="637"/>
      <c r="ABC66" s="637"/>
      <c r="ABD66" s="637"/>
      <c r="ABE66" s="637"/>
      <c r="ABF66" s="637"/>
      <c r="ABG66" s="637"/>
      <c r="ABH66" s="637"/>
      <c r="ABI66" s="637"/>
      <c r="ABJ66" s="637"/>
      <c r="ABK66" s="637"/>
      <c r="ABL66" s="637"/>
      <c r="ABM66" s="637"/>
      <c r="ABN66" s="637"/>
      <c r="ABO66" s="637"/>
      <c r="ABP66" s="637"/>
      <c r="ABQ66" s="637"/>
      <c r="ABR66" s="637"/>
      <c r="ABS66" s="637"/>
      <c r="ABT66" s="637"/>
      <c r="ABU66" s="637"/>
      <c r="ABV66" s="637"/>
      <c r="ABW66" s="637"/>
      <c r="ABX66" s="637"/>
      <c r="ABY66" s="637"/>
      <c r="ABZ66" s="637"/>
      <c r="ACA66" s="637"/>
      <c r="ACB66" s="637"/>
      <c r="ACC66" s="637"/>
      <c r="ACD66" s="637"/>
      <c r="ACE66" s="637"/>
      <c r="ACF66" s="637"/>
      <c r="ACG66" s="637"/>
      <c r="ACH66" s="637"/>
      <c r="ACI66" s="637"/>
      <c r="ACJ66" s="637"/>
      <c r="ACK66" s="637"/>
      <c r="ACL66" s="637"/>
      <c r="ACM66" s="637"/>
      <c r="ACN66" s="637"/>
      <c r="ACO66" s="637"/>
      <c r="ACP66" s="637"/>
      <c r="ACQ66" s="637"/>
      <c r="ACR66" s="637"/>
      <c r="ACS66" s="637"/>
      <c r="ACT66" s="637"/>
      <c r="ACU66" s="637"/>
      <c r="ACV66" s="637"/>
      <c r="ACW66" s="637"/>
      <c r="ACX66" s="637"/>
      <c r="ACY66" s="637"/>
      <c r="ACZ66" s="637"/>
      <c r="ADA66" s="637"/>
      <c r="ADB66" s="637"/>
      <c r="ADC66" s="637"/>
      <c r="ADD66" s="637"/>
      <c r="ADE66" s="637"/>
      <c r="ADF66" s="637"/>
      <c r="ADG66" s="637"/>
      <c r="ADH66" s="637"/>
      <c r="ADI66" s="637"/>
      <c r="ADJ66" s="637"/>
      <c r="ADK66" s="637"/>
      <c r="ADL66" s="637"/>
      <c r="ADM66" s="637"/>
      <c r="ADN66" s="637"/>
      <c r="ADO66" s="637"/>
      <c r="ADP66" s="637"/>
      <c r="ADQ66" s="637"/>
      <c r="ADR66" s="637"/>
      <c r="ADS66" s="637"/>
      <c r="ADT66" s="637"/>
      <c r="ADU66" s="637"/>
      <c r="ADV66" s="637"/>
      <c r="ADW66" s="637"/>
      <c r="ADX66" s="637"/>
      <c r="ADY66" s="637"/>
      <c r="ADZ66" s="637"/>
      <c r="AEA66" s="637"/>
      <c r="AEB66" s="637"/>
      <c r="AEC66" s="637"/>
      <c r="AED66" s="637"/>
      <c r="AEE66" s="637"/>
      <c r="AEF66" s="637"/>
      <c r="AEG66" s="637"/>
      <c r="AEH66" s="637"/>
      <c r="AEI66" s="637"/>
      <c r="AEJ66" s="637"/>
      <c r="AEK66" s="637"/>
      <c r="AEL66" s="637"/>
      <c r="AEM66" s="637"/>
      <c r="AEN66" s="637"/>
      <c r="AEO66" s="637"/>
      <c r="AEP66" s="637"/>
      <c r="AEQ66" s="637"/>
      <c r="AER66" s="637"/>
      <c r="AES66" s="637"/>
      <c r="AET66" s="637"/>
      <c r="AEU66" s="637"/>
      <c r="AEV66" s="637"/>
      <c r="AEW66" s="637"/>
      <c r="AEX66" s="637"/>
      <c r="AEY66" s="637"/>
      <c r="AEZ66" s="637"/>
      <c r="AFA66" s="637"/>
      <c r="AFB66" s="637"/>
      <c r="AFC66" s="637"/>
      <c r="AFD66" s="637"/>
      <c r="AFE66" s="637"/>
      <c r="AFF66" s="637"/>
      <c r="AFG66" s="637"/>
      <c r="AFH66" s="637"/>
      <c r="AFI66" s="637"/>
      <c r="AFJ66" s="637"/>
      <c r="AFK66" s="637"/>
      <c r="AFL66" s="637"/>
      <c r="AFM66" s="637"/>
      <c r="AFN66" s="637"/>
      <c r="AFO66" s="637"/>
      <c r="AFP66" s="637"/>
      <c r="AFQ66" s="637"/>
      <c r="AFR66" s="637"/>
      <c r="AFS66" s="637"/>
      <c r="AFT66" s="637"/>
      <c r="AFU66" s="637"/>
      <c r="AFV66" s="637"/>
      <c r="AFW66" s="637"/>
      <c r="AFX66" s="637"/>
      <c r="AFY66" s="637"/>
      <c r="AFZ66" s="637"/>
      <c r="AGA66" s="637"/>
      <c r="AGB66" s="637"/>
      <c r="AGC66" s="637"/>
      <c r="AGD66" s="637"/>
      <c r="AGE66" s="637"/>
      <c r="AGF66" s="637"/>
      <c r="AGG66" s="637"/>
      <c r="AGH66" s="637"/>
      <c r="AGI66" s="637"/>
      <c r="AGJ66" s="637"/>
      <c r="AGK66" s="637"/>
      <c r="AGL66" s="637"/>
      <c r="AGM66" s="637"/>
      <c r="AGN66" s="637"/>
      <c r="AGO66" s="637"/>
      <c r="AGP66" s="637"/>
      <c r="AGQ66" s="637"/>
      <c r="AGR66" s="637"/>
      <c r="AGS66" s="637"/>
      <c r="AGT66" s="637"/>
      <c r="AGU66" s="637"/>
      <c r="AGV66" s="637"/>
      <c r="AGW66" s="637"/>
      <c r="AGX66" s="637"/>
      <c r="AGY66" s="637"/>
      <c r="AGZ66" s="637"/>
      <c r="AHA66" s="637"/>
      <c r="AHB66" s="637"/>
      <c r="AHC66" s="637"/>
      <c r="AHD66" s="637"/>
      <c r="AHE66" s="637"/>
      <c r="AHF66" s="637"/>
      <c r="AHG66" s="637"/>
      <c r="AHH66" s="637"/>
      <c r="AHI66" s="637"/>
      <c r="AHJ66" s="637"/>
      <c r="AHK66" s="637"/>
      <c r="AHL66" s="637"/>
      <c r="AHM66" s="637"/>
      <c r="AHN66" s="637"/>
      <c r="AHO66" s="637"/>
      <c r="AHP66" s="637"/>
      <c r="AHQ66" s="637"/>
      <c r="AHR66" s="637"/>
      <c r="AHS66" s="637"/>
      <c r="AHT66" s="637"/>
      <c r="AHU66" s="637"/>
      <c r="AHV66" s="637"/>
      <c r="AHW66" s="637"/>
      <c r="AHX66" s="637"/>
      <c r="AHY66" s="637"/>
      <c r="AHZ66" s="637"/>
      <c r="AIA66" s="637"/>
      <c r="AIB66" s="637"/>
      <c r="AIC66" s="637"/>
      <c r="AID66" s="637"/>
      <c r="AIE66" s="637"/>
      <c r="AIF66" s="637"/>
      <c r="AIG66" s="637"/>
      <c r="AIH66" s="637"/>
      <c r="AII66" s="637"/>
      <c r="AIJ66" s="637"/>
      <c r="AIK66" s="637"/>
      <c r="AIL66" s="637"/>
      <c r="AIM66" s="637"/>
      <c r="AIN66" s="637"/>
      <c r="AIO66" s="637"/>
      <c r="AIP66" s="637"/>
      <c r="AIQ66" s="637"/>
      <c r="AIR66" s="637"/>
      <c r="AIS66" s="637"/>
      <c r="AIT66" s="637"/>
      <c r="AIU66" s="637"/>
      <c r="AIV66" s="637"/>
      <c r="AIW66" s="637"/>
      <c r="AIX66" s="637"/>
      <c r="AIY66" s="637"/>
      <c r="AIZ66" s="637"/>
      <c r="AJA66" s="637"/>
      <c r="AJB66" s="637"/>
      <c r="AJC66" s="637"/>
      <c r="AJD66" s="637"/>
      <c r="AJE66" s="637"/>
      <c r="AJF66" s="637"/>
      <c r="AJG66" s="637"/>
      <c r="AJH66" s="637"/>
      <c r="AJI66" s="637"/>
      <c r="AJJ66" s="637"/>
      <c r="AJK66" s="637"/>
      <c r="AJL66" s="637"/>
      <c r="AJM66" s="637"/>
      <c r="AJN66" s="637"/>
      <c r="AJO66" s="637"/>
      <c r="AJP66" s="637"/>
      <c r="AJQ66" s="637"/>
      <c r="AJR66" s="637"/>
      <c r="AJS66" s="637"/>
      <c r="AJT66" s="637"/>
      <c r="AJU66" s="637"/>
      <c r="AJV66" s="637"/>
      <c r="AJW66" s="637"/>
      <c r="AJX66" s="637"/>
      <c r="AJY66" s="637"/>
      <c r="AJZ66" s="637"/>
      <c r="AKA66" s="637"/>
      <c r="AKB66" s="637"/>
      <c r="AKC66" s="637"/>
      <c r="AKD66" s="637"/>
      <c r="AKE66" s="637"/>
      <c r="AKF66" s="637"/>
      <c r="AKG66" s="637"/>
      <c r="AKH66" s="637"/>
      <c r="AKI66" s="637"/>
      <c r="AKJ66" s="637"/>
      <c r="AKK66" s="637"/>
      <c r="AKL66" s="637"/>
      <c r="AKM66" s="637"/>
      <c r="AKN66" s="637"/>
      <c r="AKO66" s="637"/>
      <c r="AKP66" s="637"/>
      <c r="AKQ66" s="637"/>
      <c r="AKR66" s="637"/>
      <c r="AKS66" s="637"/>
      <c r="AKT66" s="637"/>
      <c r="AKU66" s="637"/>
      <c r="AKV66" s="637"/>
      <c r="AKW66" s="637"/>
      <c r="AKX66" s="637"/>
      <c r="AKY66" s="637"/>
      <c r="AKZ66" s="637"/>
      <c r="ALA66" s="637"/>
      <c r="ALB66" s="637"/>
      <c r="ALC66" s="637"/>
      <c r="ALD66" s="637"/>
      <c r="ALE66" s="637"/>
      <c r="ALF66" s="637"/>
      <c r="ALG66" s="637"/>
      <c r="ALH66" s="637"/>
      <c r="ALI66" s="637"/>
      <c r="ALJ66" s="637"/>
      <c r="ALK66" s="637"/>
      <c r="ALL66" s="637"/>
      <c r="ALM66" s="637"/>
      <c r="ALN66" s="637"/>
      <c r="ALO66" s="637"/>
      <c r="ALP66" s="637"/>
      <c r="ALQ66" s="637"/>
      <c r="ALR66" s="637"/>
      <c r="ALS66" s="637"/>
      <c r="ALT66" s="637"/>
      <c r="ALU66" s="637"/>
      <c r="ALV66" s="637"/>
      <c r="ALW66" s="637"/>
      <c r="ALX66" s="637"/>
      <c r="ALY66" s="637"/>
      <c r="ALZ66" s="637"/>
      <c r="AMA66" s="637"/>
      <c r="AMB66" s="637"/>
      <c r="AMC66" s="637"/>
      <c r="AMD66" s="637"/>
      <c r="AME66" s="637"/>
      <c r="AMF66" s="637"/>
      <c r="AMG66" s="637"/>
      <c r="AMH66" s="637"/>
      <c r="AMI66" s="637"/>
      <c r="AMJ66" s="637"/>
    </row>
    <row r="67" spans="1:1024" s="638" customFormat="1" ht="12.75" hidden="1">
      <c r="A67" s="945"/>
      <c r="B67" s="945"/>
      <c r="C67" s="945"/>
      <c r="D67" s="988"/>
      <c r="E67" s="989">
        <f>E10+E15+E19+E23+E27+E31+E35+E39+E47+E51+E55+E59+E63</f>
        <v>559322</v>
      </c>
      <c r="F67" s="989">
        <f t="shared" si="5"/>
        <v>554329</v>
      </c>
      <c r="G67" s="989">
        <f t="shared" si="5"/>
        <v>322429</v>
      </c>
      <c r="H67" s="989">
        <f t="shared" si="5"/>
        <v>100228</v>
      </c>
      <c r="I67" s="989">
        <f t="shared" si="5"/>
        <v>96724</v>
      </c>
      <c r="J67" s="989">
        <f t="shared" si="5"/>
        <v>15011</v>
      </c>
      <c r="K67" s="989">
        <f t="shared" si="5"/>
        <v>16</v>
      </c>
      <c r="L67" s="989">
        <f t="shared" si="5"/>
        <v>0</v>
      </c>
      <c r="M67" s="989">
        <f t="shared" si="5"/>
        <v>185</v>
      </c>
      <c r="N67" s="989">
        <f t="shared" si="5"/>
        <v>19736</v>
      </c>
      <c r="O67" s="989">
        <f t="shared" si="5"/>
        <v>0</v>
      </c>
      <c r="P67" s="989">
        <f t="shared" si="5"/>
        <v>0</v>
      </c>
      <c r="Q67" s="990"/>
      <c r="R67" s="991"/>
      <c r="S67" s="637"/>
      <c r="T67" s="637"/>
      <c r="U67" s="637"/>
      <c r="V67" s="637"/>
      <c r="W67" s="637"/>
      <c r="X67" s="637"/>
      <c r="Y67" s="637"/>
      <c r="Z67" s="637"/>
      <c r="AA67" s="637"/>
      <c r="AB67" s="637"/>
      <c r="AC67" s="637"/>
      <c r="AD67" s="637"/>
      <c r="AE67" s="637"/>
      <c r="AF67" s="637"/>
      <c r="AG67" s="637"/>
      <c r="AH67" s="637"/>
      <c r="AI67" s="637"/>
      <c r="AJ67" s="637"/>
      <c r="AK67" s="637"/>
      <c r="AL67" s="637"/>
      <c r="AM67" s="637"/>
      <c r="AN67" s="637"/>
      <c r="AO67" s="637"/>
      <c r="AP67" s="637"/>
      <c r="AQ67" s="637"/>
      <c r="AR67" s="637"/>
      <c r="AS67" s="637"/>
      <c r="AT67" s="637"/>
      <c r="AU67" s="637"/>
      <c r="AV67" s="637"/>
      <c r="AW67" s="637"/>
      <c r="AX67" s="637"/>
      <c r="AY67" s="637"/>
      <c r="AZ67" s="637"/>
      <c r="BA67" s="637"/>
      <c r="BB67" s="637"/>
      <c r="BC67" s="637"/>
      <c r="BD67" s="637"/>
      <c r="BE67" s="637"/>
      <c r="BF67" s="637"/>
      <c r="BG67" s="637"/>
      <c r="BH67" s="637"/>
      <c r="BI67" s="637"/>
      <c r="BJ67" s="637"/>
      <c r="BK67" s="637"/>
      <c r="BL67" s="637"/>
      <c r="BM67" s="637"/>
      <c r="BN67" s="637"/>
      <c r="BO67" s="637"/>
      <c r="BP67" s="637"/>
      <c r="BQ67" s="637"/>
      <c r="BR67" s="637"/>
      <c r="BS67" s="637"/>
      <c r="BT67" s="637"/>
      <c r="BU67" s="637"/>
      <c r="BV67" s="637"/>
      <c r="BW67" s="637"/>
      <c r="BX67" s="637"/>
      <c r="BY67" s="637"/>
      <c r="BZ67" s="637"/>
      <c r="CA67" s="637"/>
      <c r="CB67" s="637"/>
      <c r="CC67" s="637"/>
      <c r="CD67" s="637"/>
      <c r="CE67" s="637"/>
      <c r="CF67" s="637"/>
      <c r="CG67" s="637"/>
      <c r="CH67" s="637"/>
      <c r="CI67" s="637"/>
      <c r="CJ67" s="637"/>
      <c r="CK67" s="637"/>
      <c r="CL67" s="637"/>
      <c r="CM67" s="637"/>
      <c r="CN67" s="637"/>
      <c r="CO67" s="637"/>
      <c r="CP67" s="637"/>
      <c r="CQ67" s="637"/>
      <c r="CR67" s="637"/>
      <c r="CS67" s="637"/>
      <c r="CT67" s="637"/>
      <c r="CU67" s="637"/>
      <c r="CV67" s="637"/>
      <c r="CW67" s="637"/>
      <c r="CX67" s="637"/>
      <c r="CY67" s="637"/>
      <c r="CZ67" s="637"/>
      <c r="DA67" s="637"/>
      <c r="DB67" s="637"/>
      <c r="DC67" s="637"/>
      <c r="DD67" s="637"/>
      <c r="DE67" s="637"/>
      <c r="DF67" s="637"/>
      <c r="DG67" s="637"/>
      <c r="DH67" s="637"/>
      <c r="DI67" s="637"/>
      <c r="DJ67" s="637"/>
      <c r="DK67" s="637"/>
      <c r="DL67" s="637"/>
      <c r="DM67" s="637"/>
      <c r="DN67" s="637"/>
      <c r="DO67" s="637"/>
      <c r="DP67" s="637"/>
      <c r="DQ67" s="637"/>
      <c r="DR67" s="637"/>
      <c r="DS67" s="637"/>
      <c r="DT67" s="637"/>
      <c r="DU67" s="637"/>
      <c r="DV67" s="637"/>
      <c r="DW67" s="637"/>
      <c r="DX67" s="637"/>
      <c r="DY67" s="637"/>
      <c r="DZ67" s="637"/>
      <c r="EA67" s="637"/>
      <c r="EB67" s="637"/>
      <c r="EC67" s="637"/>
      <c r="ED67" s="637"/>
      <c r="EE67" s="637"/>
      <c r="EF67" s="637"/>
      <c r="EG67" s="637"/>
      <c r="EH67" s="637"/>
      <c r="EI67" s="637"/>
      <c r="EJ67" s="637"/>
      <c r="EK67" s="637"/>
      <c r="EL67" s="637"/>
      <c r="EM67" s="637"/>
      <c r="EN67" s="637"/>
      <c r="EO67" s="637"/>
      <c r="EP67" s="637"/>
      <c r="EQ67" s="637"/>
      <c r="ER67" s="637"/>
      <c r="ES67" s="637"/>
      <c r="ET67" s="637"/>
      <c r="EU67" s="637"/>
      <c r="EV67" s="637"/>
      <c r="EW67" s="637"/>
      <c r="EX67" s="637"/>
      <c r="EY67" s="637"/>
      <c r="EZ67" s="637"/>
      <c r="FA67" s="637"/>
      <c r="FB67" s="637"/>
      <c r="FC67" s="637"/>
      <c r="FD67" s="637"/>
      <c r="FE67" s="637"/>
      <c r="FF67" s="637"/>
      <c r="FG67" s="637"/>
      <c r="FH67" s="637"/>
      <c r="FI67" s="637"/>
      <c r="FJ67" s="637"/>
      <c r="FK67" s="637"/>
      <c r="FL67" s="637"/>
      <c r="FM67" s="637"/>
      <c r="FN67" s="637"/>
      <c r="FO67" s="637"/>
      <c r="FP67" s="637"/>
      <c r="FQ67" s="637"/>
      <c r="FR67" s="637"/>
      <c r="FS67" s="637"/>
      <c r="FT67" s="637"/>
      <c r="FU67" s="637"/>
      <c r="FV67" s="637"/>
      <c r="FW67" s="637"/>
      <c r="FX67" s="637"/>
      <c r="FY67" s="637"/>
      <c r="FZ67" s="637"/>
      <c r="GA67" s="637"/>
      <c r="GB67" s="637"/>
      <c r="GC67" s="637"/>
      <c r="GD67" s="637"/>
      <c r="GE67" s="637"/>
      <c r="GF67" s="637"/>
      <c r="GG67" s="637"/>
      <c r="GH67" s="637"/>
      <c r="GI67" s="637"/>
      <c r="GJ67" s="637"/>
      <c r="GK67" s="637"/>
      <c r="GL67" s="637"/>
      <c r="GM67" s="637"/>
      <c r="GN67" s="637"/>
      <c r="GO67" s="637"/>
      <c r="GP67" s="637"/>
      <c r="GQ67" s="637"/>
      <c r="GR67" s="637"/>
      <c r="GS67" s="637"/>
      <c r="GT67" s="637"/>
      <c r="GU67" s="637"/>
      <c r="GV67" s="637"/>
      <c r="GW67" s="637"/>
      <c r="GX67" s="637"/>
      <c r="GY67" s="637"/>
      <c r="GZ67" s="637"/>
      <c r="HA67" s="637"/>
      <c r="HB67" s="637"/>
      <c r="HC67" s="637"/>
      <c r="HD67" s="637"/>
      <c r="HE67" s="637"/>
      <c r="HF67" s="637"/>
      <c r="HG67" s="637"/>
      <c r="HH67" s="637"/>
      <c r="HI67" s="637"/>
      <c r="HJ67" s="637"/>
      <c r="HK67" s="637"/>
      <c r="HL67" s="637"/>
      <c r="HM67" s="637"/>
      <c r="HN67" s="637"/>
      <c r="HO67" s="637"/>
      <c r="HP67" s="637"/>
      <c r="HQ67" s="637"/>
      <c r="HR67" s="637"/>
      <c r="HS67" s="637"/>
      <c r="HT67" s="637"/>
      <c r="HU67" s="637"/>
      <c r="HV67" s="637"/>
      <c r="HW67" s="637"/>
      <c r="HX67" s="637"/>
      <c r="HY67" s="637"/>
      <c r="HZ67" s="637"/>
      <c r="IA67" s="637"/>
      <c r="IB67" s="637"/>
      <c r="IC67" s="637"/>
      <c r="ID67" s="637"/>
      <c r="IE67" s="637"/>
      <c r="IF67" s="637"/>
      <c r="IG67" s="637"/>
      <c r="IH67" s="637"/>
      <c r="II67" s="637"/>
      <c r="IJ67" s="637"/>
      <c r="IK67" s="637"/>
      <c r="IL67" s="637"/>
      <c r="IM67" s="637"/>
      <c r="IN67" s="637"/>
      <c r="IO67" s="637"/>
      <c r="IP67" s="637"/>
      <c r="IQ67" s="637"/>
      <c r="IR67" s="637"/>
      <c r="IS67" s="637"/>
      <c r="IT67" s="637"/>
      <c r="IU67" s="637"/>
      <c r="IV67" s="637"/>
      <c r="IW67" s="637"/>
      <c r="IX67" s="637"/>
      <c r="IY67" s="637"/>
      <c r="IZ67" s="637"/>
      <c r="JA67" s="637"/>
      <c r="JB67" s="637"/>
      <c r="JC67" s="637"/>
      <c r="JD67" s="637"/>
      <c r="JE67" s="637"/>
      <c r="JF67" s="637"/>
      <c r="JG67" s="637"/>
      <c r="JH67" s="637"/>
      <c r="JI67" s="637"/>
      <c r="JJ67" s="637"/>
      <c r="JK67" s="637"/>
      <c r="JL67" s="637"/>
      <c r="JM67" s="637"/>
      <c r="JN67" s="637"/>
      <c r="JO67" s="637"/>
      <c r="JP67" s="637"/>
      <c r="JQ67" s="637"/>
      <c r="JR67" s="637"/>
      <c r="JS67" s="637"/>
      <c r="JT67" s="637"/>
      <c r="JU67" s="637"/>
      <c r="JV67" s="637"/>
      <c r="JW67" s="637"/>
      <c r="JX67" s="637"/>
      <c r="JY67" s="637"/>
      <c r="JZ67" s="637"/>
      <c r="KA67" s="637"/>
      <c r="KB67" s="637"/>
      <c r="KC67" s="637"/>
      <c r="KD67" s="637"/>
      <c r="KE67" s="637"/>
      <c r="KF67" s="637"/>
      <c r="KG67" s="637"/>
      <c r="KH67" s="637"/>
      <c r="KI67" s="637"/>
      <c r="KJ67" s="637"/>
      <c r="KK67" s="637"/>
      <c r="KL67" s="637"/>
      <c r="KM67" s="637"/>
      <c r="KN67" s="637"/>
      <c r="KO67" s="637"/>
      <c r="KP67" s="637"/>
      <c r="KQ67" s="637"/>
      <c r="KR67" s="637"/>
      <c r="KS67" s="637"/>
      <c r="KT67" s="637"/>
      <c r="KU67" s="637"/>
      <c r="KV67" s="637"/>
      <c r="KW67" s="637"/>
      <c r="KX67" s="637"/>
      <c r="KY67" s="637"/>
      <c r="KZ67" s="637"/>
      <c r="LA67" s="637"/>
      <c r="LB67" s="637"/>
      <c r="LC67" s="637"/>
      <c r="LD67" s="637"/>
      <c r="LE67" s="637"/>
      <c r="LF67" s="637"/>
      <c r="LG67" s="637"/>
      <c r="LH67" s="637"/>
      <c r="LI67" s="637"/>
      <c r="LJ67" s="637"/>
      <c r="LK67" s="637"/>
      <c r="LL67" s="637"/>
      <c r="LM67" s="637"/>
      <c r="LN67" s="637"/>
      <c r="LO67" s="637"/>
      <c r="LP67" s="637"/>
      <c r="LQ67" s="637"/>
      <c r="LR67" s="637"/>
      <c r="LS67" s="637"/>
      <c r="LT67" s="637"/>
      <c r="LU67" s="637"/>
      <c r="LV67" s="637"/>
      <c r="LW67" s="637"/>
      <c r="LX67" s="637"/>
      <c r="LY67" s="637"/>
      <c r="LZ67" s="637"/>
      <c r="MA67" s="637"/>
      <c r="MB67" s="637"/>
      <c r="MC67" s="637"/>
      <c r="MD67" s="637"/>
      <c r="ME67" s="637"/>
      <c r="MF67" s="637"/>
      <c r="MG67" s="637"/>
      <c r="MH67" s="637"/>
      <c r="MI67" s="637"/>
      <c r="MJ67" s="637"/>
      <c r="MK67" s="637"/>
      <c r="ML67" s="637"/>
      <c r="MM67" s="637"/>
      <c r="MN67" s="637"/>
      <c r="MO67" s="637"/>
      <c r="MP67" s="637"/>
      <c r="MQ67" s="637"/>
      <c r="MR67" s="637"/>
      <c r="MS67" s="637"/>
      <c r="MT67" s="637"/>
      <c r="MU67" s="637"/>
      <c r="MV67" s="637"/>
      <c r="MW67" s="637"/>
      <c r="MX67" s="637"/>
      <c r="MY67" s="637"/>
      <c r="MZ67" s="637"/>
      <c r="NA67" s="637"/>
      <c r="NB67" s="637"/>
      <c r="NC67" s="637"/>
      <c r="ND67" s="637"/>
      <c r="NE67" s="637"/>
      <c r="NF67" s="637"/>
      <c r="NG67" s="637"/>
      <c r="NH67" s="637"/>
      <c r="NI67" s="637"/>
      <c r="NJ67" s="637"/>
      <c r="NK67" s="637"/>
      <c r="NL67" s="637"/>
      <c r="NM67" s="637"/>
      <c r="NN67" s="637"/>
      <c r="NO67" s="637"/>
      <c r="NP67" s="637"/>
      <c r="NQ67" s="637"/>
      <c r="NR67" s="637"/>
      <c r="NS67" s="637"/>
      <c r="NT67" s="637"/>
      <c r="NU67" s="637"/>
      <c r="NV67" s="637"/>
      <c r="NW67" s="637"/>
      <c r="NX67" s="637"/>
      <c r="NY67" s="637"/>
      <c r="NZ67" s="637"/>
      <c r="OA67" s="637"/>
      <c r="OB67" s="637"/>
      <c r="OC67" s="637"/>
      <c r="OD67" s="637"/>
      <c r="OE67" s="637"/>
      <c r="OF67" s="637"/>
      <c r="OG67" s="637"/>
      <c r="OH67" s="637"/>
      <c r="OI67" s="637"/>
      <c r="OJ67" s="637"/>
      <c r="OK67" s="637"/>
      <c r="OL67" s="637"/>
      <c r="OM67" s="637"/>
      <c r="ON67" s="637"/>
      <c r="OO67" s="637"/>
      <c r="OP67" s="637"/>
      <c r="OQ67" s="637"/>
      <c r="OR67" s="637"/>
      <c r="OS67" s="637"/>
      <c r="OT67" s="637"/>
      <c r="OU67" s="637"/>
      <c r="OV67" s="637"/>
      <c r="OW67" s="637"/>
      <c r="OX67" s="637"/>
      <c r="OY67" s="637"/>
      <c r="OZ67" s="637"/>
      <c r="PA67" s="637"/>
      <c r="PB67" s="637"/>
      <c r="PC67" s="637"/>
      <c r="PD67" s="637"/>
      <c r="PE67" s="637"/>
      <c r="PF67" s="637"/>
      <c r="PG67" s="637"/>
      <c r="PH67" s="637"/>
      <c r="PI67" s="637"/>
      <c r="PJ67" s="637"/>
      <c r="PK67" s="637"/>
      <c r="PL67" s="637"/>
      <c r="PM67" s="637"/>
      <c r="PN67" s="637"/>
      <c r="PO67" s="637"/>
      <c r="PP67" s="637"/>
      <c r="PQ67" s="637"/>
      <c r="PR67" s="637"/>
      <c r="PS67" s="637"/>
      <c r="PT67" s="637"/>
      <c r="PU67" s="637"/>
      <c r="PV67" s="637"/>
      <c r="PW67" s="637"/>
      <c r="PX67" s="637"/>
      <c r="PY67" s="637"/>
      <c r="PZ67" s="637"/>
      <c r="QA67" s="637"/>
      <c r="QB67" s="637"/>
      <c r="QC67" s="637"/>
      <c r="QD67" s="637"/>
      <c r="QE67" s="637"/>
      <c r="QF67" s="637"/>
      <c r="QG67" s="637"/>
      <c r="QH67" s="637"/>
      <c r="QI67" s="637"/>
      <c r="QJ67" s="637"/>
      <c r="QK67" s="637"/>
      <c r="QL67" s="637"/>
      <c r="QM67" s="637"/>
      <c r="QN67" s="637"/>
      <c r="QO67" s="637"/>
      <c r="QP67" s="637"/>
      <c r="QQ67" s="637"/>
      <c r="QR67" s="637"/>
      <c r="QS67" s="637"/>
      <c r="QT67" s="637"/>
      <c r="QU67" s="637"/>
      <c r="QV67" s="637"/>
      <c r="QW67" s="637"/>
      <c r="QX67" s="637"/>
      <c r="QY67" s="637"/>
      <c r="QZ67" s="637"/>
      <c r="RA67" s="637"/>
      <c r="RB67" s="637"/>
      <c r="RC67" s="637"/>
      <c r="RD67" s="637"/>
      <c r="RE67" s="637"/>
      <c r="RF67" s="637"/>
      <c r="RG67" s="637"/>
      <c r="RH67" s="637"/>
      <c r="RI67" s="637"/>
      <c r="RJ67" s="637"/>
      <c r="RK67" s="637"/>
      <c r="RL67" s="637"/>
      <c r="RM67" s="637"/>
      <c r="RN67" s="637"/>
      <c r="RO67" s="637"/>
      <c r="RP67" s="637"/>
      <c r="RQ67" s="637"/>
      <c r="RR67" s="637"/>
      <c r="RS67" s="637"/>
      <c r="RT67" s="637"/>
      <c r="RU67" s="637"/>
      <c r="RV67" s="637"/>
      <c r="RW67" s="637"/>
      <c r="RX67" s="637"/>
      <c r="RY67" s="637"/>
      <c r="RZ67" s="637"/>
      <c r="SA67" s="637"/>
      <c r="SB67" s="637"/>
      <c r="SC67" s="637"/>
      <c r="SD67" s="637"/>
      <c r="SE67" s="637"/>
      <c r="SF67" s="637"/>
      <c r="SG67" s="637"/>
      <c r="SH67" s="637"/>
      <c r="SI67" s="637"/>
      <c r="SJ67" s="637"/>
      <c r="SK67" s="637"/>
      <c r="SL67" s="637"/>
      <c r="SM67" s="637"/>
      <c r="SN67" s="637"/>
      <c r="SO67" s="637"/>
      <c r="SP67" s="637"/>
      <c r="SQ67" s="637"/>
      <c r="SR67" s="637"/>
      <c r="SS67" s="637"/>
      <c r="ST67" s="637"/>
      <c r="SU67" s="637"/>
      <c r="SV67" s="637"/>
      <c r="SW67" s="637"/>
      <c r="SX67" s="637"/>
      <c r="SY67" s="637"/>
      <c r="SZ67" s="637"/>
      <c r="TA67" s="637"/>
      <c r="TB67" s="637"/>
      <c r="TC67" s="637"/>
      <c r="TD67" s="637"/>
      <c r="TE67" s="637"/>
      <c r="TF67" s="637"/>
      <c r="TG67" s="637"/>
      <c r="TH67" s="637"/>
      <c r="TI67" s="637"/>
      <c r="TJ67" s="637"/>
      <c r="TK67" s="637"/>
      <c r="TL67" s="637"/>
      <c r="TM67" s="637"/>
      <c r="TN67" s="637"/>
      <c r="TO67" s="637"/>
      <c r="TP67" s="637"/>
      <c r="TQ67" s="637"/>
      <c r="TR67" s="637"/>
      <c r="TS67" s="637"/>
      <c r="TT67" s="637"/>
      <c r="TU67" s="637"/>
      <c r="TV67" s="637"/>
      <c r="TW67" s="637"/>
      <c r="TX67" s="637"/>
      <c r="TY67" s="637"/>
      <c r="TZ67" s="637"/>
      <c r="UA67" s="637"/>
      <c r="UB67" s="637"/>
      <c r="UC67" s="637"/>
      <c r="UD67" s="637"/>
      <c r="UE67" s="637"/>
      <c r="UF67" s="637"/>
      <c r="UG67" s="637"/>
      <c r="UH67" s="637"/>
      <c r="UI67" s="637"/>
      <c r="UJ67" s="637"/>
      <c r="UK67" s="637"/>
      <c r="UL67" s="637"/>
      <c r="UM67" s="637"/>
      <c r="UN67" s="637"/>
      <c r="UO67" s="637"/>
      <c r="UP67" s="637"/>
      <c r="UQ67" s="637"/>
      <c r="UR67" s="637"/>
      <c r="US67" s="637"/>
      <c r="UT67" s="637"/>
      <c r="UU67" s="637"/>
      <c r="UV67" s="637"/>
      <c r="UW67" s="637"/>
      <c r="UX67" s="637"/>
      <c r="UY67" s="637"/>
      <c r="UZ67" s="637"/>
      <c r="VA67" s="637"/>
      <c r="VB67" s="637"/>
      <c r="VC67" s="637"/>
      <c r="VD67" s="637"/>
      <c r="VE67" s="637"/>
      <c r="VF67" s="637"/>
      <c r="VG67" s="637"/>
      <c r="VH67" s="637"/>
      <c r="VI67" s="637"/>
      <c r="VJ67" s="637"/>
      <c r="VK67" s="637"/>
      <c r="VL67" s="637"/>
      <c r="VM67" s="637"/>
      <c r="VN67" s="637"/>
      <c r="VO67" s="637"/>
      <c r="VP67" s="637"/>
      <c r="VQ67" s="637"/>
      <c r="VR67" s="637"/>
      <c r="VS67" s="637"/>
      <c r="VT67" s="637"/>
      <c r="VU67" s="637"/>
      <c r="VV67" s="637"/>
      <c r="VW67" s="637"/>
      <c r="VX67" s="637"/>
      <c r="VY67" s="637"/>
      <c r="VZ67" s="637"/>
      <c r="WA67" s="637"/>
      <c r="WB67" s="637"/>
      <c r="WC67" s="637"/>
      <c r="WD67" s="637"/>
      <c r="WE67" s="637"/>
      <c r="WF67" s="637"/>
      <c r="WG67" s="637"/>
      <c r="WH67" s="637"/>
      <c r="WI67" s="637"/>
      <c r="WJ67" s="637"/>
      <c r="WK67" s="637"/>
      <c r="WL67" s="637"/>
      <c r="WM67" s="637"/>
      <c r="WN67" s="637"/>
      <c r="WO67" s="637"/>
      <c r="WP67" s="637"/>
      <c r="WQ67" s="637"/>
      <c r="WR67" s="637"/>
      <c r="WS67" s="637"/>
      <c r="WT67" s="637"/>
      <c r="WU67" s="637"/>
      <c r="WV67" s="637"/>
      <c r="WW67" s="637"/>
      <c r="WX67" s="637"/>
      <c r="WY67" s="637"/>
      <c r="WZ67" s="637"/>
      <c r="XA67" s="637"/>
      <c r="XB67" s="637"/>
      <c r="XC67" s="637"/>
      <c r="XD67" s="637"/>
      <c r="XE67" s="637"/>
      <c r="XF67" s="637"/>
      <c r="XG67" s="637"/>
      <c r="XH67" s="637"/>
      <c r="XI67" s="637"/>
      <c r="XJ67" s="637"/>
      <c r="XK67" s="637"/>
      <c r="XL67" s="637"/>
      <c r="XM67" s="637"/>
      <c r="XN67" s="637"/>
      <c r="XO67" s="637"/>
      <c r="XP67" s="637"/>
      <c r="XQ67" s="637"/>
      <c r="XR67" s="637"/>
      <c r="XS67" s="637"/>
      <c r="XT67" s="637"/>
      <c r="XU67" s="637"/>
      <c r="XV67" s="637"/>
      <c r="XW67" s="637"/>
      <c r="XX67" s="637"/>
      <c r="XY67" s="637"/>
      <c r="XZ67" s="637"/>
      <c r="YA67" s="637"/>
      <c r="YB67" s="637"/>
      <c r="YC67" s="637"/>
      <c r="YD67" s="637"/>
      <c r="YE67" s="637"/>
      <c r="YF67" s="637"/>
      <c r="YG67" s="637"/>
      <c r="YH67" s="637"/>
      <c r="YI67" s="637"/>
      <c r="YJ67" s="637"/>
      <c r="YK67" s="637"/>
      <c r="YL67" s="637"/>
      <c r="YM67" s="637"/>
      <c r="YN67" s="637"/>
      <c r="YO67" s="637"/>
      <c r="YP67" s="637"/>
      <c r="YQ67" s="637"/>
      <c r="YR67" s="637"/>
      <c r="YS67" s="637"/>
      <c r="YT67" s="637"/>
      <c r="YU67" s="637"/>
      <c r="YV67" s="637"/>
      <c r="YW67" s="637"/>
      <c r="YX67" s="637"/>
      <c r="YY67" s="637"/>
      <c r="YZ67" s="637"/>
      <c r="ZA67" s="637"/>
      <c r="ZB67" s="637"/>
      <c r="ZC67" s="637"/>
      <c r="ZD67" s="637"/>
      <c r="ZE67" s="637"/>
      <c r="ZF67" s="637"/>
      <c r="ZG67" s="637"/>
      <c r="ZH67" s="637"/>
      <c r="ZI67" s="637"/>
      <c r="ZJ67" s="637"/>
      <c r="ZK67" s="637"/>
      <c r="ZL67" s="637"/>
      <c r="ZM67" s="637"/>
      <c r="ZN67" s="637"/>
      <c r="ZO67" s="637"/>
      <c r="ZP67" s="637"/>
      <c r="ZQ67" s="637"/>
      <c r="ZR67" s="637"/>
      <c r="ZS67" s="637"/>
      <c r="ZT67" s="637"/>
      <c r="ZU67" s="637"/>
      <c r="ZV67" s="637"/>
      <c r="ZW67" s="637"/>
      <c r="ZX67" s="637"/>
      <c r="ZY67" s="637"/>
      <c r="ZZ67" s="637"/>
      <c r="AAA67" s="637"/>
      <c r="AAB67" s="637"/>
      <c r="AAC67" s="637"/>
      <c r="AAD67" s="637"/>
      <c r="AAE67" s="637"/>
      <c r="AAF67" s="637"/>
      <c r="AAG67" s="637"/>
      <c r="AAH67" s="637"/>
      <c r="AAI67" s="637"/>
      <c r="AAJ67" s="637"/>
      <c r="AAK67" s="637"/>
      <c r="AAL67" s="637"/>
      <c r="AAM67" s="637"/>
      <c r="AAN67" s="637"/>
      <c r="AAO67" s="637"/>
      <c r="AAP67" s="637"/>
      <c r="AAQ67" s="637"/>
      <c r="AAR67" s="637"/>
      <c r="AAS67" s="637"/>
      <c r="AAT67" s="637"/>
      <c r="AAU67" s="637"/>
      <c r="AAV67" s="637"/>
      <c r="AAW67" s="637"/>
      <c r="AAX67" s="637"/>
      <c r="AAY67" s="637"/>
      <c r="AAZ67" s="637"/>
      <c r="ABA67" s="637"/>
      <c r="ABB67" s="637"/>
      <c r="ABC67" s="637"/>
      <c r="ABD67" s="637"/>
      <c r="ABE67" s="637"/>
      <c r="ABF67" s="637"/>
      <c r="ABG67" s="637"/>
      <c r="ABH67" s="637"/>
      <c r="ABI67" s="637"/>
      <c r="ABJ67" s="637"/>
      <c r="ABK67" s="637"/>
      <c r="ABL67" s="637"/>
      <c r="ABM67" s="637"/>
      <c r="ABN67" s="637"/>
      <c r="ABO67" s="637"/>
      <c r="ABP67" s="637"/>
      <c r="ABQ67" s="637"/>
      <c r="ABR67" s="637"/>
      <c r="ABS67" s="637"/>
      <c r="ABT67" s="637"/>
      <c r="ABU67" s="637"/>
      <c r="ABV67" s="637"/>
      <c r="ABW67" s="637"/>
      <c r="ABX67" s="637"/>
      <c r="ABY67" s="637"/>
      <c r="ABZ67" s="637"/>
      <c r="ACA67" s="637"/>
      <c r="ACB67" s="637"/>
      <c r="ACC67" s="637"/>
      <c r="ACD67" s="637"/>
      <c r="ACE67" s="637"/>
      <c r="ACF67" s="637"/>
      <c r="ACG67" s="637"/>
      <c r="ACH67" s="637"/>
      <c r="ACI67" s="637"/>
      <c r="ACJ67" s="637"/>
      <c r="ACK67" s="637"/>
      <c r="ACL67" s="637"/>
      <c r="ACM67" s="637"/>
      <c r="ACN67" s="637"/>
      <c r="ACO67" s="637"/>
      <c r="ACP67" s="637"/>
      <c r="ACQ67" s="637"/>
      <c r="ACR67" s="637"/>
      <c r="ACS67" s="637"/>
      <c r="ACT67" s="637"/>
      <c r="ACU67" s="637"/>
      <c r="ACV67" s="637"/>
      <c r="ACW67" s="637"/>
      <c r="ACX67" s="637"/>
      <c r="ACY67" s="637"/>
      <c r="ACZ67" s="637"/>
      <c r="ADA67" s="637"/>
      <c r="ADB67" s="637"/>
      <c r="ADC67" s="637"/>
      <c r="ADD67" s="637"/>
      <c r="ADE67" s="637"/>
      <c r="ADF67" s="637"/>
      <c r="ADG67" s="637"/>
      <c r="ADH67" s="637"/>
      <c r="ADI67" s="637"/>
      <c r="ADJ67" s="637"/>
      <c r="ADK67" s="637"/>
      <c r="ADL67" s="637"/>
      <c r="ADM67" s="637"/>
      <c r="ADN67" s="637"/>
      <c r="ADO67" s="637"/>
      <c r="ADP67" s="637"/>
      <c r="ADQ67" s="637"/>
      <c r="ADR67" s="637"/>
      <c r="ADS67" s="637"/>
      <c r="ADT67" s="637"/>
      <c r="ADU67" s="637"/>
      <c r="ADV67" s="637"/>
      <c r="ADW67" s="637"/>
      <c r="ADX67" s="637"/>
      <c r="ADY67" s="637"/>
      <c r="ADZ67" s="637"/>
      <c r="AEA67" s="637"/>
      <c r="AEB67" s="637"/>
      <c r="AEC67" s="637"/>
      <c r="AED67" s="637"/>
      <c r="AEE67" s="637"/>
      <c r="AEF67" s="637"/>
      <c r="AEG67" s="637"/>
      <c r="AEH67" s="637"/>
      <c r="AEI67" s="637"/>
      <c r="AEJ67" s="637"/>
      <c r="AEK67" s="637"/>
      <c r="AEL67" s="637"/>
      <c r="AEM67" s="637"/>
      <c r="AEN67" s="637"/>
      <c r="AEO67" s="637"/>
      <c r="AEP67" s="637"/>
      <c r="AEQ67" s="637"/>
      <c r="AER67" s="637"/>
      <c r="AES67" s="637"/>
      <c r="AET67" s="637"/>
      <c r="AEU67" s="637"/>
      <c r="AEV67" s="637"/>
      <c r="AEW67" s="637"/>
      <c r="AEX67" s="637"/>
      <c r="AEY67" s="637"/>
      <c r="AEZ67" s="637"/>
      <c r="AFA67" s="637"/>
      <c r="AFB67" s="637"/>
      <c r="AFC67" s="637"/>
      <c r="AFD67" s="637"/>
      <c r="AFE67" s="637"/>
      <c r="AFF67" s="637"/>
      <c r="AFG67" s="637"/>
      <c r="AFH67" s="637"/>
      <c r="AFI67" s="637"/>
      <c r="AFJ67" s="637"/>
      <c r="AFK67" s="637"/>
      <c r="AFL67" s="637"/>
      <c r="AFM67" s="637"/>
      <c r="AFN67" s="637"/>
      <c r="AFO67" s="637"/>
      <c r="AFP67" s="637"/>
      <c r="AFQ67" s="637"/>
      <c r="AFR67" s="637"/>
      <c r="AFS67" s="637"/>
      <c r="AFT67" s="637"/>
      <c r="AFU67" s="637"/>
      <c r="AFV67" s="637"/>
      <c r="AFW67" s="637"/>
      <c r="AFX67" s="637"/>
      <c r="AFY67" s="637"/>
      <c r="AFZ67" s="637"/>
      <c r="AGA67" s="637"/>
      <c r="AGB67" s="637"/>
      <c r="AGC67" s="637"/>
      <c r="AGD67" s="637"/>
      <c r="AGE67" s="637"/>
      <c r="AGF67" s="637"/>
      <c r="AGG67" s="637"/>
      <c r="AGH67" s="637"/>
      <c r="AGI67" s="637"/>
      <c r="AGJ67" s="637"/>
      <c r="AGK67" s="637"/>
      <c r="AGL67" s="637"/>
      <c r="AGM67" s="637"/>
      <c r="AGN67" s="637"/>
      <c r="AGO67" s="637"/>
      <c r="AGP67" s="637"/>
      <c r="AGQ67" s="637"/>
      <c r="AGR67" s="637"/>
      <c r="AGS67" s="637"/>
      <c r="AGT67" s="637"/>
      <c r="AGU67" s="637"/>
      <c r="AGV67" s="637"/>
      <c r="AGW67" s="637"/>
      <c r="AGX67" s="637"/>
      <c r="AGY67" s="637"/>
      <c r="AGZ67" s="637"/>
      <c r="AHA67" s="637"/>
      <c r="AHB67" s="637"/>
      <c r="AHC67" s="637"/>
      <c r="AHD67" s="637"/>
      <c r="AHE67" s="637"/>
      <c r="AHF67" s="637"/>
      <c r="AHG67" s="637"/>
      <c r="AHH67" s="637"/>
      <c r="AHI67" s="637"/>
      <c r="AHJ67" s="637"/>
      <c r="AHK67" s="637"/>
      <c r="AHL67" s="637"/>
      <c r="AHM67" s="637"/>
      <c r="AHN67" s="637"/>
      <c r="AHO67" s="637"/>
      <c r="AHP67" s="637"/>
      <c r="AHQ67" s="637"/>
      <c r="AHR67" s="637"/>
      <c r="AHS67" s="637"/>
      <c r="AHT67" s="637"/>
      <c r="AHU67" s="637"/>
      <c r="AHV67" s="637"/>
      <c r="AHW67" s="637"/>
      <c r="AHX67" s="637"/>
      <c r="AHY67" s="637"/>
      <c r="AHZ67" s="637"/>
      <c r="AIA67" s="637"/>
      <c r="AIB67" s="637"/>
      <c r="AIC67" s="637"/>
      <c r="AID67" s="637"/>
      <c r="AIE67" s="637"/>
      <c r="AIF67" s="637"/>
      <c r="AIG67" s="637"/>
      <c r="AIH67" s="637"/>
      <c r="AII67" s="637"/>
      <c r="AIJ67" s="637"/>
      <c r="AIK67" s="637"/>
      <c r="AIL67" s="637"/>
      <c r="AIM67" s="637"/>
      <c r="AIN67" s="637"/>
      <c r="AIO67" s="637"/>
      <c r="AIP67" s="637"/>
      <c r="AIQ67" s="637"/>
      <c r="AIR67" s="637"/>
      <c r="AIS67" s="637"/>
      <c r="AIT67" s="637"/>
      <c r="AIU67" s="637"/>
      <c r="AIV67" s="637"/>
      <c r="AIW67" s="637"/>
      <c r="AIX67" s="637"/>
      <c r="AIY67" s="637"/>
      <c r="AIZ67" s="637"/>
      <c r="AJA67" s="637"/>
      <c r="AJB67" s="637"/>
      <c r="AJC67" s="637"/>
      <c r="AJD67" s="637"/>
      <c r="AJE67" s="637"/>
      <c r="AJF67" s="637"/>
      <c r="AJG67" s="637"/>
      <c r="AJH67" s="637"/>
      <c r="AJI67" s="637"/>
      <c r="AJJ67" s="637"/>
      <c r="AJK67" s="637"/>
      <c r="AJL67" s="637"/>
      <c r="AJM67" s="637"/>
      <c r="AJN67" s="637"/>
      <c r="AJO67" s="637"/>
      <c r="AJP67" s="637"/>
      <c r="AJQ67" s="637"/>
      <c r="AJR67" s="637"/>
      <c r="AJS67" s="637"/>
      <c r="AJT67" s="637"/>
      <c r="AJU67" s="637"/>
      <c r="AJV67" s="637"/>
      <c r="AJW67" s="637"/>
      <c r="AJX67" s="637"/>
      <c r="AJY67" s="637"/>
      <c r="AJZ67" s="637"/>
      <c r="AKA67" s="637"/>
      <c r="AKB67" s="637"/>
      <c r="AKC67" s="637"/>
      <c r="AKD67" s="637"/>
      <c r="AKE67" s="637"/>
      <c r="AKF67" s="637"/>
      <c r="AKG67" s="637"/>
      <c r="AKH67" s="637"/>
      <c r="AKI67" s="637"/>
      <c r="AKJ67" s="637"/>
      <c r="AKK67" s="637"/>
      <c r="AKL67" s="637"/>
      <c r="AKM67" s="637"/>
      <c r="AKN67" s="637"/>
      <c r="AKO67" s="637"/>
      <c r="AKP67" s="637"/>
      <c r="AKQ67" s="637"/>
      <c r="AKR67" s="637"/>
      <c r="AKS67" s="637"/>
      <c r="AKT67" s="637"/>
      <c r="AKU67" s="637"/>
      <c r="AKV67" s="637"/>
      <c r="AKW67" s="637"/>
      <c r="AKX67" s="637"/>
      <c r="AKY67" s="637"/>
      <c r="AKZ67" s="637"/>
      <c r="ALA67" s="637"/>
      <c r="ALB67" s="637"/>
      <c r="ALC67" s="637"/>
      <c r="ALD67" s="637"/>
      <c r="ALE67" s="637"/>
      <c r="ALF67" s="637"/>
      <c r="ALG67" s="637"/>
      <c r="ALH67" s="637"/>
      <c r="ALI67" s="637"/>
      <c r="ALJ67" s="637"/>
      <c r="ALK67" s="637"/>
      <c r="ALL67" s="637"/>
      <c r="ALM67" s="637"/>
      <c r="ALN67" s="637"/>
      <c r="ALO67" s="637"/>
      <c r="ALP67" s="637"/>
      <c r="ALQ67" s="637"/>
      <c r="ALR67" s="637"/>
      <c r="ALS67" s="637"/>
      <c r="ALT67" s="637"/>
      <c r="ALU67" s="637"/>
      <c r="ALV67" s="637"/>
      <c r="ALW67" s="637"/>
      <c r="ALX67" s="637"/>
      <c r="ALY67" s="637"/>
      <c r="ALZ67" s="637"/>
      <c r="AMA67" s="637"/>
      <c r="AMB67" s="637"/>
      <c r="AMC67" s="637"/>
      <c r="AMD67" s="637"/>
      <c r="AME67" s="637"/>
      <c r="AMF67" s="637"/>
      <c r="AMG67" s="637"/>
      <c r="AMH67" s="637"/>
      <c r="AMI67" s="637"/>
      <c r="AMJ67" s="637"/>
    </row>
    <row r="68" spans="1:1024" s="638" customFormat="1" ht="12.75">
      <c r="A68" s="1094" t="s">
        <v>153</v>
      </c>
      <c r="B68" s="1094"/>
      <c r="C68" s="1094"/>
      <c r="D68" s="981"/>
      <c r="E68" s="982"/>
      <c r="F68" s="982"/>
      <c r="G68" s="987"/>
      <c r="H68" s="987"/>
      <c r="I68" s="987"/>
      <c r="J68" s="987"/>
      <c r="K68" s="987"/>
      <c r="L68" s="987"/>
      <c r="M68" s="987"/>
      <c r="N68" s="987"/>
      <c r="O68" s="987"/>
      <c r="P68" s="987"/>
      <c r="Q68" s="987"/>
      <c r="R68" s="984"/>
      <c r="S68" s="637"/>
      <c r="T68" s="637"/>
      <c r="U68" s="637"/>
      <c r="V68" s="637"/>
      <c r="W68" s="637"/>
      <c r="X68" s="637"/>
      <c r="Y68" s="637"/>
      <c r="Z68" s="637"/>
      <c r="AA68" s="637"/>
      <c r="AB68" s="637"/>
      <c r="AC68" s="637"/>
      <c r="AD68" s="637"/>
      <c r="AE68" s="637"/>
      <c r="AF68" s="637"/>
      <c r="AG68" s="637"/>
      <c r="AH68" s="637"/>
      <c r="AI68" s="637"/>
      <c r="AJ68" s="637"/>
      <c r="AK68" s="637"/>
      <c r="AL68" s="637"/>
      <c r="AM68" s="637"/>
      <c r="AN68" s="637"/>
      <c r="AO68" s="637"/>
      <c r="AP68" s="637"/>
      <c r="AQ68" s="637"/>
      <c r="AR68" s="637"/>
      <c r="AS68" s="637"/>
      <c r="AT68" s="637"/>
      <c r="AU68" s="637"/>
      <c r="AV68" s="637"/>
      <c r="AW68" s="637"/>
      <c r="AX68" s="637"/>
      <c r="AY68" s="637"/>
      <c r="AZ68" s="637"/>
      <c r="BA68" s="637"/>
      <c r="BB68" s="637"/>
      <c r="BC68" s="637"/>
      <c r="BD68" s="637"/>
      <c r="BE68" s="637"/>
      <c r="BF68" s="637"/>
      <c r="BG68" s="637"/>
      <c r="BH68" s="637"/>
      <c r="BI68" s="637"/>
      <c r="BJ68" s="637"/>
      <c r="BK68" s="637"/>
      <c r="BL68" s="637"/>
      <c r="BM68" s="637"/>
      <c r="BN68" s="637"/>
      <c r="BO68" s="637"/>
      <c r="BP68" s="637"/>
      <c r="BQ68" s="637"/>
      <c r="BR68" s="637"/>
      <c r="BS68" s="637"/>
      <c r="BT68" s="637"/>
      <c r="BU68" s="637"/>
      <c r="BV68" s="637"/>
      <c r="BW68" s="637"/>
      <c r="BX68" s="637"/>
      <c r="BY68" s="637"/>
      <c r="BZ68" s="637"/>
      <c r="CA68" s="637"/>
      <c r="CB68" s="637"/>
      <c r="CC68" s="637"/>
      <c r="CD68" s="637"/>
      <c r="CE68" s="637"/>
      <c r="CF68" s="637"/>
      <c r="CG68" s="637"/>
      <c r="CH68" s="637"/>
      <c r="CI68" s="637"/>
      <c r="CJ68" s="637"/>
      <c r="CK68" s="637"/>
      <c r="CL68" s="637"/>
      <c r="CM68" s="637"/>
      <c r="CN68" s="637"/>
      <c r="CO68" s="637"/>
      <c r="CP68" s="637"/>
      <c r="CQ68" s="637"/>
      <c r="CR68" s="637"/>
      <c r="CS68" s="637"/>
      <c r="CT68" s="637"/>
      <c r="CU68" s="637"/>
      <c r="CV68" s="637"/>
      <c r="CW68" s="637"/>
      <c r="CX68" s="637"/>
      <c r="CY68" s="637"/>
      <c r="CZ68" s="637"/>
      <c r="DA68" s="637"/>
      <c r="DB68" s="637"/>
      <c r="DC68" s="637"/>
      <c r="DD68" s="637"/>
      <c r="DE68" s="637"/>
      <c r="DF68" s="637"/>
      <c r="DG68" s="637"/>
      <c r="DH68" s="637"/>
      <c r="DI68" s="637"/>
      <c r="DJ68" s="637"/>
      <c r="DK68" s="637"/>
      <c r="DL68" s="637"/>
      <c r="DM68" s="637"/>
      <c r="DN68" s="637"/>
      <c r="DO68" s="637"/>
      <c r="DP68" s="637"/>
      <c r="DQ68" s="637"/>
      <c r="DR68" s="637"/>
      <c r="DS68" s="637"/>
      <c r="DT68" s="637"/>
      <c r="DU68" s="637"/>
      <c r="DV68" s="637"/>
      <c r="DW68" s="637"/>
      <c r="DX68" s="637"/>
      <c r="DY68" s="637"/>
      <c r="DZ68" s="637"/>
      <c r="EA68" s="637"/>
      <c r="EB68" s="637"/>
      <c r="EC68" s="637"/>
      <c r="ED68" s="637"/>
      <c r="EE68" s="637"/>
      <c r="EF68" s="637"/>
      <c r="EG68" s="637"/>
      <c r="EH68" s="637"/>
      <c r="EI68" s="637"/>
      <c r="EJ68" s="637"/>
      <c r="EK68" s="637"/>
      <c r="EL68" s="637"/>
      <c r="EM68" s="637"/>
      <c r="EN68" s="637"/>
      <c r="EO68" s="637"/>
      <c r="EP68" s="637"/>
      <c r="EQ68" s="637"/>
      <c r="ER68" s="637"/>
      <c r="ES68" s="637"/>
      <c r="ET68" s="637"/>
      <c r="EU68" s="637"/>
      <c r="EV68" s="637"/>
      <c r="EW68" s="637"/>
      <c r="EX68" s="637"/>
      <c r="EY68" s="637"/>
      <c r="EZ68" s="637"/>
      <c r="FA68" s="637"/>
      <c r="FB68" s="637"/>
      <c r="FC68" s="637"/>
      <c r="FD68" s="637"/>
      <c r="FE68" s="637"/>
      <c r="FF68" s="637"/>
      <c r="FG68" s="637"/>
      <c r="FH68" s="637"/>
      <c r="FI68" s="637"/>
      <c r="FJ68" s="637"/>
      <c r="FK68" s="637"/>
      <c r="FL68" s="637"/>
      <c r="FM68" s="637"/>
      <c r="FN68" s="637"/>
      <c r="FO68" s="637"/>
      <c r="FP68" s="637"/>
      <c r="FQ68" s="637"/>
      <c r="FR68" s="637"/>
      <c r="FS68" s="637"/>
      <c r="FT68" s="637"/>
      <c r="FU68" s="637"/>
      <c r="FV68" s="637"/>
      <c r="FW68" s="637"/>
      <c r="FX68" s="637"/>
      <c r="FY68" s="637"/>
      <c r="FZ68" s="637"/>
      <c r="GA68" s="637"/>
      <c r="GB68" s="637"/>
      <c r="GC68" s="637"/>
      <c r="GD68" s="637"/>
      <c r="GE68" s="637"/>
      <c r="GF68" s="637"/>
      <c r="GG68" s="637"/>
      <c r="GH68" s="637"/>
      <c r="GI68" s="637"/>
      <c r="GJ68" s="637"/>
      <c r="GK68" s="637"/>
      <c r="GL68" s="637"/>
      <c r="GM68" s="637"/>
      <c r="GN68" s="637"/>
      <c r="GO68" s="637"/>
      <c r="GP68" s="637"/>
      <c r="GQ68" s="637"/>
      <c r="GR68" s="637"/>
      <c r="GS68" s="637"/>
      <c r="GT68" s="637"/>
      <c r="GU68" s="637"/>
      <c r="GV68" s="637"/>
      <c r="GW68" s="637"/>
      <c r="GX68" s="637"/>
      <c r="GY68" s="637"/>
      <c r="GZ68" s="637"/>
      <c r="HA68" s="637"/>
      <c r="HB68" s="637"/>
      <c r="HC68" s="637"/>
      <c r="HD68" s="637"/>
      <c r="HE68" s="637"/>
      <c r="HF68" s="637"/>
      <c r="HG68" s="637"/>
      <c r="HH68" s="637"/>
      <c r="HI68" s="637"/>
      <c r="HJ68" s="637"/>
      <c r="HK68" s="637"/>
      <c r="HL68" s="637"/>
      <c r="HM68" s="637"/>
      <c r="HN68" s="637"/>
      <c r="HO68" s="637"/>
      <c r="HP68" s="637"/>
      <c r="HQ68" s="637"/>
      <c r="HR68" s="637"/>
      <c r="HS68" s="637"/>
      <c r="HT68" s="637"/>
      <c r="HU68" s="637"/>
      <c r="HV68" s="637"/>
      <c r="HW68" s="637"/>
      <c r="HX68" s="637"/>
      <c r="HY68" s="637"/>
      <c r="HZ68" s="637"/>
      <c r="IA68" s="637"/>
      <c r="IB68" s="637"/>
      <c r="IC68" s="637"/>
      <c r="ID68" s="637"/>
      <c r="IE68" s="637"/>
      <c r="IF68" s="637"/>
      <c r="IG68" s="637"/>
      <c r="IH68" s="637"/>
      <c r="II68" s="637"/>
      <c r="IJ68" s="637"/>
      <c r="IK68" s="637"/>
      <c r="IL68" s="637"/>
      <c r="IM68" s="637"/>
      <c r="IN68" s="637"/>
      <c r="IO68" s="637"/>
      <c r="IP68" s="637"/>
      <c r="IQ68" s="637"/>
      <c r="IR68" s="637"/>
      <c r="IS68" s="637"/>
      <c r="IT68" s="637"/>
      <c r="IU68" s="637"/>
      <c r="IV68" s="637"/>
      <c r="IW68" s="637"/>
      <c r="IX68" s="637"/>
      <c r="IY68" s="637"/>
      <c r="IZ68" s="637"/>
      <c r="JA68" s="637"/>
      <c r="JB68" s="637"/>
      <c r="JC68" s="637"/>
      <c r="JD68" s="637"/>
      <c r="JE68" s="637"/>
      <c r="JF68" s="637"/>
      <c r="JG68" s="637"/>
      <c r="JH68" s="637"/>
      <c r="JI68" s="637"/>
      <c r="JJ68" s="637"/>
      <c r="JK68" s="637"/>
      <c r="JL68" s="637"/>
      <c r="JM68" s="637"/>
      <c r="JN68" s="637"/>
      <c r="JO68" s="637"/>
      <c r="JP68" s="637"/>
      <c r="JQ68" s="637"/>
      <c r="JR68" s="637"/>
      <c r="JS68" s="637"/>
      <c r="JT68" s="637"/>
      <c r="JU68" s="637"/>
      <c r="JV68" s="637"/>
      <c r="JW68" s="637"/>
      <c r="JX68" s="637"/>
      <c r="JY68" s="637"/>
      <c r="JZ68" s="637"/>
      <c r="KA68" s="637"/>
      <c r="KB68" s="637"/>
      <c r="KC68" s="637"/>
      <c r="KD68" s="637"/>
      <c r="KE68" s="637"/>
      <c r="KF68" s="637"/>
      <c r="KG68" s="637"/>
      <c r="KH68" s="637"/>
      <c r="KI68" s="637"/>
      <c r="KJ68" s="637"/>
      <c r="KK68" s="637"/>
      <c r="KL68" s="637"/>
      <c r="KM68" s="637"/>
      <c r="KN68" s="637"/>
      <c r="KO68" s="637"/>
      <c r="KP68" s="637"/>
      <c r="KQ68" s="637"/>
      <c r="KR68" s="637"/>
      <c r="KS68" s="637"/>
      <c r="KT68" s="637"/>
      <c r="KU68" s="637"/>
      <c r="KV68" s="637"/>
      <c r="KW68" s="637"/>
      <c r="KX68" s="637"/>
      <c r="KY68" s="637"/>
      <c r="KZ68" s="637"/>
      <c r="LA68" s="637"/>
      <c r="LB68" s="637"/>
      <c r="LC68" s="637"/>
      <c r="LD68" s="637"/>
      <c r="LE68" s="637"/>
      <c r="LF68" s="637"/>
      <c r="LG68" s="637"/>
      <c r="LH68" s="637"/>
      <c r="LI68" s="637"/>
      <c r="LJ68" s="637"/>
      <c r="LK68" s="637"/>
      <c r="LL68" s="637"/>
      <c r="LM68" s="637"/>
      <c r="LN68" s="637"/>
      <c r="LO68" s="637"/>
      <c r="LP68" s="637"/>
      <c r="LQ68" s="637"/>
      <c r="LR68" s="637"/>
      <c r="LS68" s="637"/>
      <c r="LT68" s="637"/>
      <c r="LU68" s="637"/>
      <c r="LV68" s="637"/>
      <c r="LW68" s="637"/>
      <c r="LX68" s="637"/>
      <c r="LY68" s="637"/>
      <c r="LZ68" s="637"/>
      <c r="MA68" s="637"/>
      <c r="MB68" s="637"/>
      <c r="MC68" s="637"/>
      <c r="MD68" s="637"/>
      <c r="ME68" s="637"/>
      <c r="MF68" s="637"/>
      <c r="MG68" s="637"/>
      <c r="MH68" s="637"/>
      <c r="MI68" s="637"/>
      <c r="MJ68" s="637"/>
      <c r="MK68" s="637"/>
      <c r="ML68" s="637"/>
      <c r="MM68" s="637"/>
      <c r="MN68" s="637"/>
      <c r="MO68" s="637"/>
      <c r="MP68" s="637"/>
      <c r="MQ68" s="637"/>
      <c r="MR68" s="637"/>
      <c r="MS68" s="637"/>
      <c r="MT68" s="637"/>
      <c r="MU68" s="637"/>
      <c r="MV68" s="637"/>
      <c r="MW68" s="637"/>
      <c r="MX68" s="637"/>
      <c r="MY68" s="637"/>
      <c r="MZ68" s="637"/>
      <c r="NA68" s="637"/>
      <c r="NB68" s="637"/>
      <c r="NC68" s="637"/>
      <c r="ND68" s="637"/>
      <c r="NE68" s="637"/>
      <c r="NF68" s="637"/>
      <c r="NG68" s="637"/>
      <c r="NH68" s="637"/>
      <c r="NI68" s="637"/>
      <c r="NJ68" s="637"/>
      <c r="NK68" s="637"/>
      <c r="NL68" s="637"/>
      <c r="NM68" s="637"/>
      <c r="NN68" s="637"/>
      <c r="NO68" s="637"/>
      <c r="NP68" s="637"/>
      <c r="NQ68" s="637"/>
      <c r="NR68" s="637"/>
      <c r="NS68" s="637"/>
      <c r="NT68" s="637"/>
      <c r="NU68" s="637"/>
      <c r="NV68" s="637"/>
      <c r="NW68" s="637"/>
      <c r="NX68" s="637"/>
      <c r="NY68" s="637"/>
      <c r="NZ68" s="637"/>
      <c r="OA68" s="637"/>
      <c r="OB68" s="637"/>
      <c r="OC68" s="637"/>
      <c r="OD68" s="637"/>
      <c r="OE68" s="637"/>
      <c r="OF68" s="637"/>
      <c r="OG68" s="637"/>
      <c r="OH68" s="637"/>
      <c r="OI68" s="637"/>
      <c r="OJ68" s="637"/>
      <c r="OK68" s="637"/>
      <c r="OL68" s="637"/>
      <c r="OM68" s="637"/>
      <c r="ON68" s="637"/>
      <c r="OO68" s="637"/>
      <c r="OP68" s="637"/>
      <c r="OQ68" s="637"/>
      <c r="OR68" s="637"/>
      <c r="OS68" s="637"/>
      <c r="OT68" s="637"/>
      <c r="OU68" s="637"/>
      <c r="OV68" s="637"/>
      <c r="OW68" s="637"/>
      <c r="OX68" s="637"/>
      <c r="OY68" s="637"/>
      <c r="OZ68" s="637"/>
      <c r="PA68" s="637"/>
      <c r="PB68" s="637"/>
      <c r="PC68" s="637"/>
      <c r="PD68" s="637"/>
      <c r="PE68" s="637"/>
      <c r="PF68" s="637"/>
      <c r="PG68" s="637"/>
      <c r="PH68" s="637"/>
      <c r="PI68" s="637"/>
      <c r="PJ68" s="637"/>
      <c r="PK68" s="637"/>
      <c r="PL68" s="637"/>
      <c r="PM68" s="637"/>
      <c r="PN68" s="637"/>
      <c r="PO68" s="637"/>
      <c r="PP68" s="637"/>
      <c r="PQ68" s="637"/>
      <c r="PR68" s="637"/>
      <c r="PS68" s="637"/>
      <c r="PT68" s="637"/>
      <c r="PU68" s="637"/>
      <c r="PV68" s="637"/>
      <c r="PW68" s="637"/>
      <c r="PX68" s="637"/>
      <c r="PY68" s="637"/>
      <c r="PZ68" s="637"/>
      <c r="QA68" s="637"/>
      <c r="QB68" s="637"/>
      <c r="QC68" s="637"/>
      <c r="QD68" s="637"/>
      <c r="QE68" s="637"/>
      <c r="QF68" s="637"/>
      <c r="QG68" s="637"/>
      <c r="QH68" s="637"/>
      <c r="QI68" s="637"/>
      <c r="QJ68" s="637"/>
      <c r="QK68" s="637"/>
      <c r="QL68" s="637"/>
      <c r="QM68" s="637"/>
      <c r="QN68" s="637"/>
      <c r="QO68" s="637"/>
      <c r="QP68" s="637"/>
      <c r="QQ68" s="637"/>
      <c r="QR68" s="637"/>
      <c r="QS68" s="637"/>
      <c r="QT68" s="637"/>
      <c r="QU68" s="637"/>
      <c r="QV68" s="637"/>
      <c r="QW68" s="637"/>
      <c r="QX68" s="637"/>
      <c r="QY68" s="637"/>
      <c r="QZ68" s="637"/>
      <c r="RA68" s="637"/>
      <c r="RB68" s="637"/>
      <c r="RC68" s="637"/>
      <c r="RD68" s="637"/>
      <c r="RE68" s="637"/>
      <c r="RF68" s="637"/>
      <c r="RG68" s="637"/>
      <c r="RH68" s="637"/>
      <c r="RI68" s="637"/>
      <c r="RJ68" s="637"/>
      <c r="RK68" s="637"/>
      <c r="RL68" s="637"/>
      <c r="RM68" s="637"/>
      <c r="RN68" s="637"/>
      <c r="RO68" s="637"/>
      <c r="RP68" s="637"/>
      <c r="RQ68" s="637"/>
      <c r="RR68" s="637"/>
      <c r="RS68" s="637"/>
      <c r="RT68" s="637"/>
      <c r="RU68" s="637"/>
      <c r="RV68" s="637"/>
      <c r="RW68" s="637"/>
      <c r="RX68" s="637"/>
      <c r="RY68" s="637"/>
      <c r="RZ68" s="637"/>
      <c r="SA68" s="637"/>
      <c r="SB68" s="637"/>
      <c r="SC68" s="637"/>
      <c r="SD68" s="637"/>
      <c r="SE68" s="637"/>
      <c r="SF68" s="637"/>
      <c r="SG68" s="637"/>
      <c r="SH68" s="637"/>
      <c r="SI68" s="637"/>
      <c r="SJ68" s="637"/>
      <c r="SK68" s="637"/>
      <c r="SL68" s="637"/>
      <c r="SM68" s="637"/>
      <c r="SN68" s="637"/>
      <c r="SO68" s="637"/>
      <c r="SP68" s="637"/>
      <c r="SQ68" s="637"/>
      <c r="SR68" s="637"/>
      <c r="SS68" s="637"/>
      <c r="ST68" s="637"/>
      <c r="SU68" s="637"/>
      <c r="SV68" s="637"/>
      <c r="SW68" s="637"/>
      <c r="SX68" s="637"/>
      <c r="SY68" s="637"/>
      <c r="SZ68" s="637"/>
      <c r="TA68" s="637"/>
      <c r="TB68" s="637"/>
      <c r="TC68" s="637"/>
      <c r="TD68" s="637"/>
      <c r="TE68" s="637"/>
      <c r="TF68" s="637"/>
      <c r="TG68" s="637"/>
      <c r="TH68" s="637"/>
      <c r="TI68" s="637"/>
      <c r="TJ68" s="637"/>
      <c r="TK68" s="637"/>
      <c r="TL68" s="637"/>
      <c r="TM68" s="637"/>
      <c r="TN68" s="637"/>
      <c r="TO68" s="637"/>
      <c r="TP68" s="637"/>
      <c r="TQ68" s="637"/>
      <c r="TR68" s="637"/>
      <c r="TS68" s="637"/>
      <c r="TT68" s="637"/>
      <c r="TU68" s="637"/>
      <c r="TV68" s="637"/>
      <c r="TW68" s="637"/>
      <c r="TX68" s="637"/>
      <c r="TY68" s="637"/>
      <c r="TZ68" s="637"/>
      <c r="UA68" s="637"/>
      <c r="UB68" s="637"/>
      <c r="UC68" s="637"/>
      <c r="UD68" s="637"/>
      <c r="UE68" s="637"/>
      <c r="UF68" s="637"/>
      <c r="UG68" s="637"/>
      <c r="UH68" s="637"/>
      <c r="UI68" s="637"/>
      <c r="UJ68" s="637"/>
      <c r="UK68" s="637"/>
      <c r="UL68" s="637"/>
      <c r="UM68" s="637"/>
      <c r="UN68" s="637"/>
      <c r="UO68" s="637"/>
      <c r="UP68" s="637"/>
      <c r="UQ68" s="637"/>
      <c r="UR68" s="637"/>
      <c r="US68" s="637"/>
      <c r="UT68" s="637"/>
      <c r="UU68" s="637"/>
      <c r="UV68" s="637"/>
      <c r="UW68" s="637"/>
      <c r="UX68" s="637"/>
      <c r="UY68" s="637"/>
      <c r="UZ68" s="637"/>
      <c r="VA68" s="637"/>
      <c r="VB68" s="637"/>
      <c r="VC68" s="637"/>
      <c r="VD68" s="637"/>
      <c r="VE68" s="637"/>
      <c r="VF68" s="637"/>
      <c r="VG68" s="637"/>
      <c r="VH68" s="637"/>
      <c r="VI68" s="637"/>
      <c r="VJ68" s="637"/>
      <c r="VK68" s="637"/>
      <c r="VL68" s="637"/>
      <c r="VM68" s="637"/>
      <c r="VN68" s="637"/>
      <c r="VO68" s="637"/>
      <c r="VP68" s="637"/>
      <c r="VQ68" s="637"/>
      <c r="VR68" s="637"/>
      <c r="VS68" s="637"/>
      <c r="VT68" s="637"/>
      <c r="VU68" s="637"/>
      <c r="VV68" s="637"/>
      <c r="VW68" s="637"/>
      <c r="VX68" s="637"/>
      <c r="VY68" s="637"/>
      <c r="VZ68" s="637"/>
      <c r="WA68" s="637"/>
      <c r="WB68" s="637"/>
      <c r="WC68" s="637"/>
      <c r="WD68" s="637"/>
      <c r="WE68" s="637"/>
      <c r="WF68" s="637"/>
      <c r="WG68" s="637"/>
      <c r="WH68" s="637"/>
      <c r="WI68" s="637"/>
      <c r="WJ68" s="637"/>
      <c r="WK68" s="637"/>
      <c r="WL68" s="637"/>
      <c r="WM68" s="637"/>
      <c r="WN68" s="637"/>
      <c r="WO68" s="637"/>
      <c r="WP68" s="637"/>
      <c r="WQ68" s="637"/>
      <c r="WR68" s="637"/>
      <c r="WS68" s="637"/>
      <c r="WT68" s="637"/>
      <c r="WU68" s="637"/>
      <c r="WV68" s="637"/>
      <c r="WW68" s="637"/>
      <c r="WX68" s="637"/>
      <c r="WY68" s="637"/>
      <c r="WZ68" s="637"/>
      <c r="XA68" s="637"/>
      <c r="XB68" s="637"/>
      <c r="XC68" s="637"/>
      <c r="XD68" s="637"/>
      <c r="XE68" s="637"/>
      <c r="XF68" s="637"/>
      <c r="XG68" s="637"/>
      <c r="XH68" s="637"/>
      <c r="XI68" s="637"/>
      <c r="XJ68" s="637"/>
      <c r="XK68" s="637"/>
      <c r="XL68" s="637"/>
      <c r="XM68" s="637"/>
      <c r="XN68" s="637"/>
      <c r="XO68" s="637"/>
      <c r="XP68" s="637"/>
      <c r="XQ68" s="637"/>
      <c r="XR68" s="637"/>
      <c r="XS68" s="637"/>
      <c r="XT68" s="637"/>
      <c r="XU68" s="637"/>
      <c r="XV68" s="637"/>
      <c r="XW68" s="637"/>
      <c r="XX68" s="637"/>
      <c r="XY68" s="637"/>
      <c r="XZ68" s="637"/>
      <c r="YA68" s="637"/>
      <c r="YB68" s="637"/>
      <c r="YC68" s="637"/>
      <c r="YD68" s="637"/>
      <c r="YE68" s="637"/>
      <c r="YF68" s="637"/>
      <c r="YG68" s="637"/>
      <c r="YH68" s="637"/>
      <c r="YI68" s="637"/>
      <c r="YJ68" s="637"/>
      <c r="YK68" s="637"/>
      <c r="YL68" s="637"/>
      <c r="YM68" s="637"/>
      <c r="YN68" s="637"/>
      <c r="YO68" s="637"/>
      <c r="YP68" s="637"/>
      <c r="YQ68" s="637"/>
      <c r="YR68" s="637"/>
      <c r="YS68" s="637"/>
      <c r="YT68" s="637"/>
      <c r="YU68" s="637"/>
      <c r="YV68" s="637"/>
      <c r="YW68" s="637"/>
      <c r="YX68" s="637"/>
      <c r="YY68" s="637"/>
      <c r="YZ68" s="637"/>
      <c r="ZA68" s="637"/>
      <c r="ZB68" s="637"/>
      <c r="ZC68" s="637"/>
      <c r="ZD68" s="637"/>
      <c r="ZE68" s="637"/>
      <c r="ZF68" s="637"/>
      <c r="ZG68" s="637"/>
      <c r="ZH68" s="637"/>
      <c r="ZI68" s="637"/>
      <c r="ZJ68" s="637"/>
      <c r="ZK68" s="637"/>
      <c r="ZL68" s="637"/>
      <c r="ZM68" s="637"/>
      <c r="ZN68" s="637"/>
      <c r="ZO68" s="637"/>
      <c r="ZP68" s="637"/>
      <c r="ZQ68" s="637"/>
      <c r="ZR68" s="637"/>
      <c r="ZS68" s="637"/>
      <c r="ZT68" s="637"/>
      <c r="ZU68" s="637"/>
      <c r="ZV68" s="637"/>
      <c r="ZW68" s="637"/>
      <c r="ZX68" s="637"/>
      <c r="ZY68" s="637"/>
      <c r="ZZ68" s="637"/>
      <c r="AAA68" s="637"/>
      <c r="AAB68" s="637"/>
      <c r="AAC68" s="637"/>
      <c r="AAD68" s="637"/>
      <c r="AAE68" s="637"/>
      <c r="AAF68" s="637"/>
      <c r="AAG68" s="637"/>
      <c r="AAH68" s="637"/>
      <c r="AAI68" s="637"/>
      <c r="AAJ68" s="637"/>
      <c r="AAK68" s="637"/>
      <c r="AAL68" s="637"/>
      <c r="AAM68" s="637"/>
      <c r="AAN68" s="637"/>
      <c r="AAO68" s="637"/>
      <c r="AAP68" s="637"/>
      <c r="AAQ68" s="637"/>
      <c r="AAR68" s="637"/>
      <c r="AAS68" s="637"/>
      <c r="AAT68" s="637"/>
      <c r="AAU68" s="637"/>
      <c r="AAV68" s="637"/>
      <c r="AAW68" s="637"/>
      <c r="AAX68" s="637"/>
      <c r="AAY68" s="637"/>
      <c r="AAZ68" s="637"/>
      <c r="ABA68" s="637"/>
      <c r="ABB68" s="637"/>
      <c r="ABC68" s="637"/>
      <c r="ABD68" s="637"/>
      <c r="ABE68" s="637"/>
      <c r="ABF68" s="637"/>
      <c r="ABG68" s="637"/>
      <c r="ABH68" s="637"/>
      <c r="ABI68" s="637"/>
      <c r="ABJ68" s="637"/>
      <c r="ABK68" s="637"/>
      <c r="ABL68" s="637"/>
      <c r="ABM68" s="637"/>
      <c r="ABN68" s="637"/>
      <c r="ABO68" s="637"/>
      <c r="ABP68" s="637"/>
      <c r="ABQ68" s="637"/>
      <c r="ABR68" s="637"/>
      <c r="ABS68" s="637"/>
      <c r="ABT68" s="637"/>
      <c r="ABU68" s="637"/>
      <c r="ABV68" s="637"/>
      <c r="ABW68" s="637"/>
      <c r="ABX68" s="637"/>
      <c r="ABY68" s="637"/>
      <c r="ABZ68" s="637"/>
      <c r="ACA68" s="637"/>
      <c r="ACB68" s="637"/>
      <c r="ACC68" s="637"/>
      <c r="ACD68" s="637"/>
      <c r="ACE68" s="637"/>
      <c r="ACF68" s="637"/>
      <c r="ACG68" s="637"/>
      <c r="ACH68" s="637"/>
      <c r="ACI68" s="637"/>
      <c r="ACJ68" s="637"/>
      <c r="ACK68" s="637"/>
      <c r="ACL68" s="637"/>
      <c r="ACM68" s="637"/>
      <c r="ACN68" s="637"/>
      <c r="ACO68" s="637"/>
      <c r="ACP68" s="637"/>
      <c r="ACQ68" s="637"/>
      <c r="ACR68" s="637"/>
      <c r="ACS68" s="637"/>
      <c r="ACT68" s="637"/>
      <c r="ACU68" s="637"/>
      <c r="ACV68" s="637"/>
      <c r="ACW68" s="637"/>
      <c r="ACX68" s="637"/>
      <c r="ACY68" s="637"/>
      <c r="ACZ68" s="637"/>
      <c r="ADA68" s="637"/>
      <c r="ADB68" s="637"/>
      <c r="ADC68" s="637"/>
      <c r="ADD68" s="637"/>
      <c r="ADE68" s="637"/>
      <c r="ADF68" s="637"/>
      <c r="ADG68" s="637"/>
      <c r="ADH68" s="637"/>
      <c r="ADI68" s="637"/>
      <c r="ADJ68" s="637"/>
      <c r="ADK68" s="637"/>
      <c r="ADL68" s="637"/>
      <c r="ADM68" s="637"/>
      <c r="ADN68" s="637"/>
      <c r="ADO68" s="637"/>
      <c r="ADP68" s="637"/>
      <c r="ADQ68" s="637"/>
      <c r="ADR68" s="637"/>
      <c r="ADS68" s="637"/>
      <c r="ADT68" s="637"/>
      <c r="ADU68" s="637"/>
      <c r="ADV68" s="637"/>
      <c r="ADW68" s="637"/>
      <c r="ADX68" s="637"/>
      <c r="ADY68" s="637"/>
      <c r="ADZ68" s="637"/>
      <c r="AEA68" s="637"/>
      <c r="AEB68" s="637"/>
      <c r="AEC68" s="637"/>
      <c r="AED68" s="637"/>
      <c r="AEE68" s="637"/>
      <c r="AEF68" s="637"/>
      <c r="AEG68" s="637"/>
      <c r="AEH68" s="637"/>
      <c r="AEI68" s="637"/>
      <c r="AEJ68" s="637"/>
      <c r="AEK68" s="637"/>
      <c r="AEL68" s="637"/>
      <c r="AEM68" s="637"/>
      <c r="AEN68" s="637"/>
      <c r="AEO68" s="637"/>
      <c r="AEP68" s="637"/>
      <c r="AEQ68" s="637"/>
      <c r="AER68" s="637"/>
      <c r="AES68" s="637"/>
      <c r="AET68" s="637"/>
      <c r="AEU68" s="637"/>
      <c r="AEV68" s="637"/>
      <c r="AEW68" s="637"/>
      <c r="AEX68" s="637"/>
      <c r="AEY68" s="637"/>
      <c r="AEZ68" s="637"/>
      <c r="AFA68" s="637"/>
      <c r="AFB68" s="637"/>
      <c r="AFC68" s="637"/>
      <c r="AFD68" s="637"/>
      <c r="AFE68" s="637"/>
      <c r="AFF68" s="637"/>
      <c r="AFG68" s="637"/>
      <c r="AFH68" s="637"/>
      <c r="AFI68" s="637"/>
      <c r="AFJ68" s="637"/>
      <c r="AFK68" s="637"/>
      <c r="AFL68" s="637"/>
      <c r="AFM68" s="637"/>
      <c r="AFN68" s="637"/>
      <c r="AFO68" s="637"/>
      <c r="AFP68" s="637"/>
      <c r="AFQ68" s="637"/>
      <c r="AFR68" s="637"/>
      <c r="AFS68" s="637"/>
      <c r="AFT68" s="637"/>
      <c r="AFU68" s="637"/>
      <c r="AFV68" s="637"/>
      <c r="AFW68" s="637"/>
      <c r="AFX68" s="637"/>
      <c r="AFY68" s="637"/>
      <c r="AFZ68" s="637"/>
      <c r="AGA68" s="637"/>
      <c r="AGB68" s="637"/>
      <c r="AGC68" s="637"/>
      <c r="AGD68" s="637"/>
      <c r="AGE68" s="637"/>
      <c r="AGF68" s="637"/>
      <c r="AGG68" s="637"/>
      <c r="AGH68" s="637"/>
      <c r="AGI68" s="637"/>
      <c r="AGJ68" s="637"/>
      <c r="AGK68" s="637"/>
      <c r="AGL68" s="637"/>
      <c r="AGM68" s="637"/>
      <c r="AGN68" s="637"/>
      <c r="AGO68" s="637"/>
      <c r="AGP68" s="637"/>
      <c r="AGQ68" s="637"/>
      <c r="AGR68" s="637"/>
      <c r="AGS68" s="637"/>
      <c r="AGT68" s="637"/>
      <c r="AGU68" s="637"/>
      <c r="AGV68" s="637"/>
      <c r="AGW68" s="637"/>
      <c r="AGX68" s="637"/>
      <c r="AGY68" s="637"/>
      <c r="AGZ68" s="637"/>
      <c r="AHA68" s="637"/>
      <c r="AHB68" s="637"/>
      <c r="AHC68" s="637"/>
      <c r="AHD68" s="637"/>
      <c r="AHE68" s="637"/>
      <c r="AHF68" s="637"/>
      <c r="AHG68" s="637"/>
      <c r="AHH68" s="637"/>
      <c r="AHI68" s="637"/>
      <c r="AHJ68" s="637"/>
      <c r="AHK68" s="637"/>
      <c r="AHL68" s="637"/>
      <c r="AHM68" s="637"/>
      <c r="AHN68" s="637"/>
      <c r="AHO68" s="637"/>
      <c r="AHP68" s="637"/>
      <c r="AHQ68" s="637"/>
      <c r="AHR68" s="637"/>
      <c r="AHS68" s="637"/>
      <c r="AHT68" s="637"/>
      <c r="AHU68" s="637"/>
      <c r="AHV68" s="637"/>
      <c r="AHW68" s="637"/>
      <c r="AHX68" s="637"/>
      <c r="AHY68" s="637"/>
      <c r="AHZ68" s="637"/>
      <c r="AIA68" s="637"/>
      <c r="AIB68" s="637"/>
      <c r="AIC68" s="637"/>
      <c r="AID68" s="637"/>
      <c r="AIE68" s="637"/>
      <c r="AIF68" s="637"/>
      <c r="AIG68" s="637"/>
      <c r="AIH68" s="637"/>
      <c r="AII68" s="637"/>
      <c r="AIJ68" s="637"/>
      <c r="AIK68" s="637"/>
      <c r="AIL68" s="637"/>
      <c r="AIM68" s="637"/>
      <c r="AIN68" s="637"/>
      <c r="AIO68" s="637"/>
      <c r="AIP68" s="637"/>
      <c r="AIQ68" s="637"/>
      <c r="AIR68" s="637"/>
      <c r="AIS68" s="637"/>
      <c r="AIT68" s="637"/>
      <c r="AIU68" s="637"/>
      <c r="AIV68" s="637"/>
      <c r="AIW68" s="637"/>
      <c r="AIX68" s="637"/>
      <c r="AIY68" s="637"/>
      <c r="AIZ68" s="637"/>
      <c r="AJA68" s="637"/>
      <c r="AJB68" s="637"/>
      <c r="AJC68" s="637"/>
      <c r="AJD68" s="637"/>
      <c r="AJE68" s="637"/>
      <c r="AJF68" s="637"/>
      <c r="AJG68" s="637"/>
      <c r="AJH68" s="637"/>
      <c r="AJI68" s="637"/>
      <c r="AJJ68" s="637"/>
      <c r="AJK68" s="637"/>
      <c r="AJL68" s="637"/>
      <c r="AJM68" s="637"/>
      <c r="AJN68" s="637"/>
      <c r="AJO68" s="637"/>
      <c r="AJP68" s="637"/>
      <c r="AJQ68" s="637"/>
      <c r="AJR68" s="637"/>
      <c r="AJS68" s="637"/>
      <c r="AJT68" s="637"/>
      <c r="AJU68" s="637"/>
      <c r="AJV68" s="637"/>
      <c r="AJW68" s="637"/>
      <c r="AJX68" s="637"/>
      <c r="AJY68" s="637"/>
      <c r="AJZ68" s="637"/>
      <c r="AKA68" s="637"/>
      <c r="AKB68" s="637"/>
      <c r="AKC68" s="637"/>
      <c r="AKD68" s="637"/>
      <c r="AKE68" s="637"/>
      <c r="AKF68" s="637"/>
      <c r="AKG68" s="637"/>
      <c r="AKH68" s="637"/>
      <c r="AKI68" s="637"/>
      <c r="AKJ68" s="637"/>
      <c r="AKK68" s="637"/>
      <c r="AKL68" s="637"/>
      <c r="AKM68" s="637"/>
      <c r="AKN68" s="637"/>
      <c r="AKO68" s="637"/>
      <c r="AKP68" s="637"/>
      <c r="AKQ68" s="637"/>
      <c r="AKR68" s="637"/>
      <c r="AKS68" s="637"/>
      <c r="AKT68" s="637"/>
      <c r="AKU68" s="637"/>
      <c r="AKV68" s="637"/>
      <c r="AKW68" s="637"/>
      <c r="AKX68" s="637"/>
      <c r="AKY68" s="637"/>
      <c r="AKZ68" s="637"/>
      <c r="ALA68" s="637"/>
      <c r="ALB68" s="637"/>
      <c r="ALC68" s="637"/>
      <c r="ALD68" s="637"/>
      <c r="ALE68" s="637"/>
      <c r="ALF68" s="637"/>
      <c r="ALG68" s="637"/>
      <c r="ALH68" s="637"/>
      <c r="ALI68" s="637"/>
      <c r="ALJ68" s="637"/>
      <c r="ALK68" s="637"/>
      <c r="ALL68" s="637"/>
      <c r="ALM68" s="637"/>
      <c r="ALN68" s="637"/>
      <c r="ALO68" s="637"/>
      <c r="ALP68" s="637"/>
      <c r="ALQ68" s="637"/>
      <c r="ALR68" s="637"/>
      <c r="ALS68" s="637"/>
      <c r="ALT68" s="637"/>
      <c r="ALU68" s="637"/>
      <c r="ALV68" s="637"/>
      <c r="ALW68" s="637"/>
      <c r="ALX68" s="637"/>
      <c r="ALY68" s="637"/>
      <c r="ALZ68" s="637"/>
      <c r="AMA68" s="637"/>
      <c r="AMB68" s="637"/>
      <c r="AMC68" s="637"/>
      <c r="AMD68" s="637"/>
      <c r="AME68" s="637"/>
      <c r="AMF68" s="637"/>
      <c r="AMG68" s="637"/>
      <c r="AMH68" s="637"/>
      <c r="AMI68" s="637"/>
      <c r="AMJ68" s="637"/>
    </row>
    <row r="69" spans="1:1024" s="638" customFormat="1" ht="46.5">
      <c r="A69" s="984" t="s">
        <v>120</v>
      </c>
      <c r="B69" s="985" t="s">
        <v>131</v>
      </c>
      <c r="C69" s="986" t="s">
        <v>132</v>
      </c>
      <c r="D69" s="981" t="s">
        <v>4</v>
      </c>
      <c r="E69" s="982">
        <v>8128</v>
      </c>
      <c r="F69" s="982">
        <f aca="true" t="shared" si="7" ref="F69:F79">SUM(G69:R69)</f>
        <v>28328</v>
      </c>
      <c r="G69" s="983">
        <v>20725</v>
      </c>
      <c r="H69" s="983">
        <v>5245</v>
      </c>
      <c r="I69" s="983">
        <v>2358</v>
      </c>
      <c r="J69" s="983"/>
      <c r="K69" s="983"/>
      <c r="L69" s="983"/>
      <c r="M69" s="983"/>
      <c r="N69" s="983"/>
      <c r="O69" s="983"/>
      <c r="P69" s="983"/>
      <c r="Q69" s="983"/>
      <c r="R69" s="984"/>
      <c r="S69" s="637"/>
      <c r="T69" s="637"/>
      <c r="U69" s="637"/>
      <c r="V69" s="637"/>
      <c r="W69" s="637"/>
      <c r="X69" s="637"/>
      <c r="Y69" s="637"/>
      <c r="Z69" s="637"/>
      <c r="AA69" s="637"/>
      <c r="AB69" s="637"/>
      <c r="AC69" s="637"/>
      <c r="AD69" s="637"/>
      <c r="AE69" s="637"/>
      <c r="AF69" s="637"/>
      <c r="AG69" s="637"/>
      <c r="AH69" s="637"/>
      <c r="AI69" s="637"/>
      <c r="AJ69" s="637"/>
      <c r="AK69" s="637"/>
      <c r="AL69" s="637"/>
      <c r="AM69" s="637"/>
      <c r="AN69" s="637"/>
      <c r="AO69" s="637"/>
      <c r="AP69" s="637"/>
      <c r="AQ69" s="637"/>
      <c r="AR69" s="637"/>
      <c r="AS69" s="637"/>
      <c r="AT69" s="637"/>
      <c r="AU69" s="637"/>
      <c r="AV69" s="637"/>
      <c r="AW69" s="637"/>
      <c r="AX69" s="637"/>
      <c r="AY69" s="637"/>
      <c r="AZ69" s="637"/>
      <c r="BA69" s="637"/>
      <c r="BB69" s="637"/>
      <c r="BC69" s="637"/>
      <c r="BD69" s="637"/>
      <c r="BE69" s="637"/>
      <c r="BF69" s="637"/>
      <c r="BG69" s="637"/>
      <c r="BH69" s="637"/>
      <c r="BI69" s="637"/>
      <c r="BJ69" s="637"/>
      <c r="BK69" s="637"/>
      <c r="BL69" s="637"/>
      <c r="BM69" s="637"/>
      <c r="BN69" s="637"/>
      <c r="BO69" s="637"/>
      <c r="BP69" s="637"/>
      <c r="BQ69" s="637"/>
      <c r="BR69" s="637"/>
      <c r="BS69" s="637"/>
      <c r="BT69" s="637"/>
      <c r="BU69" s="637"/>
      <c r="BV69" s="637"/>
      <c r="BW69" s="637"/>
      <c r="BX69" s="637"/>
      <c r="BY69" s="637"/>
      <c r="BZ69" s="637"/>
      <c r="CA69" s="637"/>
      <c r="CB69" s="637"/>
      <c r="CC69" s="637"/>
      <c r="CD69" s="637"/>
      <c r="CE69" s="637"/>
      <c r="CF69" s="637"/>
      <c r="CG69" s="637"/>
      <c r="CH69" s="637"/>
      <c r="CI69" s="637"/>
      <c r="CJ69" s="637"/>
      <c r="CK69" s="637"/>
      <c r="CL69" s="637"/>
      <c r="CM69" s="637"/>
      <c r="CN69" s="637"/>
      <c r="CO69" s="637"/>
      <c r="CP69" s="637"/>
      <c r="CQ69" s="637"/>
      <c r="CR69" s="637"/>
      <c r="CS69" s="637"/>
      <c r="CT69" s="637"/>
      <c r="CU69" s="637"/>
      <c r="CV69" s="637"/>
      <c r="CW69" s="637"/>
      <c r="CX69" s="637"/>
      <c r="CY69" s="637"/>
      <c r="CZ69" s="637"/>
      <c r="DA69" s="637"/>
      <c r="DB69" s="637"/>
      <c r="DC69" s="637"/>
      <c r="DD69" s="637"/>
      <c r="DE69" s="637"/>
      <c r="DF69" s="637"/>
      <c r="DG69" s="637"/>
      <c r="DH69" s="637"/>
      <c r="DI69" s="637"/>
      <c r="DJ69" s="637"/>
      <c r="DK69" s="637"/>
      <c r="DL69" s="637"/>
      <c r="DM69" s="637"/>
      <c r="DN69" s="637"/>
      <c r="DO69" s="637"/>
      <c r="DP69" s="637"/>
      <c r="DQ69" s="637"/>
      <c r="DR69" s="637"/>
      <c r="DS69" s="637"/>
      <c r="DT69" s="637"/>
      <c r="DU69" s="637"/>
      <c r="DV69" s="637"/>
      <c r="DW69" s="637"/>
      <c r="DX69" s="637"/>
      <c r="DY69" s="637"/>
      <c r="DZ69" s="637"/>
      <c r="EA69" s="637"/>
      <c r="EB69" s="637"/>
      <c r="EC69" s="637"/>
      <c r="ED69" s="637"/>
      <c r="EE69" s="637"/>
      <c r="EF69" s="637"/>
      <c r="EG69" s="637"/>
      <c r="EH69" s="637"/>
      <c r="EI69" s="637"/>
      <c r="EJ69" s="637"/>
      <c r="EK69" s="637"/>
      <c r="EL69" s="637"/>
      <c r="EM69" s="637"/>
      <c r="EN69" s="637"/>
      <c r="EO69" s="637"/>
      <c r="EP69" s="637"/>
      <c r="EQ69" s="637"/>
      <c r="ER69" s="637"/>
      <c r="ES69" s="637"/>
      <c r="ET69" s="637"/>
      <c r="EU69" s="637"/>
      <c r="EV69" s="637"/>
      <c r="EW69" s="637"/>
      <c r="EX69" s="637"/>
      <c r="EY69" s="637"/>
      <c r="EZ69" s="637"/>
      <c r="FA69" s="637"/>
      <c r="FB69" s="637"/>
      <c r="FC69" s="637"/>
      <c r="FD69" s="637"/>
      <c r="FE69" s="637"/>
      <c r="FF69" s="637"/>
      <c r="FG69" s="637"/>
      <c r="FH69" s="637"/>
      <c r="FI69" s="637"/>
      <c r="FJ69" s="637"/>
      <c r="FK69" s="637"/>
      <c r="FL69" s="637"/>
      <c r="FM69" s="637"/>
      <c r="FN69" s="637"/>
      <c r="FO69" s="637"/>
      <c r="FP69" s="637"/>
      <c r="FQ69" s="637"/>
      <c r="FR69" s="637"/>
      <c r="FS69" s="637"/>
      <c r="FT69" s="637"/>
      <c r="FU69" s="637"/>
      <c r="FV69" s="637"/>
      <c r="FW69" s="637"/>
      <c r="FX69" s="637"/>
      <c r="FY69" s="637"/>
      <c r="FZ69" s="637"/>
      <c r="GA69" s="637"/>
      <c r="GB69" s="637"/>
      <c r="GC69" s="637"/>
      <c r="GD69" s="637"/>
      <c r="GE69" s="637"/>
      <c r="GF69" s="637"/>
      <c r="GG69" s="637"/>
      <c r="GH69" s="637"/>
      <c r="GI69" s="637"/>
      <c r="GJ69" s="637"/>
      <c r="GK69" s="637"/>
      <c r="GL69" s="637"/>
      <c r="GM69" s="637"/>
      <c r="GN69" s="637"/>
      <c r="GO69" s="637"/>
      <c r="GP69" s="637"/>
      <c r="GQ69" s="637"/>
      <c r="GR69" s="637"/>
      <c r="GS69" s="637"/>
      <c r="GT69" s="637"/>
      <c r="GU69" s="637"/>
      <c r="GV69" s="637"/>
      <c r="GW69" s="637"/>
      <c r="GX69" s="637"/>
      <c r="GY69" s="637"/>
      <c r="GZ69" s="637"/>
      <c r="HA69" s="637"/>
      <c r="HB69" s="637"/>
      <c r="HC69" s="637"/>
      <c r="HD69" s="637"/>
      <c r="HE69" s="637"/>
      <c r="HF69" s="637"/>
      <c r="HG69" s="637"/>
      <c r="HH69" s="637"/>
      <c r="HI69" s="637"/>
      <c r="HJ69" s="637"/>
      <c r="HK69" s="637"/>
      <c r="HL69" s="637"/>
      <c r="HM69" s="637"/>
      <c r="HN69" s="637"/>
      <c r="HO69" s="637"/>
      <c r="HP69" s="637"/>
      <c r="HQ69" s="637"/>
      <c r="HR69" s="637"/>
      <c r="HS69" s="637"/>
      <c r="HT69" s="637"/>
      <c r="HU69" s="637"/>
      <c r="HV69" s="637"/>
      <c r="HW69" s="637"/>
      <c r="HX69" s="637"/>
      <c r="HY69" s="637"/>
      <c r="HZ69" s="637"/>
      <c r="IA69" s="637"/>
      <c r="IB69" s="637"/>
      <c r="IC69" s="637"/>
      <c r="ID69" s="637"/>
      <c r="IE69" s="637"/>
      <c r="IF69" s="637"/>
      <c r="IG69" s="637"/>
      <c r="IH69" s="637"/>
      <c r="II69" s="637"/>
      <c r="IJ69" s="637"/>
      <c r="IK69" s="637"/>
      <c r="IL69" s="637"/>
      <c r="IM69" s="637"/>
      <c r="IN69" s="637"/>
      <c r="IO69" s="637"/>
      <c r="IP69" s="637"/>
      <c r="IQ69" s="637"/>
      <c r="IR69" s="637"/>
      <c r="IS69" s="637"/>
      <c r="IT69" s="637"/>
      <c r="IU69" s="637"/>
      <c r="IV69" s="637"/>
      <c r="IW69" s="637"/>
      <c r="IX69" s="637"/>
      <c r="IY69" s="637"/>
      <c r="IZ69" s="637"/>
      <c r="JA69" s="637"/>
      <c r="JB69" s="637"/>
      <c r="JC69" s="637"/>
      <c r="JD69" s="637"/>
      <c r="JE69" s="637"/>
      <c r="JF69" s="637"/>
      <c r="JG69" s="637"/>
      <c r="JH69" s="637"/>
      <c r="JI69" s="637"/>
      <c r="JJ69" s="637"/>
      <c r="JK69" s="637"/>
      <c r="JL69" s="637"/>
      <c r="JM69" s="637"/>
      <c r="JN69" s="637"/>
      <c r="JO69" s="637"/>
      <c r="JP69" s="637"/>
      <c r="JQ69" s="637"/>
      <c r="JR69" s="637"/>
      <c r="JS69" s="637"/>
      <c r="JT69" s="637"/>
      <c r="JU69" s="637"/>
      <c r="JV69" s="637"/>
      <c r="JW69" s="637"/>
      <c r="JX69" s="637"/>
      <c r="JY69" s="637"/>
      <c r="JZ69" s="637"/>
      <c r="KA69" s="637"/>
      <c r="KB69" s="637"/>
      <c r="KC69" s="637"/>
      <c r="KD69" s="637"/>
      <c r="KE69" s="637"/>
      <c r="KF69" s="637"/>
      <c r="KG69" s="637"/>
      <c r="KH69" s="637"/>
      <c r="KI69" s="637"/>
      <c r="KJ69" s="637"/>
      <c r="KK69" s="637"/>
      <c r="KL69" s="637"/>
      <c r="KM69" s="637"/>
      <c r="KN69" s="637"/>
      <c r="KO69" s="637"/>
      <c r="KP69" s="637"/>
      <c r="KQ69" s="637"/>
      <c r="KR69" s="637"/>
      <c r="KS69" s="637"/>
      <c r="KT69" s="637"/>
      <c r="KU69" s="637"/>
      <c r="KV69" s="637"/>
      <c r="KW69" s="637"/>
      <c r="KX69" s="637"/>
      <c r="KY69" s="637"/>
      <c r="KZ69" s="637"/>
      <c r="LA69" s="637"/>
      <c r="LB69" s="637"/>
      <c r="LC69" s="637"/>
      <c r="LD69" s="637"/>
      <c r="LE69" s="637"/>
      <c r="LF69" s="637"/>
      <c r="LG69" s="637"/>
      <c r="LH69" s="637"/>
      <c r="LI69" s="637"/>
      <c r="LJ69" s="637"/>
      <c r="LK69" s="637"/>
      <c r="LL69" s="637"/>
      <c r="LM69" s="637"/>
      <c r="LN69" s="637"/>
      <c r="LO69" s="637"/>
      <c r="LP69" s="637"/>
      <c r="LQ69" s="637"/>
      <c r="LR69" s="637"/>
      <c r="LS69" s="637"/>
      <c r="LT69" s="637"/>
      <c r="LU69" s="637"/>
      <c r="LV69" s="637"/>
      <c r="LW69" s="637"/>
      <c r="LX69" s="637"/>
      <c r="LY69" s="637"/>
      <c r="LZ69" s="637"/>
      <c r="MA69" s="637"/>
      <c r="MB69" s="637"/>
      <c r="MC69" s="637"/>
      <c r="MD69" s="637"/>
      <c r="ME69" s="637"/>
      <c r="MF69" s="637"/>
      <c r="MG69" s="637"/>
      <c r="MH69" s="637"/>
      <c r="MI69" s="637"/>
      <c r="MJ69" s="637"/>
      <c r="MK69" s="637"/>
      <c r="ML69" s="637"/>
      <c r="MM69" s="637"/>
      <c r="MN69" s="637"/>
      <c r="MO69" s="637"/>
      <c r="MP69" s="637"/>
      <c r="MQ69" s="637"/>
      <c r="MR69" s="637"/>
      <c r="MS69" s="637"/>
      <c r="MT69" s="637"/>
      <c r="MU69" s="637"/>
      <c r="MV69" s="637"/>
      <c r="MW69" s="637"/>
      <c r="MX69" s="637"/>
      <c r="MY69" s="637"/>
      <c r="MZ69" s="637"/>
      <c r="NA69" s="637"/>
      <c r="NB69" s="637"/>
      <c r="NC69" s="637"/>
      <c r="ND69" s="637"/>
      <c r="NE69" s="637"/>
      <c r="NF69" s="637"/>
      <c r="NG69" s="637"/>
      <c r="NH69" s="637"/>
      <c r="NI69" s="637"/>
      <c r="NJ69" s="637"/>
      <c r="NK69" s="637"/>
      <c r="NL69" s="637"/>
      <c r="NM69" s="637"/>
      <c r="NN69" s="637"/>
      <c r="NO69" s="637"/>
      <c r="NP69" s="637"/>
      <c r="NQ69" s="637"/>
      <c r="NR69" s="637"/>
      <c r="NS69" s="637"/>
      <c r="NT69" s="637"/>
      <c r="NU69" s="637"/>
      <c r="NV69" s="637"/>
      <c r="NW69" s="637"/>
      <c r="NX69" s="637"/>
      <c r="NY69" s="637"/>
      <c r="NZ69" s="637"/>
      <c r="OA69" s="637"/>
      <c r="OB69" s="637"/>
      <c r="OC69" s="637"/>
      <c r="OD69" s="637"/>
      <c r="OE69" s="637"/>
      <c r="OF69" s="637"/>
      <c r="OG69" s="637"/>
      <c r="OH69" s="637"/>
      <c r="OI69" s="637"/>
      <c r="OJ69" s="637"/>
      <c r="OK69" s="637"/>
      <c r="OL69" s="637"/>
      <c r="OM69" s="637"/>
      <c r="ON69" s="637"/>
      <c r="OO69" s="637"/>
      <c r="OP69" s="637"/>
      <c r="OQ69" s="637"/>
      <c r="OR69" s="637"/>
      <c r="OS69" s="637"/>
      <c r="OT69" s="637"/>
      <c r="OU69" s="637"/>
      <c r="OV69" s="637"/>
      <c r="OW69" s="637"/>
      <c r="OX69" s="637"/>
      <c r="OY69" s="637"/>
      <c r="OZ69" s="637"/>
      <c r="PA69" s="637"/>
      <c r="PB69" s="637"/>
      <c r="PC69" s="637"/>
      <c r="PD69" s="637"/>
      <c r="PE69" s="637"/>
      <c r="PF69" s="637"/>
      <c r="PG69" s="637"/>
      <c r="PH69" s="637"/>
      <c r="PI69" s="637"/>
      <c r="PJ69" s="637"/>
      <c r="PK69" s="637"/>
      <c r="PL69" s="637"/>
      <c r="PM69" s="637"/>
      <c r="PN69" s="637"/>
      <c r="PO69" s="637"/>
      <c r="PP69" s="637"/>
      <c r="PQ69" s="637"/>
      <c r="PR69" s="637"/>
      <c r="PS69" s="637"/>
      <c r="PT69" s="637"/>
      <c r="PU69" s="637"/>
      <c r="PV69" s="637"/>
      <c r="PW69" s="637"/>
      <c r="PX69" s="637"/>
      <c r="PY69" s="637"/>
      <c r="PZ69" s="637"/>
      <c r="QA69" s="637"/>
      <c r="QB69" s="637"/>
      <c r="QC69" s="637"/>
      <c r="QD69" s="637"/>
      <c r="QE69" s="637"/>
      <c r="QF69" s="637"/>
      <c r="QG69" s="637"/>
      <c r="QH69" s="637"/>
      <c r="QI69" s="637"/>
      <c r="QJ69" s="637"/>
      <c r="QK69" s="637"/>
      <c r="QL69" s="637"/>
      <c r="QM69" s="637"/>
      <c r="QN69" s="637"/>
      <c r="QO69" s="637"/>
      <c r="QP69" s="637"/>
      <c r="QQ69" s="637"/>
      <c r="QR69" s="637"/>
      <c r="QS69" s="637"/>
      <c r="QT69" s="637"/>
      <c r="QU69" s="637"/>
      <c r="QV69" s="637"/>
      <c r="QW69" s="637"/>
      <c r="QX69" s="637"/>
      <c r="QY69" s="637"/>
      <c r="QZ69" s="637"/>
      <c r="RA69" s="637"/>
      <c r="RB69" s="637"/>
      <c r="RC69" s="637"/>
      <c r="RD69" s="637"/>
      <c r="RE69" s="637"/>
      <c r="RF69" s="637"/>
      <c r="RG69" s="637"/>
      <c r="RH69" s="637"/>
      <c r="RI69" s="637"/>
      <c r="RJ69" s="637"/>
      <c r="RK69" s="637"/>
      <c r="RL69" s="637"/>
      <c r="RM69" s="637"/>
      <c r="RN69" s="637"/>
      <c r="RO69" s="637"/>
      <c r="RP69" s="637"/>
      <c r="RQ69" s="637"/>
      <c r="RR69" s="637"/>
      <c r="RS69" s="637"/>
      <c r="RT69" s="637"/>
      <c r="RU69" s="637"/>
      <c r="RV69" s="637"/>
      <c r="RW69" s="637"/>
      <c r="RX69" s="637"/>
      <c r="RY69" s="637"/>
      <c r="RZ69" s="637"/>
      <c r="SA69" s="637"/>
      <c r="SB69" s="637"/>
      <c r="SC69" s="637"/>
      <c r="SD69" s="637"/>
      <c r="SE69" s="637"/>
      <c r="SF69" s="637"/>
      <c r="SG69" s="637"/>
      <c r="SH69" s="637"/>
      <c r="SI69" s="637"/>
      <c r="SJ69" s="637"/>
      <c r="SK69" s="637"/>
      <c r="SL69" s="637"/>
      <c r="SM69" s="637"/>
      <c r="SN69" s="637"/>
      <c r="SO69" s="637"/>
      <c r="SP69" s="637"/>
      <c r="SQ69" s="637"/>
      <c r="SR69" s="637"/>
      <c r="SS69" s="637"/>
      <c r="ST69" s="637"/>
      <c r="SU69" s="637"/>
      <c r="SV69" s="637"/>
      <c r="SW69" s="637"/>
      <c r="SX69" s="637"/>
      <c r="SY69" s="637"/>
      <c r="SZ69" s="637"/>
      <c r="TA69" s="637"/>
      <c r="TB69" s="637"/>
      <c r="TC69" s="637"/>
      <c r="TD69" s="637"/>
      <c r="TE69" s="637"/>
      <c r="TF69" s="637"/>
      <c r="TG69" s="637"/>
      <c r="TH69" s="637"/>
      <c r="TI69" s="637"/>
      <c r="TJ69" s="637"/>
      <c r="TK69" s="637"/>
      <c r="TL69" s="637"/>
      <c r="TM69" s="637"/>
      <c r="TN69" s="637"/>
      <c r="TO69" s="637"/>
      <c r="TP69" s="637"/>
      <c r="TQ69" s="637"/>
      <c r="TR69" s="637"/>
      <c r="TS69" s="637"/>
      <c r="TT69" s="637"/>
      <c r="TU69" s="637"/>
      <c r="TV69" s="637"/>
      <c r="TW69" s="637"/>
      <c r="TX69" s="637"/>
      <c r="TY69" s="637"/>
      <c r="TZ69" s="637"/>
      <c r="UA69" s="637"/>
      <c r="UB69" s="637"/>
      <c r="UC69" s="637"/>
      <c r="UD69" s="637"/>
      <c r="UE69" s="637"/>
      <c r="UF69" s="637"/>
      <c r="UG69" s="637"/>
      <c r="UH69" s="637"/>
      <c r="UI69" s="637"/>
      <c r="UJ69" s="637"/>
      <c r="UK69" s="637"/>
      <c r="UL69" s="637"/>
      <c r="UM69" s="637"/>
      <c r="UN69" s="637"/>
      <c r="UO69" s="637"/>
      <c r="UP69" s="637"/>
      <c r="UQ69" s="637"/>
      <c r="UR69" s="637"/>
      <c r="US69" s="637"/>
      <c r="UT69" s="637"/>
      <c r="UU69" s="637"/>
      <c r="UV69" s="637"/>
      <c r="UW69" s="637"/>
      <c r="UX69" s="637"/>
      <c r="UY69" s="637"/>
      <c r="UZ69" s="637"/>
      <c r="VA69" s="637"/>
      <c r="VB69" s="637"/>
      <c r="VC69" s="637"/>
      <c r="VD69" s="637"/>
      <c r="VE69" s="637"/>
      <c r="VF69" s="637"/>
      <c r="VG69" s="637"/>
      <c r="VH69" s="637"/>
      <c r="VI69" s="637"/>
      <c r="VJ69" s="637"/>
      <c r="VK69" s="637"/>
      <c r="VL69" s="637"/>
      <c r="VM69" s="637"/>
      <c r="VN69" s="637"/>
      <c r="VO69" s="637"/>
      <c r="VP69" s="637"/>
      <c r="VQ69" s="637"/>
      <c r="VR69" s="637"/>
      <c r="VS69" s="637"/>
      <c r="VT69" s="637"/>
      <c r="VU69" s="637"/>
      <c r="VV69" s="637"/>
      <c r="VW69" s="637"/>
      <c r="VX69" s="637"/>
      <c r="VY69" s="637"/>
      <c r="VZ69" s="637"/>
      <c r="WA69" s="637"/>
      <c r="WB69" s="637"/>
      <c r="WC69" s="637"/>
      <c r="WD69" s="637"/>
      <c r="WE69" s="637"/>
      <c r="WF69" s="637"/>
      <c r="WG69" s="637"/>
      <c r="WH69" s="637"/>
      <c r="WI69" s="637"/>
      <c r="WJ69" s="637"/>
      <c r="WK69" s="637"/>
      <c r="WL69" s="637"/>
      <c r="WM69" s="637"/>
      <c r="WN69" s="637"/>
      <c r="WO69" s="637"/>
      <c r="WP69" s="637"/>
      <c r="WQ69" s="637"/>
      <c r="WR69" s="637"/>
      <c r="WS69" s="637"/>
      <c r="WT69" s="637"/>
      <c r="WU69" s="637"/>
      <c r="WV69" s="637"/>
      <c r="WW69" s="637"/>
      <c r="WX69" s="637"/>
      <c r="WY69" s="637"/>
      <c r="WZ69" s="637"/>
      <c r="XA69" s="637"/>
      <c r="XB69" s="637"/>
      <c r="XC69" s="637"/>
      <c r="XD69" s="637"/>
      <c r="XE69" s="637"/>
      <c r="XF69" s="637"/>
      <c r="XG69" s="637"/>
      <c r="XH69" s="637"/>
      <c r="XI69" s="637"/>
      <c r="XJ69" s="637"/>
      <c r="XK69" s="637"/>
      <c r="XL69" s="637"/>
      <c r="XM69" s="637"/>
      <c r="XN69" s="637"/>
      <c r="XO69" s="637"/>
      <c r="XP69" s="637"/>
      <c r="XQ69" s="637"/>
      <c r="XR69" s="637"/>
      <c r="XS69" s="637"/>
      <c r="XT69" s="637"/>
      <c r="XU69" s="637"/>
      <c r="XV69" s="637"/>
      <c r="XW69" s="637"/>
      <c r="XX69" s="637"/>
      <c r="XY69" s="637"/>
      <c r="XZ69" s="637"/>
      <c r="YA69" s="637"/>
      <c r="YB69" s="637"/>
      <c r="YC69" s="637"/>
      <c r="YD69" s="637"/>
      <c r="YE69" s="637"/>
      <c r="YF69" s="637"/>
      <c r="YG69" s="637"/>
      <c r="YH69" s="637"/>
      <c r="YI69" s="637"/>
      <c r="YJ69" s="637"/>
      <c r="YK69" s="637"/>
      <c r="YL69" s="637"/>
      <c r="YM69" s="637"/>
      <c r="YN69" s="637"/>
      <c r="YO69" s="637"/>
      <c r="YP69" s="637"/>
      <c r="YQ69" s="637"/>
      <c r="YR69" s="637"/>
      <c r="YS69" s="637"/>
      <c r="YT69" s="637"/>
      <c r="YU69" s="637"/>
      <c r="YV69" s="637"/>
      <c r="YW69" s="637"/>
      <c r="YX69" s="637"/>
      <c r="YY69" s="637"/>
      <c r="YZ69" s="637"/>
      <c r="ZA69" s="637"/>
      <c r="ZB69" s="637"/>
      <c r="ZC69" s="637"/>
      <c r="ZD69" s="637"/>
      <c r="ZE69" s="637"/>
      <c r="ZF69" s="637"/>
      <c r="ZG69" s="637"/>
      <c r="ZH69" s="637"/>
      <c r="ZI69" s="637"/>
      <c r="ZJ69" s="637"/>
      <c r="ZK69" s="637"/>
      <c r="ZL69" s="637"/>
      <c r="ZM69" s="637"/>
      <c r="ZN69" s="637"/>
      <c r="ZO69" s="637"/>
      <c r="ZP69" s="637"/>
      <c r="ZQ69" s="637"/>
      <c r="ZR69" s="637"/>
      <c r="ZS69" s="637"/>
      <c r="ZT69" s="637"/>
      <c r="ZU69" s="637"/>
      <c r="ZV69" s="637"/>
      <c r="ZW69" s="637"/>
      <c r="ZX69" s="637"/>
      <c r="ZY69" s="637"/>
      <c r="ZZ69" s="637"/>
      <c r="AAA69" s="637"/>
      <c r="AAB69" s="637"/>
      <c r="AAC69" s="637"/>
      <c r="AAD69" s="637"/>
      <c r="AAE69" s="637"/>
      <c r="AAF69" s="637"/>
      <c r="AAG69" s="637"/>
      <c r="AAH69" s="637"/>
      <c r="AAI69" s="637"/>
      <c r="AAJ69" s="637"/>
      <c r="AAK69" s="637"/>
      <c r="AAL69" s="637"/>
      <c r="AAM69" s="637"/>
      <c r="AAN69" s="637"/>
      <c r="AAO69" s="637"/>
      <c r="AAP69" s="637"/>
      <c r="AAQ69" s="637"/>
      <c r="AAR69" s="637"/>
      <c r="AAS69" s="637"/>
      <c r="AAT69" s="637"/>
      <c r="AAU69" s="637"/>
      <c r="AAV69" s="637"/>
      <c r="AAW69" s="637"/>
      <c r="AAX69" s="637"/>
      <c r="AAY69" s="637"/>
      <c r="AAZ69" s="637"/>
      <c r="ABA69" s="637"/>
      <c r="ABB69" s="637"/>
      <c r="ABC69" s="637"/>
      <c r="ABD69" s="637"/>
      <c r="ABE69" s="637"/>
      <c r="ABF69" s="637"/>
      <c r="ABG69" s="637"/>
      <c r="ABH69" s="637"/>
      <c r="ABI69" s="637"/>
      <c r="ABJ69" s="637"/>
      <c r="ABK69" s="637"/>
      <c r="ABL69" s="637"/>
      <c r="ABM69" s="637"/>
      <c r="ABN69" s="637"/>
      <c r="ABO69" s="637"/>
      <c r="ABP69" s="637"/>
      <c r="ABQ69" s="637"/>
      <c r="ABR69" s="637"/>
      <c r="ABS69" s="637"/>
      <c r="ABT69" s="637"/>
      <c r="ABU69" s="637"/>
      <c r="ABV69" s="637"/>
      <c r="ABW69" s="637"/>
      <c r="ABX69" s="637"/>
      <c r="ABY69" s="637"/>
      <c r="ABZ69" s="637"/>
      <c r="ACA69" s="637"/>
      <c r="ACB69" s="637"/>
      <c r="ACC69" s="637"/>
      <c r="ACD69" s="637"/>
      <c r="ACE69" s="637"/>
      <c r="ACF69" s="637"/>
      <c r="ACG69" s="637"/>
      <c r="ACH69" s="637"/>
      <c r="ACI69" s="637"/>
      <c r="ACJ69" s="637"/>
      <c r="ACK69" s="637"/>
      <c r="ACL69" s="637"/>
      <c r="ACM69" s="637"/>
      <c r="ACN69" s="637"/>
      <c r="ACO69" s="637"/>
      <c r="ACP69" s="637"/>
      <c r="ACQ69" s="637"/>
      <c r="ACR69" s="637"/>
      <c r="ACS69" s="637"/>
      <c r="ACT69" s="637"/>
      <c r="ACU69" s="637"/>
      <c r="ACV69" s="637"/>
      <c r="ACW69" s="637"/>
      <c r="ACX69" s="637"/>
      <c r="ACY69" s="637"/>
      <c r="ACZ69" s="637"/>
      <c r="ADA69" s="637"/>
      <c r="ADB69" s="637"/>
      <c r="ADC69" s="637"/>
      <c r="ADD69" s="637"/>
      <c r="ADE69" s="637"/>
      <c r="ADF69" s="637"/>
      <c r="ADG69" s="637"/>
      <c r="ADH69" s="637"/>
      <c r="ADI69" s="637"/>
      <c r="ADJ69" s="637"/>
      <c r="ADK69" s="637"/>
      <c r="ADL69" s="637"/>
      <c r="ADM69" s="637"/>
      <c r="ADN69" s="637"/>
      <c r="ADO69" s="637"/>
      <c r="ADP69" s="637"/>
      <c r="ADQ69" s="637"/>
      <c r="ADR69" s="637"/>
      <c r="ADS69" s="637"/>
      <c r="ADT69" s="637"/>
      <c r="ADU69" s="637"/>
      <c r="ADV69" s="637"/>
      <c r="ADW69" s="637"/>
      <c r="ADX69" s="637"/>
      <c r="ADY69" s="637"/>
      <c r="ADZ69" s="637"/>
      <c r="AEA69" s="637"/>
      <c r="AEB69" s="637"/>
      <c r="AEC69" s="637"/>
      <c r="AED69" s="637"/>
      <c r="AEE69" s="637"/>
      <c r="AEF69" s="637"/>
      <c r="AEG69" s="637"/>
      <c r="AEH69" s="637"/>
      <c r="AEI69" s="637"/>
      <c r="AEJ69" s="637"/>
      <c r="AEK69" s="637"/>
      <c r="AEL69" s="637"/>
      <c r="AEM69" s="637"/>
      <c r="AEN69" s="637"/>
      <c r="AEO69" s="637"/>
      <c r="AEP69" s="637"/>
      <c r="AEQ69" s="637"/>
      <c r="AER69" s="637"/>
      <c r="AES69" s="637"/>
      <c r="AET69" s="637"/>
      <c r="AEU69" s="637"/>
      <c r="AEV69" s="637"/>
      <c r="AEW69" s="637"/>
      <c r="AEX69" s="637"/>
      <c r="AEY69" s="637"/>
      <c r="AEZ69" s="637"/>
      <c r="AFA69" s="637"/>
      <c r="AFB69" s="637"/>
      <c r="AFC69" s="637"/>
      <c r="AFD69" s="637"/>
      <c r="AFE69" s="637"/>
      <c r="AFF69" s="637"/>
      <c r="AFG69" s="637"/>
      <c r="AFH69" s="637"/>
      <c r="AFI69" s="637"/>
      <c r="AFJ69" s="637"/>
      <c r="AFK69" s="637"/>
      <c r="AFL69" s="637"/>
      <c r="AFM69" s="637"/>
      <c r="AFN69" s="637"/>
      <c r="AFO69" s="637"/>
      <c r="AFP69" s="637"/>
      <c r="AFQ69" s="637"/>
      <c r="AFR69" s="637"/>
      <c r="AFS69" s="637"/>
      <c r="AFT69" s="637"/>
      <c r="AFU69" s="637"/>
      <c r="AFV69" s="637"/>
      <c r="AFW69" s="637"/>
      <c r="AFX69" s="637"/>
      <c r="AFY69" s="637"/>
      <c r="AFZ69" s="637"/>
      <c r="AGA69" s="637"/>
      <c r="AGB69" s="637"/>
      <c r="AGC69" s="637"/>
      <c r="AGD69" s="637"/>
      <c r="AGE69" s="637"/>
      <c r="AGF69" s="637"/>
      <c r="AGG69" s="637"/>
      <c r="AGH69" s="637"/>
      <c r="AGI69" s="637"/>
      <c r="AGJ69" s="637"/>
      <c r="AGK69" s="637"/>
      <c r="AGL69" s="637"/>
      <c r="AGM69" s="637"/>
      <c r="AGN69" s="637"/>
      <c r="AGO69" s="637"/>
      <c r="AGP69" s="637"/>
      <c r="AGQ69" s="637"/>
      <c r="AGR69" s="637"/>
      <c r="AGS69" s="637"/>
      <c r="AGT69" s="637"/>
      <c r="AGU69" s="637"/>
      <c r="AGV69" s="637"/>
      <c r="AGW69" s="637"/>
      <c r="AGX69" s="637"/>
      <c r="AGY69" s="637"/>
      <c r="AGZ69" s="637"/>
      <c r="AHA69" s="637"/>
      <c r="AHB69" s="637"/>
      <c r="AHC69" s="637"/>
      <c r="AHD69" s="637"/>
      <c r="AHE69" s="637"/>
      <c r="AHF69" s="637"/>
      <c r="AHG69" s="637"/>
      <c r="AHH69" s="637"/>
      <c r="AHI69" s="637"/>
      <c r="AHJ69" s="637"/>
      <c r="AHK69" s="637"/>
      <c r="AHL69" s="637"/>
      <c r="AHM69" s="637"/>
      <c r="AHN69" s="637"/>
      <c r="AHO69" s="637"/>
      <c r="AHP69" s="637"/>
      <c r="AHQ69" s="637"/>
      <c r="AHR69" s="637"/>
      <c r="AHS69" s="637"/>
      <c r="AHT69" s="637"/>
      <c r="AHU69" s="637"/>
      <c r="AHV69" s="637"/>
      <c r="AHW69" s="637"/>
      <c r="AHX69" s="637"/>
      <c r="AHY69" s="637"/>
      <c r="AHZ69" s="637"/>
      <c r="AIA69" s="637"/>
      <c r="AIB69" s="637"/>
      <c r="AIC69" s="637"/>
      <c r="AID69" s="637"/>
      <c r="AIE69" s="637"/>
      <c r="AIF69" s="637"/>
      <c r="AIG69" s="637"/>
      <c r="AIH69" s="637"/>
      <c r="AII69" s="637"/>
      <c r="AIJ69" s="637"/>
      <c r="AIK69" s="637"/>
      <c r="AIL69" s="637"/>
      <c r="AIM69" s="637"/>
      <c r="AIN69" s="637"/>
      <c r="AIO69" s="637"/>
      <c r="AIP69" s="637"/>
      <c r="AIQ69" s="637"/>
      <c r="AIR69" s="637"/>
      <c r="AIS69" s="637"/>
      <c r="AIT69" s="637"/>
      <c r="AIU69" s="637"/>
      <c r="AIV69" s="637"/>
      <c r="AIW69" s="637"/>
      <c r="AIX69" s="637"/>
      <c r="AIY69" s="637"/>
      <c r="AIZ69" s="637"/>
      <c r="AJA69" s="637"/>
      <c r="AJB69" s="637"/>
      <c r="AJC69" s="637"/>
      <c r="AJD69" s="637"/>
      <c r="AJE69" s="637"/>
      <c r="AJF69" s="637"/>
      <c r="AJG69" s="637"/>
      <c r="AJH69" s="637"/>
      <c r="AJI69" s="637"/>
      <c r="AJJ69" s="637"/>
      <c r="AJK69" s="637"/>
      <c r="AJL69" s="637"/>
      <c r="AJM69" s="637"/>
      <c r="AJN69" s="637"/>
      <c r="AJO69" s="637"/>
      <c r="AJP69" s="637"/>
      <c r="AJQ69" s="637"/>
      <c r="AJR69" s="637"/>
      <c r="AJS69" s="637"/>
      <c r="AJT69" s="637"/>
      <c r="AJU69" s="637"/>
      <c r="AJV69" s="637"/>
      <c r="AJW69" s="637"/>
      <c r="AJX69" s="637"/>
      <c r="AJY69" s="637"/>
      <c r="AJZ69" s="637"/>
      <c r="AKA69" s="637"/>
      <c r="AKB69" s="637"/>
      <c r="AKC69" s="637"/>
      <c r="AKD69" s="637"/>
      <c r="AKE69" s="637"/>
      <c r="AKF69" s="637"/>
      <c r="AKG69" s="637"/>
      <c r="AKH69" s="637"/>
      <c r="AKI69" s="637"/>
      <c r="AKJ69" s="637"/>
      <c r="AKK69" s="637"/>
      <c r="AKL69" s="637"/>
      <c r="AKM69" s="637"/>
      <c r="AKN69" s="637"/>
      <c r="AKO69" s="637"/>
      <c r="AKP69" s="637"/>
      <c r="AKQ69" s="637"/>
      <c r="AKR69" s="637"/>
      <c r="AKS69" s="637"/>
      <c r="AKT69" s="637"/>
      <c r="AKU69" s="637"/>
      <c r="AKV69" s="637"/>
      <c r="AKW69" s="637"/>
      <c r="AKX69" s="637"/>
      <c r="AKY69" s="637"/>
      <c r="AKZ69" s="637"/>
      <c r="ALA69" s="637"/>
      <c r="ALB69" s="637"/>
      <c r="ALC69" s="637"/>
      <c r="ALD69" s="637"/>
      <c r="ALE69" s="637"/>
      <c r="ALF69" s="637"/>
      <c r="ALG69" s="637"/>
      <c r="ALH69" s="637"/>
      <c r="ALI69" s="637"/>
      <c r="ALJ69" s="637"/>
      <c r="ALK69" s="637"/>
      <c r="ALL69" s="637"/>
      <c r="ALM69" s="637"/>
      <c r="ALN69" s="637"/>
      <c r="ALO69" s="637"/>
      <c r="ALP69" s="637"/>
      <c r="ALQ69" s="637"/>
      <c r="ALR69" s="637"/>
      <c r="ALS69" s="637"/>
      <c r="ALT69" s="637"/>
      <c r="ALU69" s="637"/>
      <c r="ALV69" s="637"/>
      <c r="ALW69" s="637"/>
      <c r="ALX69" s="637"/>
      <c r="ALY69" s="637"/>
      <c r="ALZ69" s="637"/>
      <c r="AMA69" s="637"/>
      <c r="AMB69" s="637"/>
      <c r="AMC69" s="637"/>
      <c r="AMD69" s="637"/>
      <c r="AME69" s="637"/>
      <c r="AMF69" s="637"/>
      <c r="AMG69" s="637"/>
      <c r="AMH69" s="637"/>
      <c r="AMI69" s="637"/>
      <c r="AMJ69" s="637"/>
    </row>
    <row r="70" spans="1:1024" s="638" customFormat="1" ht="12.75">
      <c r="A70" s="984"/>
      <c r="B70" s="985"/>
      <c r="C70" s="986"/>
      <c r="D70" s="981" t="s">
        <v>861</v>
      </c>
      <c r="E70" s="982">
        <f>8128+49</f>
        <v>8177</v>
      </c>
      <c r="F70" s="982">
        <f t="shared" si="7"/>
        <v>28513</v>
      </c>
      <c r="G70" s="983">
        <f>20816-1875</f>
        <v>18941</v>
      </c>
      <c r="H70" s="983">
        <f>5270-564</f>
        <v>4706</v>
      </c>
      <c r="I70" s="983">
        <f>2396+2470</f>
        <v>4866</v>
      </c>
      <c r="J70" s="983"/>
      <c r="K70" s="983"/>
      <c r="L70" s="983"/>
      <c r="M70" s="983"/>
      <c r="N70" s="983"/>
      <c r="O70" s="983"/>
      <c r="P70" s="983"/>
      <c r="Q70" s="983"/>
      <c r="R70" s="984"/>
      <c r="S70" s="637"/>
      <c r="T70" s="637"/>
      <c r="U70" s="637"/>
      <c r="V70" s="637"/>
      <c r="W70" s="637"/>
      <c r="X70" s="637"/>
      <c r="Y70" s="637"/>
      <c r="Z70" s="637"/>
      <c r="AA70" s="637"/>
      <c r="AB70" s="637"/>
      <c r="AC70" s="637"/>
      <c r="AD70" s="637"/>
      <c r="AE70" s="637"/>
      <c r="AF70" s="637"/>
      <c r="AG70" s="637"/>
      <c r="AH70" s="637"/>
      <c r="AI70" s="637"/>
      <c r="AJ70" s="637"/>
      <c r="AK70" s="637"/>
      <c r="AL70" s="637"/>
      <c r="AM70" s="637"/>
      <c r="AN70" s="637"/>
      <c r="AO70" s="637"/>
      <c r="AP70" s="637"/>
      <c r="AQ70" s="637"/>
      <c r="AR70" s="637"/>
      <c r="AS70" s="637"/>
      <c r="AT70" s="637"/>
      <c r="AU70" s="637"/>
      <c r="AV70" s="637"/>
      <c r="AW70" s="637"/>
      <c r="AX70" s="637"/>
      <c r="AY70" s="637"/>
      <c r="AZ70" s="637"/>
      <c r="BA70" s="637"/>
      <c r="BB70" s="637"/>
      <c r="BC70" s="637"/>
      <c r="BD70" s="637"/>
      <c r="BE70" s="637"/>
      <c r="BF70" s="637"/>
      <c r="BG70" s="637"/>
      <c r="BH70" s="637"/>
      <c r="BI70" s="637"/>
      <c r="BJ70" s="637"/>
      <c r="BK70" s="637"/>
      <c r="BL70" s="637"/>
      <c r="BM70" s="637"/>
      <c r="BN70" s="637"/>
      <c r="BO70" s="637"/>
      <c r="BP70" s="637"/>
      <c r="BQ70" s="637"/>
      <c r="BR70" s="637"/>
      <c r="BS70" s="637"/>
      <c r="BT70" s="637"/>
      <c r="BU70" s="637"/>
      <c r="BV70" s="637"/>
      <c r="BW70" s="637"/>
      <c r="BX70" s="637"/>
      <c r="BY70" s="637"/>
      <c r="BZ70" s="637"/>
      <c r="CA70" s="637"/>
      <c r="CB70" s="637"/>
      <c r="CC70" s="637"/>
      <c r="CD70" s="637"/>
      <c r="CE70" s="637"/>
      <c r="CF70" s="637"/>
      <c r="CG70" s="637"/>
      <c r="CH70" s="637"/>
      <c r="CI70" s="637"/>
      <c r="CJ70" s="637"/>
      <c r="CK70" s="637"/>
      <c r="CL70" s="637"/>
      <c r="CM70" s="637"/>
      <c r="CN70" s="637"/>
      <c r="CO70" s="637"/>
      <c r="CP70" s="637"/>
      <c r="CQ70" s="637"/>
      <c r="CR70" s="637"/>
      <c r="CS70" s="637"/>
      <c r="CT70" s="637"/>
      <c r="CU70" s="637"/>
      <c r="CV70" s="637"/>
      <c r="CW70" s="637"/>
      <c r="CX70" s="637"/>
      <c r="CY70" s="637"/>
      <c r="CZ70" s="637"/>
      <c r="DA70" s="637"/>
      <c r="DB70" s="637"/>
      <c r="DC70" s="637"/>
      <c r="DD70" s="637"/>
      <c r="DE70" s="637"/>
      <c r="DF70" s="637"/>
      <c r="DG70" s="637"/>
      <c r="DH70" s="637"/>
      <c r="DI70" s="637"/>
      <c r="DJ70" s="637"/>
      <c r="DK70" s="637"/>
      <c r="DL70" s="637"/>
      <c r="DM70" s="637"/>
      <c r="DN70" s="637"/>
      <c r="DO70" s="637"/>
      <c r="DP70" s="637"/>
      <c r="DQ70" s="637"/>
      <c r="DR70" s="637"/>
      <c r="DS70" s="637"/>
      <c r="DT70" s="637"/>
      <c r="DU70" s="637"/>
      <c r="DV70" s="637"/>
      <c r="DW70" s="637"/>
      <c r="DX70" s="637"/>
      <c r="DY70" s="637"/>
      <c r="DZ70" s="637"/>
      <c r="EA70" s="637"/>
      <c r="EB70" s="637"/>
      <c r="EC70" s="637"/>
      <c r="ED70" s="637"/>
      <c r="EE70" s="637"/>
      <c r="EF70" s="637"/>
      <c r="EG70" s="637"/>
      <c r="EH70" s="637"/>
      <c r="EI70" s="637"/>
      <c r="EJ70" s="637"/>
      <c r="EK70" s="637"/>
      <c r="EL70" s="637"/>
      <c r="EM70" s="637"/>
      <c r="EN70" s="637"/>
      <c r="EO70" s="637"/>
      <c r="EP70" s="637"/>
      <c r="EQ70" s="637"/>
      <c r="ER70" s="637"/>
      <c r="ES70" s="637"/>
      <c r="ET70" s="637"/>
      <c r="EU70" s="637"/>
      <c r="EV70" s="637"/>
      <c r="EW70" s="637"/>
      <c r="EX70" s="637"/>
      <c r="EY70" s="637"/>
      <c r="EZ70" s="637"/>
      <c r="FA70" s="637"/>
      <c r="FB70" s="637"/>
      <c r="FC70" s="637"/>
      <c r="FD70" s="637"/>
      <c r="FE70" s="637"/>
      <c r="FF70" s="637"/>
      <c r="FG70" s="637"/>
      <c r="FH70" s="637"/>
      <c r="FI70" s="637"/>
      <c r="FJ70" s="637"/>
      <c r="FK70" s="637"/>
      <c r="FL70" s="637"/>
      <c r="FM70" s="637"/>
      <c r="FN70" s="637"/>
      <c r="FO70" s="637"/>
      <c r="FP70" s="637"/>
      <c r="FQ70" s="637"/>
      <c r="FR70" s="637"/>
      <c r="FS70" s="637"/>
      <c r="FT70" s="637"/>
      <c r="FU70" s="637"/>
      <c r="FV70" s="637"/>
      <c r="FW70" s="637"/>
      <c r="FX70" s="637"/>
      <c r="FY70" s="637"/>
      <c r="FZ70" s="637"/>
      <c r="GA70" s="637"/>
      <c r="GB70" s="637"/>
      <c r="GC70" s="637"/>
      <c r="GD70" s="637"/>
      <c r="GE70" s="637"/>
      <c r="GF70" s="637"/>
      <c r="GG70" s="637"/>
      <c r="GH70" s="637"/>
      <c r="GI70" s="637"/>
      <c r="GJ70" s="637"/>
      <c r="GK70" s="637"/>
      <c r="GL70" s="637"/>
      <c r="GM70" s="637"/>
      <c r="GN70" s="637"/>
      <c r="GO70" s="637"/>
      <c r="GP70" s="637"/>
      <c r="GQ70" s="637"/>
      <c r="GR70" s="637"/>
      <c r="GS70" s="637"/>
      <c r="GT70" s="637"/>
      <c r="GU70" s="637"/>
      <c r="GV70" s="637"/>
      <c r="GW70" s="637"/>
      <c r="GX70" s="637"/>
      <c r="GY70" s="637"/>
      <c r="GZ70" s="637"/>
      <c r="HA70" s="637"/>
      <c r="HB70" s="637"/>
      <c r="HC70" s="637"/>
      <c r="HD70" s="637"/>
      <c r="HE70" s="637"/>
      <c r="HF70" s="637"/>
      <c r="HG70" s="637"/>
      <c r="HH70" s="637"/>
      <c r="HI70" s="637"/>
      <c r="HJ70" s="637"/>
      <c r="HK70" s="637"/>
      <c r="HL70" s="637"/>
      <c r="HM70" s="637"/>
      <c r="HN70" s="637"/>
      <c r="HO70" s="637"/>
      <c r="HP70" s="637"/>
      <c r="HQ70" s="637"/>
      <c r="HR70" s="637"/>
      <c r="HS70" s="637"/>
      <c r="HT70" s="637"/>
      <c r="HU70" s="637"/>
      <c r="HV70" s="637"/>
      <c r="HW70" s="637"/>
      <c r="HX70" s="637"/>
      <c r="HY70" s="637"/>
      <c r="HZ70" s="637"/>
      <c r="IA70" s="637"/>
      <c r="IB70" s="637"/>
      <c r="IC70" s="637"/>
      <c r="ID70" s="637"/>
      <c r="IE70" s="637"/>
      <c r="IF70" s="637"/>
      <c r="IG70" s="637"/>
      <c r="IH70" s="637"/>
      <c r="II70" s="637"/>
      <c r="IJ70" s="637"/>
      <c r="IK70" s="637"/>
      <c r="IL70" s="637"/>
      <c r="IM70" s="637"/>
      <c r="IN70" s="637"/>
      <c r="IO70" s="637"/>
      <c r="IP70" s="637"/>
      <c r="IQ70" s="637"/>
      <c r="IR70" s="637"/>
      <c r="IS70" s="637"/>
      <c r="IT70" s="637"/>
      <c r="IU70" s="637"/>
      <c r="IV70" s="637"/>
      <c r="IW70" s="637"/>
      <c r="IX70" s="637"/>
      <c r="IY70" s="637"/>
      <c r="IZ70" s="637"/>
      <c r="JA70" s="637"/>
      <c r="JB70" s="637"/>
      <c r="JC70" s="637"/>
      <c r="JD70" s="637"/>
      <c r="JE70" s="637"/>
      <c r="JF70" s="637"/>
      <c r="JG70" s="637"/>
      <c r="JH70" s="637"/>
      <c r="JI70" s="637"/>
      <c r="JJ70" s="637"/>
      <c r="JK70" s="637"/>
      <c r="JL70" s="637"/>
      <c r="JM70" s="637"/>
      <c r="JN70" s="637"/>
      <c r="JO70" s="637"/>
      <c r="JP70" s="637"/>
      <c r="JQ70" s="637"/>
      <c r="JR70" s="637"/>
      <c r="JS70" s="637"/>
      <c r="JT70" s="637"/>
      <c r="JU70" s="637"/>
      <c r="JV70" s="637"/>
      <c r="JW70" s="637"/>
      <c r="JX70" s="637"/>
      <c r="JY70" s="637"/>
      <c r="JZ70" s="637"/>
      <c r="KA70" s="637"/>
      <c r="KB70" s="637"/>
      <c r="KC70" s="637"/>
      <c r="KD70" s="637"/>
      <c r="KE70" s="637"/>
      <c r="KF70" s="637"/>
      <c r="KG70" s="637"/>
      <c r="KH70" s="637"/>
      <c r="KI70" s="637"/>
      <c r="KJ70" s="637"/>
      <c r="KK70" s="637"/>
      <c r="KL70" s="637"/>
      <c r="KM70" s="637"/>
      <c r="KN70" s="637"/>
      <c r="KO70" s="637"/>
      <c r="KP70" s="637"/>
      <c r="KQ70" s="637"/>
      <c r="KR70" s="637"/>
      <c r="KS70" s="637"/>
      <c r="KT70" s="637"/>
      <c r="KU70" s="637"/>
      <c r="KV70" s="637"/>
      <c r="KW70" s="637"/>
      <c r="KX70" s="637"/>
      <c r="KY70" s="637"/>
      <c r="KZ70" s="637"/>
      <c r="LA70" s="637"/>
      <c r="LB70" s="637"/>
      <c r="LC70" s="637"/>
      <c r="LD70" s="637"/>
      <c r="LE70" s="637"/>
      <c r="LF70" s="637"/>
      <c r="LG70" s="637"/>
      <c r="LH70" s="637"/>
      <c r="LI70" s="637"/>
      <c r="LJ70" s="637"/>
      <c r="LK70" s="637"/>
      <c r="LL70" s="637"/>
      <c r="LM70" s="637"/>
      <c r="LN70" s="637"/>
      <c r="LO70" s="637"/>
      <c r="LP70" s="637"/>
      <c r="LQ70" s="637"/>
      <c r="LR70" s="637"/>
      <c r="LS70" s="637"/>
      <c r="LT70" s="637"/>
      <c r="LU70" s="637"/>
      <c r="LV70" s="637"/>
      <c r="LW70" s="637"/>
      <c r="LX70" s="637"/>
      <c r="LY70" s="637"/>
      <c r="LZ70" s="637"/>
      <c r="MA70" s="637"/>
      <c r="MB70" s="637"/>
      <c r="MC70" s="637"/>
      <c r="MD70" s="637"/>
      <c r="ME70" s="637"/>
      <c r="MF70" s="637"/>
      <c r="MG70" s="637"/>
      <c r="MH70" s="637"/>
      <c r="MI70" s="637"/>
      <c r="MJ70" s="637"/>
      <c r="MK70" s="637"/>
      <c r="ML70" s="637"/>
      <c r="MM70" s="637"/>
      <c r="MN70" s="637"/>
      <c r="MO70" s="637"/>
      <c r="MP70" s="637"/>
      <c r="MQ70" s="637"/>
      <c r="MR70" s="637"/>
      <c r="MS70" s="637"/>
      <c r="MT70" s="637"/>
      <c r="MU70" s="637"/>
      <c r="MV70" s="637"/>
      <c r="MW70" s="637"/>
      <c r="MX70" s="637"/>
      <c r="MY70" s="637"/>
      <c r="MZ70" s="637"/>
      <c r="NA70" s="637"/>
      <c r="NB70" s="637"/>
      <c r="NC70" s="637"/>
      <c r="ND70" s="637"/>
      <c r="NE70" s="637"/>
      <c r="NF70" s="637"/>
      <c r="NG70" s="637"/>
      <c r="NH70" s="637"/>
      <c r="NI70" s="637"/>
      <c r="NJ70" s="637"/>
      <c r="NK70" s="637"/>
      <c r="NL70" s="637"/>
      <c r="NM70" s="637"/>
      <c r="NN70" s="637"/>
      <c r="NO70" s="637"/>
      <c r="NP70" s="637"/>
      <c r="NQ70" s="637"/>
      <c r="NR70" s="637"/>
      <c r="NS70" s="637"/>
      <c r="NT70" s="637"/>
      <c r="NU70" s="637"/>
      <c r="NV70" s="637"/>
      <c r="NW70" s="637"/>
      <c r="NX70" s="637"/>
      <c r="NY70" s="637"/>
      <c r="NZ70" s="637"/>
      <c r="OA70" s="637"/>
      <c r="OB70" s="637"/>
      <c r="OC70" s="637"/>
      <c r="OD70" s="637"/>
      <c r="OE70" s="637"/>
      <c r="OF70" s="637"/>
      <c r="OG70" s="637"/>
      <c r="OH70" s="637"/>
      <c r="OI70" s="637"/>
      <c r="OJ70" s="637"/>
      <c r="OK70" s="637"/>
      <c r="OL70" s="637"/>
      <c r="OM70" s="637"/>
      <c r="ON70" s="637"/>
      <c r="OO70" s="637"/>
      <c r="OP70" s="637"/>
      <c r="OQ70" s="637"/>
      <c r="OR70" s="637"/>
      <c r="OS70" s="637"/>
      <c r="OT70" s="637"/>
      <c r="OU70" s="637"/>
      <c r="OV70" s="637"/>
      <c r="OW70" s="637"/>
      <c r="OX70" s="637"/>
      <c r="OY70" s="637"/>
      <c r="OZ70" s="637"/>
      <c r="PA70" s="637"/>
      <c r="PB70" s="637"/>
      <c r="PC70" s="637"/>
      <c r="PD70" s="637"/>
      <c r="PE70" s="637"/>
      <c r="PF70" s="637"/>
      <c r="PG70" s="637"/>
      <c r="PH70" s="637"/>
      <c r="PI70" s="637"/>
      <c r="PJ70" s="637"/>
      <c r="PK70" s="637"/>
      <c r="PL70" s="637"/>
      <c r="PM70" s="637"/>
      <c r="PN70" s="637"/>
      <c r="PO70" s="637"/>
      <c r="PP70" s="637"/>
      <c r="PQ70" s="637"/>
      <c r="PR70" s="637"/>
      <c r="PS70" s="637"/>
      <c r="PT70" s="637"/>
      <c r="PU70" s="637"/>
      <c r="PV70" s="637"/>
      <c r="PW70" s="637"/>
      <c r="PX70" s="637"/>
      <c r="PY70" s="637"/>
      <c r="PZ70" s="637"/>
      <c r="QA70" s="637"/>
      <c r="QB70" s="637"/>
      <c r="QC70" s="637"/>
      <c r="QD70" s="637"/>
      <c r="QE70" s="637"/>
      <c r="QF70" s="637"/>
      <c r="QG70" s="637"/>
      <c r="QH70" s="637"/>
      <c r="QI70" s="637"/>
      <c r="QJ70" s="637"/>
      <c r="QK70" s="637"/>
      <c r="QL70" s="637"/>
      <c r="QM70" s="637"/>
      <c r="QN70" s="637"/>
      <c r="QO70" s="637"/>
      <c r="QP70" s="637"/>
      <c r="QQ70" s="637"/>
      <c r="QR70" s="637"/>
      <c r="QS70" s="637"/>
      <c r="QT70" s="637"/>
      <c r="QU70" s="637"/>
      <c r="QV70" s="637"/>
      <c r="QW70" s="637"/>
      <c r="QX70" s="637"/>
      <c r="QY70" s="637"/>
      <c r="QZ70" s="637"/>
      <c r="RA70" s="637"/>
      <c r="RB70" s="637"/>
      <c r="RC70" s="637"/>
      <c r="RD70" s="637"/>
      <c r="RE70" s="637"/>
      <c r="RF70" s="637"/>
      <c r="RG70" s="637"/>
      <c r="RH70" s="637"/>
      <c r="RI70" s="637"/>
      <c r="RJ70" s="637"/>
      <c r="RK70" s="637"/>
      <c r="RL70" s="637"/>
      <c r="RM70" s="637"/>
      <c r="RN70" s="637"/>
      <c r="RO70" s="637"/>
      <c r="RP70" s="637"/>
      <c r="RQ70" s="637"/>
      <c r="RR70" s="637"/>
      <c r="RS70" s="637"/>
      <c r="RT70" s="637"/>
      <c r="RU70" s="637"/>
      <c r="RV70" s="637"/>
      <c r="RW70" s="637"/>
      <c r="RX70" s="637"/>
      <c r="RY70" s="637"/>
      <c r="RZ70" s="637"/>
      <c r="SA70" s="637"/>
      <c r="SB70" s="637"/>
      <c r="SC70" s="637"/>
      <c r="SD70" s="637"/>
      <c r="SE70" s="637"/>
      <c r="SF70" s="637"/>
      <c r="SG70" s="637"/>
      <c r="SH70" s="637"/>
      <c r="SI70" s="637"/>
      <c r="SJ70" s="637"/>
      <c r="SK70" s="637"/>
      <c r="SL70" s="637"/>
      <c r="SM70" s="637"/>
      <c r="SN70" s="637"/>
      <c r="SO70" s="637"/>
      <c r="SP70" s="637"/>
      <c r="SQ70" s="637"/>
      <c r="SR70" s="637"/>
      <c r="SS70" s="637"/>
      <c r="ST70" s="637"/>
      <c r="SU70" s="637"/>
      <c r="SV70" s="637"/>
      <c r="SW70" s="637"/>
      <c r="SX70" s="637"/>
      <c r="SY70" s="637"/>
      <c r="SZ70" s="637"/>
      <c r="TA70" s="637"/>
      <c r="TB70" s="637"/>
      <c r="TC70" s="637"/>
      <c r="TD70" s="637"/>
      <c r="TE70" s="637"/>
      <c r="TF70" s="637"/>
      <c r="TG70" s="637"/>
      <c r="TH70" s="637"/>
      <c r="TI70" s="637"/>
      <c r="TJ70" s="637"/>
      <c r="TK70" s="637"/>
      <c r="TL70" s="637"/>
      <c r="TM70" s="637"/>
      <c r="TN70" s="637"/>
      <c r="TO70" s="637"/>
      <c r="TP70" s="637"/>
      <c r="TQ70" s="637"/>
      <c r="TR70" s="637"/>
      <c r="TS70" s="637"/>
      <c r="TT70" s="637"/>
      <c r="TU70" s="637"/>
      <c r="TV70" s="637"/>
      <c r="TW70" s="637"/>
      <c r="TX70" s="637"/>
      <c r="TY70" s="637"/>
      <c r="TZ70" s="637"/>
      <c r="UA70" s="637"/>
      <c r="UB70" s="637"/>
      <c r="UC70" s="637"/>
      <c r="UD70" s="637"/>
      <c r="UE70" s="637"/>
      <c r="UF70" s="637"/>
      <c r="UG70" s="637"/>
      <c r="UH70" s="637"/>
      <c r="UI70" s="637"/>
      <c r="UJ70" s="637"/>
      <c r="UK70" s="637"/>
      <c r="UL70" s="637"/>
      <c r="UM70" s="637"/>
      <c r="UN70" s="637"/>
      <c r="UO70" s="637"/>
      <c r="UP70" s="637"/>
      <c r="UQ70" s="637"/>
      <c r="UR70" s="637"/>
      <c r="US70" s="637"/>
      <c r="UT70" s="637"/>
      <c r="UU70" s="637"/>
      <c r="UV70" s="637"/>
      <c r="UW70" s="637"/>
      <c r="UX70" s="637"/>
      <c r="UY70" s="637"/>
      <c r="UZ70" s="637"/>
      <c r="VA70" s="637"/>
      <c r="VB70" s="637"/>
      <c r="VC70" s="637"/>
      <c r="VD70" s="637"/>
      <c r="VE70" s="637"/>
      <c r="VF70" s="637"/>
      <c r="VG70" s="637"/>
      <c r="VH70" s="637"/>
      <c r="VI70" s="637"/>
      <c r="VJ70" s="637"/>
      <c r="VK70" s="637"/>
      <c r="VL70" s="637"/>
      <c r="VM70" s="637"/>
      <c r="VN70" s="637"/>
      <c r="VO70" s="637"/>
      <c r="VP70" s="637"/>
      <c r="VQ70" s="637"/>
      <c r="VR70" s="637"/>
      <c r="VS70" s="637"/>
      <c r="VT70" s="637"/>
      <c r="VU70" s="637"/>
      <c r="VV70" s="637"/>
      <c r="VW70" s="637"/>
      <c r="VX70" s="637"/>
      <c r="VY70" s="637"/>
      <c r="VZ70" s="637"/>
      <c r="WA70" s="637"/>
      <c r="WB70" s="637"/>
      <c r="WC70" s="637"/>
      <c r="WD70" s="637"/>
      <c r="WE70" s="637"/>
      <c r="WF70" s="637"/>
      <c r="WG70" s="637"/>
      <c r="WH70" s="637"/>
      <c r="WI70" s="637"/>
      <c r="WJ70" s="637"/>
      <c r="WK70" s="637"/>
      <c r="WL70" s="637"/>
      <c r="WM70" s="637"/>
      <c r="WN70" s="637"/>
      <c r="WO70" s="637"/>
      <c r="WP70" s="637"/>
      <c r="WQ70" s="637"/>
      <c r="WR70" s="637"/>
      <c r="WS70" s="637"/>
      <c r="WT70" s="637"/>
      <c r="WU70" s="637"/>
      <c r="WV70" s="637"/>
      <c r="WW70" s="637"/>
      <c r="WX70" s="637"/>
      <c r="WY70" s="637"/>
      <c r="WZ70" s="637"/>
      <c r="XA70" s="637"/>
      <c r="XB70" s="637"/>
      <c r="XC70" s="637"/>
      <c r="XD70" s="637"/>
      <c r="XE70" s="637"/>
      <c r="XF70" s="637"/>
      <c r="XG70" s="637"/>
      <c r="XH70" s="637"/>
      <c r="XI70" s="637"/>
      <c r="XJ70" s="637"/>
      <c r="XK70" s="637"/>
      <c r="XL70" s="637"/>
      <c r="XM70" s="637"/>
      <c r="XN70" s="637"/>
      <c r="XO70" s="637"/>
      <c r="XP70" s="637"/>
      <c r="XQ70" s="637"/>
      <c r="XR70" s="637"/>
      <c r="XS70" s="637"/>
      <c r="XT70" s="637"/>
      <c r="XU70" s="637"/>
      <c r="XV70" s="637"/>
      <c r="XW70" s="637"/>
      <c r="XX70" s="637"/>
      <c r="XY70" s="637"/>
      <c r="XZ70" s="637"/>
      <c r="YA70" s="637"/>
      <c r="YB70" s="637"/>
      <c r="YC70" s="637"/>
      <c r="YD70" s="637"/>
      <c r="YE70" s="637"/>
      <c r="YF70" s="637"/>
      <c r="YG70" s="637"/>
      <c r="YH70" s="637"/>
      <c r="YI70" s="637"/>
      <c r="YJ70" s="637"/>
      <c r="YK70" s="637"/>
      <c r="YL70" s="637"/>
      <c r="YM70" s="637"/>
      <c r="YN70" s="637"/>
      <c r="YO70" s="637"/>
      <c r="YP70" s="637"/>
      <c r="YQ70" s="637"/>
      <c r="YR70" s="637"/>
      <c r="YS70" s="637"/>
      <c r="YT70" s="637"/>
      <c r="YU70" s="637"/>
      <c r="YV70" s="637"/>
      <c r="YW70" s="637"/>
      <c r="YX70" s="637"/>
      <c r="YY70" s="637"/>
      <c r="YZ70" s="637"/>
      <c r="ZA70" s="637"/>
      <c r="ZB70" s="637"/>
      <c r="ZC70" s="637"/>
      <c r="ZD70" s="637"/>
      <c r="ZE70" s="637"/>
      <c r="ZF70" s="637"/>
      <c r="ZG70" s="637"/>
      <c r="ZH70" s="637"/>
      <c r="ZI70" s="637"/>
      <c r="ZJ70" s="637"/>
      <c r="ZK70" s="637"/>
      <c r="ZL70" s="637"/>
      <c r="ZM70" s="637"/>
      <c r="ZN70" s="637"/>
      <c r="ZO70" s="637"/>
      <c r="ZP70" s="637"/>
      <c r="ZQ70" s="637"/>
      <c r="ZR70" s="637"/>
      <c r="ZS70" s="637"/>
      <c r="ZT70" s="637"/>
      <c r="ZU70" s="637"/>
      <c r="ZV70" s="637"/>
      <c r="ZW70" s="637"/>
      <c r="ZX70" s="637"/>
      <c r="ZY70" s="637"/>
      <c r="ZZ70" s="637"/>
      <c r="AAA70" s="637"/>
      <c r="AAB70" s="637"/>
      <c r="AAC70" s="637"/>
      <c r="AAD70" s="637"/>
      <c r="AAE70" s="637"/>
      <c r="AAF70" s="637"/>
      <c r="AAG70" s="637"/>
      <c r="AAH70" s="637"/>
      <c r="AAI70" s="637"/>
      <c r="AAJ70" s="637"/>
      <c r="AAK70" s="637"/>
      <c r="AAL70" s="637"/>
      <c r="AAM70" s="637"/>
      <c r="AAN70" s="637"/>
      <c r="AAO70" s="637"/>
      <c r="AAP70" s="637"/>
      <c r="AAQ70" s="637"/>
      <c r="AAR70" s="637"/>
      <c r="AAS70" s="637"/>
      <c r="AAT70" s="637"/>
      <c r="AAU70" s="637"/>
      <c r="AAV70" s="637"/>
      <c r="AAW70" s="637"/>
      <c r="AAX70" s="637"/>
      <c r="AAY70" s="637"/>
      <c r="AAZ70" s="637"/>
      <c r="ABA70" s="637"/>
      <c r="ABB70" s="637"/>
      <c r="ABC70" s="637"/>
      <c r="ABD70" s="637"/>
      <c r="ABE70" s="637"/>
      <c r="ABF70" s="637"/>
      <c r="ABG70" s="637"/>
      <c r="ABH70" s="637"/>
      <c r="ABI70" s="637"/>
      <c r="ABJ70" s="637"/>
      <c r="ABK70" s="637"/>
      <c r="ABL70" s="637"/>
      <c r="ABM70" s="637"/>
      <c r="ABN70" s="637"/>
      <c r="ABO70" s="637"/>
      <c r="ABP70" s="637"/>
      <c r="ABQ70" s="637"/>
      <c r="ABR70" s="637"/>
      <c r="ABS70" s="637"/>
      <c r="ABT70" s="637"/>
      <c r="ABU70" s="637"/>
      <c r="ABV70" s="637"/>
      <c r="ABW70" s="637"/>
      <c r="ABX70" s="637"/>
      <c r="ABY70" s="637"/>
      <c r="ABZ70" s="637"/>
      <c r="ACA70" s="637"/>
      <c r="ACB70" s="637"/>
      <c r="ACC70" s="637"/>
      <c r="ACD70" s="637"/>
      <c r="ACE70" s="637"/>
      <c r="ACF70" s="637"/>
      <c r="ACG70" s="637"/>
      <c r="ACH70" s="637"/>
      <c r="ACI70" s="637"/>
      <c r="ACJ70" s="637"/>
      <c r="ACK70" s="637"/>
      <c r="ACL70" s="637"/>
      <c r="ACM70" s="637"/>
      <c r="ACN70" s="637"/>
      <c r="ACO70" s="637"/>
      <c r="ACP70" s="637"/>
      <c r="ACQ70" s="637"/>
      <c r="ACR70" s="637"/>
      <c r="ACS70" s="637"/>
      <c r="ACT70" s="637"/>
      <c r="ACU70" s="637"/>
      <c r="ACV70" s="637"/>
      <c r="ACW70" s="637"/>
      <c r="ACX70" s="637"/>
      <c r="ACY70" s="637"/>
      <c r="ACZ70" s="637"/>
      <c r="ADA70" s="637"/>
      <c r="ADB70" s="637"/>
      <c r="ADC70" s="637"/>
      <c r="ADD70" s="637"/>
      <c r="ADE70" s="637"/>
      <c r="ADF70" s="637"/>
      <c r="ADG70" s="637"/>
      <c r="ADH70" s="637"/>
      <c r="ADI70" s="637"/>
      <c r="ADJ70" s="637"/>
      <c r="ADK70" s="637"/>
      <c r="ADL70" s="637"/>
      <c r="ADM70" s="637"/>
      <c r="ADN70" s="637"/>
      <c r="ADO70" s="637"/>
      <c r="ADP70" s="637"/>
      <c r="ADQ70" s="637"/>
      <c r="ADR70" s="637"/>
      <c r="ADS70" s="637"/>
      <c r="ADT70" s="637"/>
      <c r="ADU70" s="637"/>
      <c r="ADV70" s="637"/>
      <c r="ADW70" s="637"/>
      <c r="ADX70" s="637"/>
      <c r="ADY70" s="637"/>
      <c r="ADZ70" s="637"/>
      <c r="AEA70" s="637"/>
      <c r="AEB70" s="637"/>
      <c r="AEC70" s="637"/>
      <c r="AED70" s="637"/>
      <c r="AEE70" s="637"/>
      <c r="AEF70" s="637"/>
      <c r="AEG70" s="637"/>
      <c r="AEH70" s="637"/>
      <c r="AEI70" s="637"/>
      <c r="AEJ70" s="637"/>
      <c r="AEK70" s="637"/>
      <c r="AEL70" s="637"/>
      <c r="AEM70" s="637"/>
      <c r="AEN70" s="637"/>
      <c r="AEO70" s="637"/>
      <c r="AEP70" s="637"/>
      <c r="AEQ70" s="637"/>
      <c r="AER70" s="637"/>
      <c r="AES70" s="637"/>
      <c r="AET70" s="637"/>
      <c r="AEU70" s="637"/>
      <c r="AEV70" s="637"/>
      <c r="AEW70" s="637"/>
      <c r="AEX70" s="637"/>
      <c r="AEY70" s="637"/>
      <c r="AEZ70" s="637"/>
      <c r="AFA70" s="637"/>
      <c r="AFB70" s="637"/>
      <c r="AFC70" s="637"/>
      <c r="AFD70" s="637"/>
      <c r="AFE70" s="637"/>
      <c r="AFF70" s="637"/>
      <c r="AFG70" s="637"/>
      <c r="AFH70" s="637"/>
      <c r="AFI70" s="637"/>
      <c r="AFJ70" s="637"/>
      <c r="AFK70" s="637"/>
      <c r="AFL70" s="637"/>
      <c r="AFM70" s="637"/>
      <c r="AFN70" s="637"/>
      <c r="AFO70" s="637"/>
      <c r="AFP70" s="637"/>
      <c r="AFQ70" s="637"/>
      <c r="AFR70" s="637"/>
      <c r="AFS70" s="637"/>
      <c r="AFT70" s="637"/>
      <c r="AFU70" s="637"/>
      <c r="AFV70" s="637"/>
      <c r="AFW70" s="637"/>
      <c r="AFX70" s="637"/>
      <c r="AFY70" s="637"/>
      <c r="AFZ70" s="637"/>
      <c r="AGA70" s="637"/>
      <c r="AGB70" s="637"/>
      <c r="AGC70" s="637"/>
      <c r="AGD70" s="637"/>
      <c r="AGE70" s="637"/>
      <c r="AGF70" s="637"/>
      <c r="AGG70" s="637"/>
      <c r="AGH70" s="637"/>
      <c r="AGI70" s="637"/>
      <c r="AGJ70" s="637"/>
      <c r="AGK70" s="637"/>
      <c r="AGL70" s="637"/>
      <c r="AGM70" s="637"/>
      <c r="AGN70" s="637"/>
      <c r="AGO70" s="637"/>
      <c r="AGP70" s="637"/>
      <c r="AGQ70" s="637"/>
      <c r="AGR70" s="637"/>
      <c r="AGS70" s="637"/>
      <c r="AGT70" s="637"/>
      <c r="AGU70" s="637"/>
      <c r="AGV70" s="637"/>
      <c r="AGW70" s="637"/>
      <c r="AGX70" s="637"/>
      <c r="AGY70" s="637"/>
      <c r="AGZ70" s="637"/>
      <c r="AHA70" s="637"/>
      <c r="AHB70" s="637"/>
      <c r="AHC70" s="637"/>
      <c r="AHD70" s="637"/>
      <c r="AHE70" s="637"/>
      <c r="AHF70" s="637"/>
      <c r="AHG70" s="637"/>
      <c r="AHH70" s="637"/>
      <c r="AHI70" s="637"/>
      <c r="AHJ70" s="637"/>
      <c r="AHK70" s="637"/>
      <c r="AHL70" s="637"/>
      <c r="AHM70" s="637"/>
      <c r="AHN70" s="637"/>
      <c r="AHO70" s="637"/>
      <c r="AHP70" s="637"/>
      <c r="AHQ70" s="637"/>
      <c r="AHR70" s="637"/>
      <c r="AHS70" s="637"/>
      <c r="AHT70" s="637"/>
      <c r="AHU70" s="637"/>
      <c r="AHV70" s="637"/>
      <c r="AHW70" s="637"/>
      <c r="AHX70" s="637"/>
      <c r="AHY70" s="637"/>
      <c r="AHZ70" s="637"/>
      <c r="AIA70" s="637"/>
      <c r="AIB70" s="637"/>
      <c r="AIC70" s="637"/>
      <c r="AID70" s="637"/>
      <c r="AIE70" s="637"/>
      <c r="AIF70" s="637"/>
      <c r="AIG70" s="637"/>
      <c r="AIH70" s="637"/>
      <c r="AII70" s="637"/>
      <c r="AIJ70" s="637"/>
      <c r="AIK70" s="637"/>
      <c r="AIL70" s="637"/>
      <c r="AIM70" s="637"/>
      <c r="AIN70" s="637"/>
      <c r="AIO70" s="637"/>
      <c r="AIP70" s="637"/>
      <c r="AIQ70" s="637"/>
      <c r="AIR70" s="637"/>
      <c r="AIS70" s="637"/>
      <c r="AIT70" s="637"/>
      <c r="AIU70" s="637"/>
      <c r="AIV70" s="637"/>
      <c r="AIW70" s="637"/>
      <c r="AIX70" s="637"/>
      <c r="AIY70" s="637"/>
      <c r="AIZ70" s="637"/>
      <c r="AJA70" s="637"/>
      <c r="AJB70" s="637"/>
      <c r="AJC70" s="637"/>
      <c r="AJD70" s="637"/>
      <c r="AJE70" s="637"/>
      <c r="AJF70" s="637"/>
      <c r="AJG70" s="637"/>
      <c r="AJH70" s="637"/>
      <c r="AJI70" s="637"/>
      <c r="AJJ70" s="637"/>
      <c r="AJK70" s="637"/>
      <c r="AJL70" s="637"/>
      <c r="AJM70" s="637"/>
      <c r="AJN70" s="637"/>
      <c r="AJO70" s="637"/>
      <c r="AJP70" s="637"/>
      <c r="AJQ70" s="637"/>
      <c r="AJR70" s="637"/>
      <c r="AJS70" s="637"/>
      <c r="AJT70" s="637"/>
      <c r="AJU70" s="637"/>
      <c r="AJV70" s="637"/>
      <c r="AJW70" s="637"/>
      <c r="AJX70" s="637"/>
      <c r="AJY70" s="637"/>
      <c r="AJZ70" s="637"/>
      <c r="AKA70" s="637"/>
      <c r="AKB70" s="637"/>
      <c r="AKC70" s="637"/>
      <c r="AKD70" s="637"/>
      <c r="AKE70" s="637"/>
      <c r="AKF70" s="637"/>
      <c r="AKG70" s="637"/>
      <c r="AKH70" s="637"/>
      <c r="AKI70" s="637"/>
      <c r="AKJ70" s="637"/>
      <c r="AKK70" s="637"/>
      <c r="AKL70" s="637"/>
      <c r="AKM70" s="637"/>
      <c r="AKN70" s="637"/>
      <c r="AKO70" s="637"/>
      <c r="AKP70" s="637"/>
      <c r="AKQ70" s="637"/>
      <c r="AKR70" s="637"/>
      <c r="AKS70" s="637"/>
      <c r="AKT70" s="637"/>
      <c r="AKU70" s="637"/>
      <c r="AKV70" s="637"/>
      <c r="AKW70" s="637"/>
      <c r="AKX70" s="637"/>
      <c r="AKY70" s="637"/>
      <c r="AKZ70" s="637"/>
      <c r="ALA70" s="637"/>
      <c r="ALB70" s="637"/>
      <c r="ALC70" s="637"/>
      <c r="ALD70" s="637"/>
      <c r="ALE70" s="637"/>
      <c r="ALF70" s="637"/>
      <c r="ALG70" s="637"/>
      <c r="ALH70" s="637"/>
      <c r="ALI70" s="637"/>
      <c r="ALJ70" s="637"/>
      <c r="ALK70" s="637"/>
      <c r="ALL70" s="637"/>
      <c r="ALM70" s="637"/>
      <c r="ALN70" s="637"/>
      <c r="ALO70" s="637"/>
      <c r="ALP70" s="637"/>
      <c r="ALQ70" s="637"/>
      <c r="ALR70" s="637"/>
      <c r="ALS70" s="637"/>
      <c r="ALT70" s="637"/>
      <c r="ALU70" s="637"/>
      <c r="ALV70" s="637"/>
      <c r="ALW70" s="637"/>
      <c r="ALX70" s="637"/>
      <c r="ALY70" s="637"/>
      <c r="ALZ70" s="637"/>
      <c r="AMA70" s="637"/>
      <c r="AMB70" s="637"/>
      <c r="AMC70" s="637"/>
      <c r="AMD70" s="637"/>
      <c r="AME70" s="637"/>
      <c r="AMF70" s="637"/>
      <c r="AMG70" s="637"/>
      <c r="AMH70" s="637"/>
      <c r="AMI70" s="637"/>
      <c r="AMJ70" s="637"/>
    </row>
    <row r="71" spans="1:1024" s="638" customFormat="1" ht="12.75">
      <c r="A71" s="984"/>
      <c r="B71" s="985"/>
      <c r="C71" s="986"/>
      <c r="D71" s="981" t="s">
        <v>1041</v>
      </c>
      <c r="E71" s="982">
        <f>8128+49</f>
        <v>8177</v>
      </c>
      <c r="F71" s="982">
        <f t="shared" si="7"/>
        <v>30309</v>
      </c>
      <c r="G71" s="983">
        <f>20816-1875+26-75</f>
        <v>18892</v>
      </c>
      <c r="H71" s="983">
        <f>5270-564+7-16+1856</f>
        <v>6553</v>
      </c>
      <c r="I71" s="983">
        <f>2396+2470-2</f>
        <v>4864</v>
      </c>
      <c r="J71" s="983"/>
      <c r="K71" s="983"/>
      <c r="L71" s="983"/>
      <c r="M71" s="983"/>
      <c r="N71" s="983"/>
      <c r="O71" s="983"/>
      <c r="P71" s="983"/>
      <c r="Q71" s="983"/>
      <c r="R71" s="984"/>
      <c r="S71" s="637"/>
      <c r="T71" s="637"/>
      <c r="U71" s="637"/>
      <c r="V71" s="637"/>
      <c r="W71" s="637"/>
      <c r="X71" s="637"/>
      <c r="Y71" s="637"/>
      <c r="Z71" s="637"/>
      <c r="AA71" s="637"/>
      <c r="AB71" s="637"/>
      <c r="AC71" s="637"/>
      <c r="AD71" s="637"/>
      <c r="AE71" s="637"/>
      <c r="AF71" s="637"/>
      <c r="AG71" s="637"/>
      <c r="AH71" s="637"/>
      <c r="AI71" s="637"/>
      <c r="AJ71" s="637"/>
      <c r="AK71" s="637"/>
      <c r="AL71" s="637"/>
      <c r="AM71" s="637"/>
      <c r="AN71" s="637"/>
      <c r="AO71" s="637"/>
      <c r="AP71" s="637"/>
      <c r="AQ71" s="637"/>
      <c r="AR71" s="637"/>
      <c r="AS71" s="637"/>
      <c r="AT71" s="637"/>
      <c r="AU71" s="637"/>
      <c r="AV71" s="637"/>
      <c r="AW71" s="637"/>
      <c r="AX71" s="637"/>
      <c r="AY71" s="637"/>
      <c r="AZ71" s="637"/>
      <c r="BA71" s="637"/>
      <c r="BB71" s="637"/>
      <c r="BC71" s="637"/>
      <c r="BD71" s="637"/>
      <c r="BE71" s="637"/>
      <c r="BF71" s="637"/>
      <c r="BG71" s="637"/>
      <c r="BH71" s="637"/>
      <c r="BI71" s="637"/>
      <c r="BJ71" s="637"/>
      <c r="BK71" s="637"/>
      <c r="BL71" s="637"/>
      <c r="BM71" s="637"/>
      <c r="BN71" s="637"/>
      <c r="BO71" s="637"/>
      <c r="BP71" s="637"/>
      <c r="BQ71" s="637"/>
      <c r="BR71" s="637"/>
      <c r="BS71" s="637"/>
      <c r="BT71" s="637"/>
      <c r="BU71" s="637"/>
      <c r="BV71" s="637"/>
      <c r="BW71" s="637"/>
      <c r="BX71" s="637"/>
      <c r="BY71" s="637"/>
      <c r="BZ71" s="637"/>
      <c r="CA71" s="637"/>
      <c r="CB71" s="637"/>
      <c r="CC71" s="637"/>
      <c r="CD71" s="637"/>
      <c r="CE71" s="637"/>
      <c r="CF71" s="637"/>
      <c r="CG71" s="637"/>
      <c r="CH71" s="637"/>
      <c r="CI71" s="637"/>
      <c r="CJ71" s="637"/>
      <c r="CK71" s="637"/>
      <c r="CL71" s="637"/>
      <c r="CM71" s="637"/>
      <c r="CN71" s="637"/>
      <c r="CO71" s="637"/>
      <c r="CP71" s="637"/>
      <c r="CQ71" s="637"/>
      <c r="CR71" s="637"/>
      <c r="CS71" s="637"/>
      <c r="CT71" s="637"/>
      <c r="CU71" s="637"/>
      <c r="CV71" s="637"/>
      <c r="CW71" s="637"/>
      <c r="CX71" s="637"/>
      <c r="CY71" s="637"/>
      <c r="CZ71" s="637"/>
      <c r="DA71" s="637"/>
      <c r="DB71" s="637"/>
      <c r="DC71" s="637"/>
      <c r="DD71" s="637"/>
      <c r="DE71" s="637"/>
      <c r="DF71" s="637"/>
      <c r="DG71" s="637"/>
      <c r="DH71" s="637"/>
      <c r="DI71" s="637"/>
      <c r="DJ71" s="637"/>
      <c r="DK71" s="637"/>
      <c r="DL71" s="637"/>
      <c r="DM71" s="637"/>
      <c r="DN71" s="637"/>
      <c r="DO71" s="637"/>
      <c r="DP71" s="637"/>
      <c r="DQ71" s="637"/>
      <c r="DR71" s="637"/>
      <c r="DS71" s="637"/>
      <c r="DT71" s="637"/>
      <c r="DU71" s="637"/>
      <c r="DV71" s="637"/>
      <c r="DW71" s="637"/>
      <c r="DX71" s="637"/>
      <c r="DY71" s="637"/>
      <c r="DZ71" s="637"/>
      <c r="EA71" s="637"/>
      <c r="EB71" s="637"/>
      <c r="EC71" s="637"/>
      <c r="ED71" s="637"/>
      <c r="EE71" s="637"/>
      <c r="EF71" s="637"/>
      <c r="EG71" s="637"/>
      <c r="EH71" s="637"/>
      <c r="EI71" s="637"/>
      <c r="EJ71" s="637"/>
      <c r="EK71" s="637"/>
      <c r="EL71" s="637"/>
      <c r="EM71" s="637"/>
      <c r="EN71" s="637"/>
      <c r="EO71" s="637"/>
      <c r="EP71" s="637"/>
      <c r="EQ71" s="637"/>
      <c r="ER71" s="637"/>
      <c r="ES71" s="637"/>
      <c r="ET71" s="637"/>
      <c r="EU71" s="637"/>
      <c r="EV71" s="637"/>
      <c r="EW71" s="637"/>
      <c r="EX71" s="637"/>
      <c r="EY71" s="637"/>
      <c r="EZ71" s="637"/>
      <c r="FA71" s="637"/>
      <c r="FB71" s="637"/>
      <c r="FC71" s="637"/>
      <c r="FD71" s="637"/>
      <c r="FE71" s="637"/>
      <c r="FF71" s="637"/>
      <c r="FG71" s="637"/>
      <c r="FH71" s="637"/>
      <c r="FI71" s="637"/>
      <c r="FJ71" s="637"/>
      <c r="FK71" s="637"/>
      <c r="FL71" s="637"/>
      <c r="FM71" s="637"/>
      <c r="FN71" s="637"/>
      <c r="FO71" s="637"/>
      <c r="FP71" s="637"/>
      <c r="FQ71" s="637"/>
      <c r="FR71" s="637"/>
      <c r="FS71" s="637"/>
      <c r="FT71" s="637"/>
      <c r="FU71" s="637"/>
      <c r="FV71" s="637"/>
      <c r="FW71" s="637"/>
      <c r="FX71" s="637"/>
      <c r="FY71" s="637"/>
      <c r="FZ71" s="637"/>
      <c r="GA71" s="637"/>
      <c r="GB71" s="637"/>
      <c r="GC71" s="637"/>
      <c r="GD71" s="637"/>
      <c r="GE71" s="637"/>
      <c r="GF71" s="637"/>
      <c r="GG71" s="637"/>
      <c r="GH71" s="637"/>
      <c r="GI71" s="637"/>
      <c r="GJ71" s="637"/>
      <c r="GK71" s="637"/>
      <c r="GL71" s="637"/>
      <c r="GM71" s="637"/>
      <c r="GN71" s="637"/>
      <c r="GO71" s="637"/>
      <c r="GP71" s="637"/>
      <c r="GQ71" s="637"/>
      <c r="GR71" s="637"/>
      <c r="GS71" s="637"/>
      <c r="GT71" s="637"/>
      <c r="GU71" s="637"/>
      <c r="GV71" s="637"/>
      <c r="GW71" s="637"/>
      <c r="GX71" s="637"/>
      <c r="GY71" s="637"/>
      <c r="GZ71" s="637"/>
      <c r="HA71" s="637"/>
      <c r="HB71" s="637"/>
      <c r="HC71" s="637"/>
      <c r="HD71" s="637"/>
      <c r="HE71" s="637"/>
      <c r="HF71" s="637"/>
      <c r="HG71" s="637"/>
      <c r="HH71" s="637"/>
      <c r="HI71" s="637"/>
      <c r="HJ71" s="637"/>
      <c r="HK71" s="637"/>
      <c r="HL71" s="637"/>
      <c r="HM71" s="637"/>
      <c r="HN71" s="637"/>
      <c r="HO71" s="637"/>
      <c r="HP71" s="637"/>
      <c r="HQ71" s="637"/>
      <c r="HR71" s="637"/>
      <c r="HS71" s="637"/>
      <c r="HT71" s="637"/>
      <c r="HU71" s="637"/>
      <c r="HV71" s="637"/>
      <c r="HW71" s="637"/>
      <c r="HX71" s="637"/>
      <c r="HY71" s="637"/>
      <c r="HZ71" s="637"/>
      <c r="IA71" s="637"/>
      <c r="IB71" s="637"/>
      <c r="IC71" s="637"/>
      <c r="ID71" s="637"/>
      <c r="IE71" s="637"/>
      <c r="IF71" s="637"/>
      <c r="IG71" s="637"/>
      <c r="IH71" s="637"/>
      <c r="II71" s="637"/>
      <c r="IJ71" s="637"/>
      <c r="IK71" s="637"/>
      <c r="IL71" s="637"/>
      <c r="IM71" s="637"/>
      <c r="IN71" s="637"/>
      <c r="IO71" s="637"/>
      <c r="IP71" s="637"/>
      <c r="IQ71" s="637"/>
      <c r="IR71" s="637"/>
      <c r="IS71" s="637"/>
      <c r="IT71" s="637"/>
      <c r="IU71" s="637"/>
      <c r="IV71" s="637"/>
      <c r="IW71" s="637"/>
      <c r="IX71" s="637"/>
      <c r="IY71" s="637"/>
      <c r="IZ71" s="637"/>
      <c r="JA71" s="637"/>
      <c r="JB71" s="637"/>
      <c r="JC71" s="637"/>
      <c r="JD71" s="637"/>
      <c r="JE71" s="637"/>
      <c r="JF71" s="637"/>
      <c r="JG71" s="637"/>
      <c r="JH71" s="637"/>
      <c r="JI71" s="637"/>
      <c r="JJ71" s="637"/>
      <c r="JK71" s="637"/>
      <c r="JL71" s="637"/>
      <c r="JM71" s="637"/>
      <c r="JN71" s="637"/>
      <c r="JO71" s="637"/>
      <c r="JP71" s="637"/>
      <c r="JQ71" s="637"/>
      <c r="JR71" s="637"/>
      <c r="JS71" s="637"/>
      <c r="JT71" s="637"/>
      <c r="JU71" s="637"/>
      <c r="JV71" s="637"/>
      <c r="JW71" s="637"/>
      <c r="JX71" s="637"/>
      <c r="JY71" s="637"/>
      <c r="JZ71" s="637"/>
      <c r="KA71" s="637"/>
      <c r="KB71" s="637"/>
      <c r="KC71" s="637"/>
      <c r="KD71" s="637"/>
      <c r="KE71" s="637"/>
      <c r="KF71" s="637"/>
      <c r="KG71" s="637"/>
      <c r="KH71" s="637"/>
      <c r="KI71" s="637"/>
      <c r="KJ71" s="637"/>
      <c r="KK71" s="637"/>
      <c r="KL71" s="637"/>
      <c r="KM71" s="637"/>
      <c r="KN71" s="637"/>
      <c r="KO71" s="637"/>
      <c r="KP71" s="637"/>
      <c r="KQ71" s="637"/>
      <c r="KR71" s="637"/>
      <c r="KS71" s="637"/>
      <c r="KT71" s="637"/>
      <c r="KU71" s="637"/>
      <c r="KV71" s="637"/>
      <c r="KW71" s="637"/>
      <c r="KX71" s="637"/>
      <c r="KY71" s="637"/>
      <c r="KZ71" s="637"/>
      <c r="LA71" s="637"/>
      <c r="LB71" s="637"/>
      <c r="LC71" s="637"/>
      <c r="LD71" s="637"/>
      <c r="LE71" s="637"/>
      <c r="LF71" s="637"/>
      <c r="LG71" s="637"/>
      <c r="LH71" s="637"/>
      <c r="LI71" s="637"/>
      <c r="LJ71" s="637"/>
      <c r="LK71" s="637"/>
      <c r="LL71" s="637"/>
      <c r="LM71" s="637"/>
      <c r="LN71" s="637"/>
      <c r="LO71" s="637"/>
      <c r="LP71" s="637"/>
      <c r="LQ71" s="637"/>
      <c r="LR71" s="637"/>
      <c r="LS71" s="637"/>
      <c r="LT71" s="637"/>
      <c r="LU71" s="637"/>
      <c r="LV71" s="637"/>
      <c r="LW71" s="637"/>
      <c r="LX71" s="637"/>
      <c r="LY71" s="637"/>
      <c r="LZ71" s="637"/>
      <c r="MA71" s="637"/>
      <c r="MB71" s="637"/>
      <c r="MC71" s="637"/>
      <c r="MD71" s="637"/>
      <c r="ME71" s="637"/>
      <c r="MF71" s="637"/>
      <c r="MG71" s="637"/>
      <c r="MH71" s="637"/>
      <c r="MI71" s="637"/>
      <c r="MJ71" s="637"/>
      <c r="MK71" s="637"/>
      <c r="ML71" s="637"/>
      <c r="MM71" s="637"/>
      <c r="MN71" s="637"/>
      <c r="MO71" s="637"/>
      <c r="MP71" s="637"/>
      <c r="MQ71" s="637"/>
      <c r="MR71" s="637"/>
      <c r="MS71" s="637"/>
      <c r="MT71" s="637"/>
      <c r="MU71" s="637"/>
      <c r="MV71" s="637"/>
      <c r="MW71" s="637"/>
      <c r="MX71" s="637"/>
      <c r="MY71" s="637"/>
      <c r="MZ71" s="637"/>
      <c r="NA71" s="637"/>
      <c r="NB71" s="637"/>
      <c r="NC71" s="637"/>
      <c r="ND71" s="637"/>
      <c r="NE71" s="637"/>
      <c r="NF71" s="637"/>
      <c r="NG71" s="637"/>
      <c r="NH71" s="637"/>
      <c r="NI71" s="637"/>
      <c r="NJ71" s="637"/>
      <c r="NK71" s="637"/>
      <c r="NL71" s="637"/>
      <c r="NM71" s="637"/>
      <c r="NN71" s="637"/>
      <c r="NO71" s="637"/>
      <c r="NP71" s="637"/>
      <c r="NQ71" s="637"/>
      <c r="NR71" s="637"/>
      <c r="NS71" s="637"/>
      <c r="NT71" s="637"/>
      <c r="NU71" s="637"/>
      <c r="NV71" s="637"/>
      <c r="NW71" s="637"/>
      <c r="NX71" s="637"/>
      <c r="NY71" s="637"/>
      <c r="NZ71" s="637"/>
      <c r="OA71" s="637"/>
      <c r="OB71" s="637"/>
      <c r="OC71" s="637"/>
      <c r="OD71" s="637"/>
      <c r="OE71" s="637"/>
      <c r="OF71" s="637"/>
      <c r="OG71" s="637"/>
      <c r="OH71" s="637"/>
      <c r="OI71" s="637"/>
      <c r="OJ71" s="637"/>
      <c r="OK71" s="637"/>
      <c r="OL71" s="637"/>
      <c r="OM71" s="637"/>
      <c r="ON71" s="637"/>
      <c r="OO71" s="637"/>
      <c r="OP71" s="637"/>
      <c r="OQ71" s="637"/>
      <c r="OR71" s="637"/>
      <c r="OS71" s="637"/>
      <c r="OT71" s="637"/>
      <c r="OU71" s="637"/>
      <c r="OV71" s="637"/>
      <c r="OW71" s="637"/>
      <c r="OX71" s="637"/>
      <c r="OY71" s="637"/>
      <c r="OZ71" s="637"/>
      <c r="PA71" s="637"/>
      <c r="PB71" s="637"/>
      <c r="PC71" s="637"/>
      <c r="PD71" s="637"/>
      <c r="PE71" s="637"/>
      <c r="PF71" s="637"/>
      <c r="PG71" s="637"/>
      <c r="PH71" s="637"/>
      <c r="PI71" s="637"/>
      <c r="PJ71" s="637"/>
      <c r="PK71" s="637"/>
      <c r="PL71" s="637"/>
      <c r="PM71" s="637"/>
      <c r="PN71" s="637"/>
      <c r="PO71" s="637"/>
      <c r="PP71" s="637"/>
      <c r="PQ71" s="637"/>
      <c r="PR71" s="637"/>
      <c r="PS71" s="637"/>
      <c r="PT71" s="637"/>
      <c r="PU71" s="637"/>
      <c r="PV71" s="637"/>
      <c r="PW71" s="637"/>
      <c r="PX71" s="637"/>
      <c r="PY71" s="637"/>
      <c r="PZ71" s="637"/>
      <c r="QA71" s="637"/>
      <c r="QB71" s="637"/>
      <c r="QC71" s="637"/>
      <c r="QD71" s="637"/>
      <c r="QE71" s="637"/>
      <c r="QF71" s="637"/>
      <c r="QG71" s="637"/>
      <c r="QH71" s="637"/>
      <c r="QI71" s="637"/>
      <c r="QJ71" s="637"/>
      <c r="QK71" s="637"/>
      <c r="QL71" s="637"/>
      <c r="QM71" s="637"/>
      <c r="QN71" s="637"/>
      <c r="QO71" s="637"/>
      <c r="QP71" s="637"/>
      <c r="QQ71" s="637"/>
      <c r="QR71" s="637"/>
      <c r="QS71" s="637"/>
      <c r="QT71" s="637"/>
      <c r="QU71" s="637"/>
      <c r="QV71" s="637"/>
      <c r="QW71" s="637"/>
      <c r="QX71" s="637"/>
      <c r="QY71" s="637"/>
      <c r="QZ71" s="637"/>
      <c r="RA71" s="637"/>
      <c r="RB71" s="637"/>
      <c r="RC71" s="637"/>
      <c r="RD71" s="637"/>
      <c r="RE71" s="637"/>
      <c r="RF71" s="637"/>
      <c r="RG71" s="637"/>
      <c r="RH71" s="637"/>
      <c r="RI71" s="637"/>
      <c r="RJ71" s="637"/>
      <c r="RK71" s="637"/>
      <c r="RL71" s="637"/>
      <c r="RM71" s="637"/>
      <c r="RN71" s="637"/>
      <c r="RO71" s="637"/>
      <c r="RP71" s="637"/>
      <c r="RQ71" s="637"/>
      <c r="RR71" s="637"/>
      <c r="RS71" s="637"/>
      <c r="RT71" s="637"/>
      <c r="RU71" s="637"/>
      <c r="RV71" s="637"/>
      <c r="RW71" s="637"/>
      <c r="RX71" s="637"/>
      <c r="RY71" s="637"/>
      <c r="RZ71" s="637"/>
      <c r="SA71" s="637"/>
      <c r="SB71" s="637"/>
      <c r="SC71" s="637"/>
      <c r="SD71" s="637"/>
      <c r="SE71" s="637"/>
      <c r="SF71" s="637"/>
      <c r="SG71" s="637"/>
      <c r="SH71" s="637"/>
      <c r="SI71" s="637"/>
      <c r="SJ71" s="637"/>
      <c r="SK71" s="637"/>
      <c r="SL71" s="637"/>
      <c r="SM71" s="637"/>
      <c r="SN71" s="637"/>
      <c r="SO71" s="637"/>
      <c r="SP71" s="637"/>
      <c r="SQ71" s="637"/>
      <c r="SR71" s="637"/>
      <c r="SS71" s="637"/>
      <c r="ST71" s="637"/>
      <c r="SU71" s="637"/>
      <c r="SV71" s="637"/>
      <c r="SW71" s="637"/>
      <c r="SX71" s="637"/>
      <c r="SY71" s="637"/>
      <c r="SZ71" s="637"/>
      <c r="TA71" s="637"/>
      <c r="TB71" s="637"/>
      <c r="TC71" s="637"/>
      <c r="TD71" s="637"/>
      <c r="TE71" s="637"/>
      <c r="TF71" s="637"/>
      <c r="TG71" s="637"/>
      <c r="TH71" s="637"/>
      <c r="TI71" s="637"/>
      <c r="TJ71" s="637"/>
      <c r="TK71" s="637"/>
      <c r="TL71" s="637"/>
      <c r="TM71" s="637"/>
      <c r="TN71" s="637"/>
      <c r="TO71" s="637"/>
      <c r="TP71" s="637"/>
      <c r="TQ71" s="637"/>
      <c r="TR71" s="637"/>
      <c r="TS71" s="637"/>
      <c r="TT71" s="637"/>
      <c r="TU71" s="637"/>
      <c r="TV71" s="637"/>
      <c r="TW71" s="637"/>
      <c r="TX71" s="637"/>
      <c r="TY71" s="637"/>
      <c r="TZ71" s="637"/>
      <c r="UA71" s="637"/>
      <c r="UB71" s="637"/>
      <c r="UC71" s="637"/>
      <c r="UD71" s="637"/>
      <c r="UE71" s="637"/>
      <c r="UF71" s="637"/>
      <c r="UG71" s="637"/>
      <c r="UH71" s="637"/>
      <c r="UI71" s="637"/>
      <c r="UJ71" s="637"/>
      <c r="UK71" s="637"/>
      <c r="UL71" s="637"/>
      <c r="UM71" s="637"/>
      <c r="UN71" s="637"/>
      <c r="UO71" s="637"/>
      <c r="UP71" s="637"/>
      <c r="UQ71" s="637"/>
      <c r="UR71" s="637"/>
      <c r="US71" s="637"/>
      <c r="UT71" s="637"/>
      <c r="UU71" s="637"/>
      <c r="UV71" s="637"/>
      <c r="UW71" s="637"/>
      <c r="UX71" s="637"/>
      <c r="UY71" s="637"/>
      <c r="UZ71" s="637"/>
      <c r="VA71" s="637"/>
      <c r="VB71" s="637"/>
      <c r="VC71" s="637"/>
      <c r="VD71" s="637"/>
      <c r="VE71" s="637"/>
      <c r="VF71" s="637"/>
      <c r="VG71" s="637"/>
      <c r="VH71" s="637"/>
      <c r="VI71" s="637"/>
      <c r="VJ71" s="637"/>
      <c r="VK71" s="637"/>
      <c r="VL71" s="637"/>
      <c r="VM71" s="637"/>
      <c r="VN71" s="637"/>
      <c r="VO71" s="637"/>
      <c r="VP71" s="637"/>
      <c r="VQ71" s="637"/>
      <c r="VR71" s="637"/>
      <c r="VS71" s="637"/>
      <c r="VT71" s="637"/>
      <c r="VU71" s="637"/>
      <c r="VV71" s="637"/>
      <c r="VW71" s="637"/>
      <c r="VX71" s="637"/>
      <c r="VY71" s="637"/>
      <c r="VZ71" s="637"/>
      <c r="WA71" s="637"/>
      <c r="WB71" s="637"/>
      <c r="WC71" s="637"/>
      <c r="WD71" s="637"/>
      <c r="WE71" s="637"/>
      <c r="WF71" s="637"/>
      <c r="WG71" s="637"/>
      <c r="WH71" s="637"/>
      <c r="WI71" s="637"/>
      <c r="WJ71" s="637"/>
      <c r="WK71" s="637"/>
      <c r="WL71" s="637"/>
      <c r="WM71" s="637"/>
      <c r="WN71" s="637"/>
      <c r="WO71" s="637"/>
      <c r="WP71" s="637"/>
      <c r="WQ71" s="637"/>
      <c r="WR71" s="637"/>
      <c r="WS71" s="637"/>
      <c r="WT71" s="637"/>
      <c r="WU71" s="637"/>
      <c r="WV71" s="637"/>
      <c r="WW71" s="637"/>
      <c r="WX71" s="637"/>
      <c r="WY71" s="637"/>
      <c r="WZ71" s="637"/>
      <c r="XA71" s="637"/>
      <c r="XB71" s="637"/>
      <c r="XC71" s="637"/>
      <c r="XD71" s="637"/>
      <c r="XE71" s="637"/>
      <c r="XF71" s="637"/>
      <c r="XG71" s="637"/>
      <c r="XH71" s="637"/>
      <c r="XI71" s="637"/>
      <c r="XJ71" s="637"/>
      <c r="XK71" s="637"/>
      <c r="XL71" s="637"/>
      <c r="XM71" s="637"/>
      <c r="XN71" s="637"/>
      <c r="XO71" s="637"/>
      <c r="XP71" s="637"/>
      <c r="XQ71" s="637"/>
      <c r="XR71" s="637"/>
      <c r="XS71" s="637"/>
      <c r="XT71" s="637"/>
      <c r="XU71" s="637"/>
      <c r="XV71" s="637"/>
      <c r="XW71" s="637"/>
      <c r="XX71" s="637"/>
      <c r="XY71" s="637"/>
      <c r="XZ71" s="637"/>
      <c r="YA71" s="637"/>
      <c r="YB71" s="637"/>
      <c r="YC71" s="637"/>
      <c r="YD71" s="637"/>
      <c r="YE71" s="637"/>
      <c r="YF71" s="637"/>
      <c r="YG71" s="637"/>
      <c r="YH71" s="637"/>
      <c r="YI71" s="637"/>
      <c r="YJ71" s="637"/>
      <c r="YK71" s="637"/>
      <c r="YL71" s="637"/>
      <c r="YM71" s="637"/>
      <c r="YN71" s="637"/>
      <c r="YO71" s="637"/>
      <c r="YP71" s="637"/>
      <c r="YQ71" s="637"/>
      <c r="YR71" s="637"/>
      <c r="YS71" s="637"/>
      <c r="YT71" s="637"/>
      <c r="YU71" s="637"/>
      <c r="YV71" s="637"/>
      <c r="YW71" s="637"/>
      <c r="YX71" s="637"/>
      <c r="YY71" s="637"/>
      <c r="YZ71" s="637"/>
      <c r="ZA71" s="637"/>
      <c r="ZB71" s="637"/>
      <c r="ZC71" s="637"/>
      <c r="ZD71" s="637"/>
      <c r="ZE71" s="637"/>
      <c r="ZF71" s="637"/>
      <c r="ZG71" s="637"/>
      <c r="ZH71" s="637"/>
      <c r="ZI71" s="637"/>
      <c r="ZJ71" s="637"/>
      <c r="ZK71" s="637"/>
      <c r="ZL71" s="637"/>
      <c r="ZM71" s="637"/>
      <c r="ZN71" s="637"/>
      <c r="ZO71" s="637"/>
      <c r="ZP71" s="637"/>
      <c r="ZQ71" s="637"/>
      <c r="ZR71" s="637"/>
      <c r="ZS71" s="637"/>
      <c r="ZT71" s="637"/>
      <c r="ZU71" s="637"/>
      <c r="ZV71" s="637"/>
      <c r="ZW71" s="637"/>
      <c r="ZX71" s="637"/>
      <c r="ZY71" s="637"/>
      <c r="ZZ71" s="637"/>
      <c r="AAA71" s="637"/>
      <c r="AAB71" s="637"/>
      <c r="AAC71" s="637"/>
      <c r="AAD71" s="637"/>
      <c r="AAE71" s="637"/>
      <c r="AAF71" s="637"/>
      <c r="AAG71" s="637"/>
      <c r="AAH71" s="637"/>
      <c r="AAI71" s="637"/>
      <c r="AAJ71" s="637"/>
      <c r="AAK71" s="637"/>
      <c r="AAL71" s="637"/>
      <c r="AAM71" s="637"/>
      <c r="AAN71" s="637"/>
      <c r="AAO71" s="637"/>
      <c r="AAP71" s="637"/>
      <c r="AAQ71" s="637"/>
      <c r="AAR71" s="637"/>
      <c r="AAS71" s="637"/>
      <c r="AAT71" s="637"/>
      <c r="AAU71" s="637"/>
      <c r="AAV71" s="637"/>
      <c r="AAW71" s="637"/>
      <c r="AAX71" s="637"/>
      <c r="AAY71" s="637"/>
      <c r="AAZ71" s="637"/>
      <c r="ABA71" s="637"/>
      <c r="ABB71" s="637"/>
      <c r="ABC71" s="637"/>
      <c r="ABD71" s="637"/>
      <c r="ABE71" s="637"/>
      <c r="ABF71" s="637"/>
      <c r="ABG71" s="637"/>
      <c r="ABH71" s="637"/>
      <c r="ABI71" s="637"/>
      <c r="ABJ71" s="637"/>
      <c r="ABK71" s="637"/>
      <c r="ABL71" s="637"/>
      <c r="ABM71" s="637"/>
      <c r="ABN71" s="637"/>
      <c r="ABO71" s="637"/>
      <c r="ABP71" s="637"/>
      <c r="ABQ71" s="637"/>
      <c r="ABR71" s="637"/>
      <c r="ABS71" s="637"/>
      <c r="ABT71" s="637"/>
      <c r="ABU71" s="637"/>
      <c r="ABV71" s="637"/>
      <c r="ABW71" s="637"/>
      <c r="ABX71" s="637"/>
      <c r="ABY71" s="637"/>
      <c r="ABZ71" s="637"/>
      <c r="ACA71" s="637"/>
      <c r="ACB71" s="637"/>
      <c r="ACC71" s="637"/>
      <c r="ACD71" s="637"/>
      <c r="ACE71" s="637"/>
      <c r="ACF71" s="637"/>
      <c r="ACG71" s="637"/>
      <c r="ACH71" s="637"/>
      <c r="ACI71" s="637"/>
      <c r="ACJ71" s="637"/>
      <c r="ACK71" s="637"/>
      <c r="ACL71" s="637"/>
      <c r="ACM71" s="637"/>
      <c r="ACN71" s="637"/>
      <c r="ACO71" s="637"/>
      <c r="ACP71" s="637"/>
      <c r="ACQ71" s="637"/>
      <c r="ACR71" s="637"/>
      <c r="ACS71" s="637"/>
      <c r="ACT71" s="637"/>
      <c r="ACU71" s="637"/>
      <c r="ACV71" s="637"/>
      <c r="ACW71" s="637"/>
      <c r="ACX71" s="637"/>
      <c r="ACY71" s="637"/>
      <c r="ACZ71" s="637"/>
      <c r="ADA71" s="637"/>
      <c r="ADB71" s="637"/>
      <c r="ADC71" s="637"/>
      <c r="ADD71" s="637"/>
      <c r="ADE71" s="637"/>
      <c r="ADF71" s="637"/>
      <c r="ADG71" s="637"/>
      <c r="ADH71" s="637"/>
      <c r="ADI71" s="637"/>
      <c r="ADJ71" s="637"/>
      <c r="ADK71" s="637"/>
      <c r="ADL71" s="637"/>
      <c r="ADM71" s="637"/>
      <c r="ADN71" s="637"/>
      <c r="ADO71" s="637"/>
      <c r="ADP71" s="637"/>
      <c r="ADQ71" s="637"/>
      <c r="ADR71" s="637"/>
      <c r="ADS71" s="637"/>
      <c r="ADT71" s="637"/>
      <c r="ADU71" s="637"/>
      <c r="ADV71" s="637"/>
      <c r="ADW71" s="637"/>
      <c r="ADX71" s="637"/>
      <c r="ADY71" s="637"/>
      <c r="ADZ71" s="637"/>
      <c r="AEA71" s="637"/>
      <c r="AEB71" s="637"/>
      <c r="AEC71" s="637"/>
      <c r="AED71" s="637"/>
      <c r="AEE71" s="637"/>
      <c r="AEF71" s="637"/>
      <c r="AEG71" s="637"/>
      <c r="AEH71" s="637"/>
      <c r="AEI71" s="637"/>
      <c r="AEJ71" s="637"/>
      <c r="AEK71" s="637"/>
      <c r="AEL71" s="637"/>
      <c r="AEM71" s="637"/>
      <c r="AEN71" s="637"/>
      <c r="AEO71" s="637"/>
      <c r="AEP71" s="637"/>
      <c r="AEQ71" s="637"/>
      <c r="AER71" s="637"/>
      <c r="AES71" s="637"/>
      <c r="AET71" s="637"/>
      <c r="AEU71" s="637"/>
      <c r="AEV71" s="637"/>
      <c r="AEW71" s="637"/>
      <c r="AEX71" s="637"/>
      <c r="AEY71" s="637"/>
      <c r="AEZ71" s="637"/>
      <c r="AFA71" s="637"/>
      <c r="AFB71" s="637"/>
      <c r="AFC71" s="637"/>
      <c r="AFD71" s="637"/>
      <c r="AFE71" s="637"/>
      <c r="AFF71" s="637"/>
      <c r="AFG71" s="637"/>
      <c r="AFH71" s="637"/>
      <c r="AFI71" s="637"/>
      <c r="AFJ71" s="637"/>
      <c r="AFK71" s="637"/>
      <c r="AFL71" s="637"/>
      <c r="AFM71" s="637"/>
      <c r="AFN71" s="637"/>
      <c r="AFO71" s="637"/>
      <c r="AFP71" s="637"/>
      <c r="AFQ71" s="637"/>
      <c r="AFR71" s="637"/>
      <c r="AFS71" s="637"/>
      <c r="AFT71" s="637"/>
      <c r="AFU71" s="637"/>
      <c r="AFV71" s="637"/>
      <c r="AFW71" s="637"/>
      <c r="AFX71" s="637"/>
      <c r="AFY71" s="637"/>
      <c r="AFZ71" s="637"/>
      <c r="AGA71" s="637"/>
      <c r="AGB71" s="637"/>
      <c r="AGC71" s="637"/>
      <c r="AGD71" s="637"/>
      <c r="AGE71" s="637"/>
      <c r="AGF71" s="637"/>
      <c r="AGG71" s="637"/>
      <c r="AGH71" s="637"/>
      <c r="AGI71" s="637"/>
      <c r="AGJ71" s="637"/>
      <c r="AGK71" s="637"/>
      <c r="AGL71" s="637"/>
      <c r="AGM71" s="637"/>
      <c r="AGN71" s="637"/>
      <c r="AGO71" s="637"/>
      <c r="AGP71" s="637"/>
      <c r="AGQ71" s="637"/>
      <c r="AGR71" s="637"/>
      <c r="AGS71" s="637"/>
      <c r="AGT71" s="637"/>
      <c r="AGU71" s="637"/>
      <c r="AGV71" s="637"/>
      <c r="AGW71" s="637"/>
      <c r="AGX71" s="637"/>
      <c r="AGY71" s="637"/>
      <c r="AGZ71" s="637"/>
      <c r="AHA71" s="637"/>
      <c r="AHB71" s="637"/>
      <c r="AHC71" s="637"/>
      <c r="AHD71" s="637"/>
      <c r="AHE71" s="637"/>
      <c r="AHF71" s="637"/>
      <c r="AHG71" s="637"/>
      <c r="AHH71" s="637"/>
      <c r="AHI71" s="637"/>
      <c r="AHJ71" s="637"/>
      <c r="AHK71" s="637"/>
      <c r="AHL71" s="637"/>
      <c r="AHM71" s="637"/>
      <c r="AHN71" s="637"/>
      <c r="AHO71" s="637"/>
      <c r="AHP71" s="637"/>
      <c r="AHQ71" s="637"/>
      <c r="AHR71" s="637"/>
      <c r="AHS71" s="637"/>
      <c r="AHT71" s="637"/>
      <c r="AHU71" s="637"/>
      <c r="AHV71" s="637"/>
      <c r="AHW71" s="637"/>
      <c r="AHX71" s="637"/>
      <c r="AHY71" s="637"/>
      <c r="AHZ71" s="637"/>
      <c r="AIA71" s="637"/>
      <c r="AIB71" s="637"/>
      <c r="AIC71" s="637"/>
      <c r="AID71" s="637"/>
      <c r="AIE71" s="637"/>
      <c r="AIF71" s="637"/>
      <c r="AIG71" s="637"/>
      <c r="AIH71" s="637"/>
      <c r="AII71" s="637"/>
      <c r="AIJ71" s="637"/>
      <c r="AIK71" s="637"/>
      <c r="AIL71" s="637"/>
      <c r="AIM71" s="637"/>
      <c r="AIN71" s="637"/>
      <c r="AIO71" s="637"/>
      <c r="AIP71" s="637"/>
      <c r="AIQ71" s="637"/>
      <c r="AIR71" s="637"/>
      <c r="AIS71" s="637"/>
      <c r="AIT71" s="637"/>
      <c r="AIU71" s="637"/>
      <c r="AIV71" s="637"/>
      <c r="AIW71" s="637"/>
      <c r="AIX71" s="637"/>
      <c r="AIY71" s="637"/>
      <c r="AIZ71" s="637"/>
      <c r="AJA71" s="637"/>
      <c r="AJB71" s="637"/>
      <c r="AJC71" s="637"/>
      <c r="AJD71" s="637"/>
      <c r="AJE71" s="637"/>
      <c r="AJF71" s="637"/>
      <c r="AJG71" s="637"/>
      <c r="AJH71" s="637"/>
      <c r="AJI71" s="637"/>
      <c r="AJJ71" s="637"/>
      <c r="AJK71" s="637"/>
      <c r="AJL71" s="637"/>
      <c r="AJM71" s="637"/>
      <c r="AJN71" s="637"/>
      <c r="AJO71" s="637"/>
      <c r="AJP71" s="637"/>
      <c r="AJQ71" s="637"/>
      <c r="AJR71" s="637"/>
      <c r="AJS71" s="637"/>
      <c r="AJT71" s="637"/>
      <c r="AJU71" s="637"/>
      <c r="AJV71" s="637"/>
      <c r="AJW71" s="637"/>
      <c r="AJX71" s="637"/>
      <c r="AJY71" s="637"/>
      <c r="AJZ71" s="637"/>
      <c r="AKA71" s="637"/>
      <c r="AKB71" s="637"/>
      <c r="AKC71" s="637"/>
      <c r="AKD71" s="637"/>
      <c r="AKE71" s="637"/>
      <c r="AKF71" s="637"/>
      <c r="AKG71" s="637"/>
      <c r="AKH71" s="637"/>
      <c r="AKI71" s="637"/>
      <c r="AKJ71" s="637"/>
      <c r="AKK71" s="637"/>
      <c r="AKL71" s="637"/>
      <c r="AKM71" s="637"/>
      <c r="AKN71" s="637"/>
      <c r="AKO71" s="637"/>
      <c r="AKP71" s="637"/>
      <c r="AKQ71" s="637"/>
      <c r="AKR71" s="637"/>
      <c r="AKS71" s="637"/>
      <c r="AKT71" s="637"/>
      <c r="AKU71" s="637"/>
      <c r="AKV71" s="637"/>
      <c r="AKW71" s="637"/>
      <c r="AKX71" s="637"/>
      <c r="AKY71" s="637"/>
      <c r="AKZ71" s="637"/>
      <c r="ALA71" s="637"/>
      <c r="ALB71" s="637"/>
      <c r="ALC71" s="637"/>
      <c r="ALD71" s="637"/>
      <c r="ALE71" s="637"/>
      <c r="ALF71" s="637"/>
      <c r="ALG71" s="637"/>
      <c r="ALH71" s="637"/>
      <c r="ALI71" s="637"/>
      <c r="ALJ71" s="637"/>
      <c r="ALK71" s="637"/>
      <c r="ALL71" s="637"/>
      <c r="ALM71" s="637"/>
      <c r="ALN71" s="637"/>
      <c r="ALO71" s="637"/>
      <c r="ALP71" s="637"/>
      <c r="ALQ71" s="637"/>
      <c r="ALR71" s="637"/>
      <c r="ALS71" s="637"/>
      <c r="ALT71" s="637"/>
      <c r="ALU71" s="637"/>
      <c r="ALV71" s="637"/>
      <c r="ALW71" s="637"/>
      <c r="ALX71" s="637"/>
      <c r="ALY71" s="637"/>
      <c r="ALZ71" s="637"/>
      <c r="AMA71" s="637"/>
      <c r="AMB71" s="637"/>
      <c r="AMC71" s="637"/>
      <c r="AMD71" s="637"/>
      <c r="AME71" s="637"/>
      <c r="AMF71" s="637"/>
      <c r="AMG71" s="637"/>
      <c r="AMH71" s="637"/>
      <c r="AMI71" s="637"/>
      <c r="AMJ71" s="637"/>
    </row>
    <row r="72" spans="1:1024" s="638" customFormat="1" ht="12.75" hidden="1">
      <c r="A72" s="984"/>
      <c r="B72" s="985"/>
      <c r="C72" s="986"/>
      <c r="D72" s="1001"/>
      <c r="E72" s="1002">
        <v>8131</v>
      </c>
      <c r="F72" s="1003">
        <f t="shared" si="7"/>
        <v>29180</v>
      </c>
      <c r="G72" s="1004">
        <v>18703</v>
      </c>
      <c r="H72" s="1004">
        <v>5758</v>
      </c>
      <c r="I72" s="1004">
        <v>4719</v>
      </c>
      <c r="J72" s="1004"/>
      <c r="K72" s="1004"/>
      <c r="L72" s="1004"/>
      <c r="M72" s="1004"/>
      <c r="N72" s="1004"/>
      <c r="O72" s="1004"/>
      <c r="P72" s="1004"/>
      <c r="Q72" s="1004"/>
      <c r="R72" s="1005"/>
      <c r="S72" s="637"/>
      <c r="T72" s="637"/>
      <c r="U72" s="637"/>
      <c r="V72" s="637"/>
      <c r="W72" s="637"/>
      <c r="X72" s="637"/>
      <c r="Y72" s="637"/>
      <c r="Z72" s="637"/>
      <c r="AA72" s="637"/>
      <c r="AB72" s="637"/>
      <c r="AC72" s="637"/>
      <c r="AD72" s="637"/>
      <c r="AE72" s="637"/>
      <c r="AF72" s="637"/>
      <c r="AG72" s="637"/>
      <c r="AH72" s="637"/>
      <c r="AI72" s="637"/>
      <c r="AJ72" s="637"/>
      <c r="AK72" s="637"/>
      <c r="AL72" s="637"/>
      <c r="AM72" s="637"/>
      <c r="AN72" s="637"/>
      <c r="AO72" s="637"/>
      <c r="AP72" s="637"/>
      <c r="AQ72" s="637"/>
      <c r="AR72" s="637"/>
      <c r="AS72" s="637"/>
      <c r="AT72" s="637"/>
      <c r="AU72" s="637"/>
      <c r="AV72" s="637"/>
      <c r="AW72" s="637"/>
      <c r="AX72" s="637"/>
      <c r="AY72" s="637"/>
      <c r="AZ72" s="637"/>
      <c r="BA72" s="637"/>
      <c r="BB72" s="637"/>
      <c r="BC72" s="637"/>
      <c r="BD72" s="637"/>
      <c r="BE72" s="637"/>
      <c r="BF72" s="637"/>
      <c r="BG72" s="637"/>
      <c r="BH72" s="637"/>
      <c r="BI72" s="637"/>
      <c r="BJ72" s="637"/>
      <c r="BK72" s="637"/>
      <c r="BL72" s="637"/>
      <c r="BM72" s="637"/>
      <c r="BN72" s="637"/>
      <c r="BO72" s="637"/>
      <c r="BP72" s="637"/>
      <c r="BQ72" s="637"/>
      <c r="BR72" s="637"/>
      <c r="BS72" s="637"/>
      <c r="BT72" s="637"/>
      <c r="BU72" s="637"/>
      <c r="BV72" s="637"/>
      <c r="BW72" s="637"/>
      <c r="BX72" s="637"/>
      <c r="BY72" s="637"/>
      <c r="BZ72" s="637"/>
      <c r="CA72" s="637"/>
      <c r="CB72" s="637"/>
      <c r="CC72" s="637"/>
      <c r="CD72" s="637"/>
      <c r="CE72" s="637"/>
      <c r="CF72" s="637"/>
      <c r="CG72" s="637"/>
      <c r="CH72" s="637"/>
      <c r="CI72" s="637"/>
      <c r="CJ72" s="637"/>
      <c r="CK72" s="637"/>
      <c r="CL72" s="637"/>
      <c r="CM72" s="637"/>
      <c r="CN72" s="637"/>
      <c r="CO72" s="637"/>
      <c r="CP72" s="637"/>
      <c r="CQ72" s="637"/>
      <c r="CR72" s="637"/>
      <c r="CS72" s="637"/>
      <c r="CT72" s="637"/>
      <c r="CU72" s="637"/>
      <c r="CV72" s="637"/>
      <c r="CW72" s="637"/>
      <c r="CX72" s="637"/>
      <c r="CY72" s="637"/>
      <c r="CZ72" s="637"/>
      <c r="DA72" s="637"/>
      <c r="DB72" s="637"/>
      <c r="DC72" s="637"/>
      <c r="DD72" s="637"/>
      <c r="DE72" s="637"/>
      <c r="DF72" s="637"/>
      <c r="DG72" s="637"/>
      <c r="DH72" s="637"/>
      <c r="DI72" s="637"/>
      <c r="DJ72" s="637"/>
      <c r="DK72" s="637"/>
      <c r="DL72" s="637"/>
      <c r="DM72" s="637"/>
      <c r="DN72" s="637"/>
      <c r="DO72" s="637"/>
      <c r="DP72" s="637"/>
      <c r="DQ72" s="637"/>
      <c r="DR72" s="637"/>
      <c r="DS72" s="637"/>
      <c r="DT72" s="637"/>
      <c r="DU72" s="637"/>
      <c r="DV72" s="637"/>
      <c r="DW72" s="637"/>
      <c r="DX72" s="637"/>
      <c r="DY72" s="637"/>
      <c r="DZ72" s="637"/>
      <c r="EA72" s="637"/>
      <c r="EB72" s="637"/>
      <c r="EC72" s="637"/>
      <c r="ED72" s="637"/>
      <c r="EE72" s="637"/>
      <c r="EF72" s="637"/>
      <c r="EG72" s="637"/>
      <c r="EH72" s="637"/>
      <c r="EI72" s="637"/>
      <c r="EJ72" s="637"/>
      <c r="EK72" s="637"/>
      <c r="EL72" s="637"/>
      <c r="EM72" s="637"/>
      <c r="EN72" s="637"/>
      <c r="EO72" s="637"/>
      <c r="EP72" s="637"/>
      <c r="EQ72" s="637"/>
      <c r="ER72" s="637"/>
      <c r="ES72" s="637"/>
      <c r="ET72" s="637"/>
      <c r="EU72" s="637"/>
      <c r="EV72" s="637"/>
      <c r="EW72" s="637"/>
      <c r="EX72" s="637"/>
      <c r="EY72" s="637"/>
      <c r="EZ72" s="637"/>
      <c r="FA72" s="637"/>
      <c r="FB72" s="637"/>
      <c r="FC72" s="637"/>
      <c r="FD72" s="637"/>
      <c r="FE72" s="637"/>
      <c r="FF72" s="637"/>
      <c r="FG72" s="637"/>
      <c r="FH72" s="637"/>
      <c r="FI72" s="637"/>
      <c r="FJ72" s="637"/>
      <c r="FK72" s="637"/>
      <c r="FL72" s="637"/>
      <c r="FM72" s="637"/>
      <c r="FN72" s="637"/>
      <c r="FO72" s="637"/>
      <c r="FP72" s="637"/>
      <c r="FQ72" s="637"/>
      <c r="FR72" s="637"/>
      <c r="FS72" s="637"/>
      <c r="FT72" s="637"/>
      <c r="FU72" s="637"/>
      <c r="FV72" s="637"/>
      <c r="FW72" s="637"/>
      <c r="FX72" s="637"/>
      <c r="FY72" s="637"/>
      <c r="FZ72" s="637"/>
      <c r="GA72" s="637"/>
      <c r="GB72" s="637"/>
      <c r="GC72" s="637"/>
      <c r="GD72" s="637"/>
      <c r="GE72" s="637"/>
      <c r="GF72" s="637"/>
      <c r="GG72" s="637"/>
      <c r="GH72" s="637"/>
      <c r="GI72" s="637"/>
      <c r="GJ72" s="637"/>
      <c r="GK72" s="637"/>
      <c r="GL72" s="637"/>
      <c r="GM72" s="637"/>
      <c r="GN72" s="637"/>
      <c r="GO72" s="637"/>
      <c r="GP72" s="637"/>
      <c r="GQ72" s="637"/>
      <c r="GR72" s="637"/>
      <c r="GS72" s="637"/>
      <c r="GT72" s="637"/>
      <c r="GU72" s="637"/>
      <c r="GV72" s="637"/>
      <c r="GW72" s="637"/>
      <c r="GX72" s="637"/>
      <c r="GY72" s="637"/>
      <c r="GZ72" s="637"/>
      <c r="HA72" s="637"/>
      <c r="HB72" s="637"/>
      <c r="HC72" s="637"/>
      <c r="HD72" s="637"/>
      <c r="HE72" s="637"/>
      <c r="HF72" s="637"/>
      <c r="HG72" s="637"/>
      <c r="HH72" s="637"/>
      <c r="HI72" s="637"/>
      <c r="HJ72" s="637"/>
      <c r="HK72" s="637"/>
      <c r="HL72" s="637"/>
      <c r="HM72" s="637"/>
      <c r="HN72" s="637"/>
      <c r="HO72" s="637"/>
      <c r="HP72" s="637"/>
      <c r="HQ72" s="637"/>
      <c r="HR72" s="637"/>
      <c r="HS72" s="637"/>
      <c r="HT72" s="637"/>
      <c r="HU72" s="637"/>
      <c r="HV72" s="637"/>
      <c r="HW72" s="637"/>
      <c r="HX72" s="637"/>
      <c r="HY72" s="637"/>
      <c r="HZ72" s="637"/>
      <c r="IA72" s="637"/>
      <c r="IB72" s="637"/>
      <c r="IC72" s="637"/>
      <c r="ID72" s="637"/>
      <c r="IE72" s="637"/>
      <c r="IF72" s="637"/>
      <c r="IG72" s="637"/>
      <c r="IH72" s="637"/>
      <c r="II72" s="637"/>
      <c r="IJ72" s="637"/>
      <c r="IK72" s="637"/>
      <c r="IL72" s="637"/>
      <c r="IM72" s="637"/>
      <c r="IN72" s="637"/>
      <c r="IO72" s="637"/>
      <c r="IP72" s="637"/>
      <c r="IQ72" s="637"/>
      <c r="IR72" s="637"/>
      <c r="IS72" s="637"/>
      <c r="IT72" s="637"/>
      <c r="IU72" s="637"/>
      <c r="IV72" s="637"/>
      <c r="IW72" s="637"/>
      <c r="IX72" s="637"/>
      <c r="IY72" s="637"/>
      <c r="IZ72" s="637"/>
      <c r="JA72" s="637"/>
      <c r="JB72" s="637"/>
      <c r="JC72" s="637"/>
      <c r="JD72" s="637"/>
      <c r="JE72" s="637"/>
      <c r="JF72" s="637"/>
      <c r="JG72" s="637"/>
      <c r="JH72" s="637"/>
      <c r="JI72" s="637"/>
      <c r="JJ72" s="637"/>
      <c r="JK72" s="637"/>
      <c r="JL72" s="637"/>
      <c r="JM72" s="637"/>
      <c r="JN72" s="637"/>
      <c r="JO72" s="637"/>
      <c r="JP72" s="637"/>
      <c r="JQ72" s="637"/>
      <c r="JR72" s="637"/>
      <c r="JS72" s="637"/>
      <c r="JT72" s="637"/>
      <c r="JU72" s="637"/>
      <c r="JV72" s="637"/>
      <c r="JW72" s="637"/>
      <c r="JX72" s="637"/>
      <c r="JY72" s="637"/>
      <c r="JZ72" s="637"/>
      <c r="KA72" s="637"/>
      <c r="KB72" s="637"/>
      <c r="KC72" s="637"/>
      <c r="KD72" s="637"/>
      <c r="KE72" s="637"/>
      <c r="KF72" s="637"/>
      <c r="KG72" s="637"/>
      <c r="KH72" s="637"/>
      <c r="KI72" s="637"/>
      <c r="KJ72" s="637"/>
      <c r="KK72" s="637"/>
      <c r="KL72" s="637"/>
      <c r="KM72" s="637"/>
      <c r="KN72" s="637"/>
      <c r="KO72" s="637"/>
      <c r="KP72" s="637"/>
      <c r="KQ72" s="637"/>
      <c r="KR72" s="637"/>
      <c r="KS72" s="637"/>
      <c r="KT72" s="637"/>
      <c r="KU72" s="637"/>
      <c r="KV72" s="637"/>
      <c r="KW72" s="637"/>
      <c r="KX72" s="637"/>
      <c r="KY72" s="637"/>
      <c r="KZ72" s="637"/>
      <c r="LA72" s="637"/>
      <c r="LB72" s="637"/>
      <c r="LC72" s="637"/>
      <c r="LD72" s="637"/>
      <c r="LE72" s="637"/>
      <c r="LF72" s="637"/>
      <c r="LG72" s="637"/>
      <c r="LH72" s="637"/>
      <c r="LI72" s="637"/>
      <c r="LJ72" s="637"/>
      <c r="LK72" s="637"/>
      <c r="LL72" s="637"/>
      <c r="LM72" s="637"/>
      <c r="LN72" s="637"/>
      <c r="LO72" s="637"/>
      <c r="LP72" s="637"/>
      <c r="LQ72" s="637"/>
      <c r="LR72" s="637"/>
      <c r="LS72" s="637"/>
      <c r="LT72" s="637"/>
      <c r="LU72" s="637"/>
      <c r="LV72" s="637"/>
      <c r="LW72" s="637"/>
      <c r="LX72" s="637"/>
      <c r="LY72" s="637"/>
      <c r="LZ72" s="637"/>
      <c r="MA72" s="637"/>
      <c r="MB72" s="637"/>
      <c r="MC72" s="637"/>
      <c r="MD72" s="637"/>
      <c r="ME72" s="637"/>
      <c r="MF72" s="637"/>
      <c r="MG72" s="637"/>
      <c r="MH72" s="637"/>
      <c r="MI72" s="637"/>
      <c r="MJ72" s="637"/>
      <c r="MK72" s="637"/>
      <c r="ML72" s="637"/>
      <c r="MM72" s="637"/>
      <c r="MN72" s="637"/>
      <c r="MO72" s="637"/>
      <c r="MP72" s="637"/>
      <c r="MQ72" s="637"/>
      <c r="MR72" s="637"/>
      <c r="MS72" s="637"/>
      <c r="MT72" s="637"/>
      <c r="MU72" s="637"/>
      <c r="MV72" s="637"/>
      <c r="MW72" s="637"/>
      <c r="MX72" s="637"/>
      <c r="MY72" s="637"/>
      <c r="MZ72" s="637"/>
      <c r="NA72" s="637"/>
      <c r="NB72" s="637"/>
      <c r="NC72" s="637"/>
      <c r="ND72" s="637"/>
      <c r="NE72" s="637"/>
      <c r="NF72" s="637"/>
      <c r="NG72" s="637"/>
      <c r="NH72" s="637"/>
      <c r="NI72" s="637"/>
      <c r="NJ72" s="637"/>
      <c r="NK72" s="637"/>
      <c r="NL72" s="637"/>
      <c r="NM72" s="637"/>
      <c r="NN72" s="637"/>
      <c r="NO72" s="637"/>
      <c r="NP72" s="637"/>
      <c r="NQ72" s="637"/>
      <c r="NR72" s="637"/>
      <c r="NS72" s="637"/>
      <c r="NT72" s="637"/>
      <c r="NU72" s="637"/>
      <c r="NV72" s="637"/>
      <c r="NW72" s="637"/>
      <c r="NX72" s="637"/>
      <c r="NY72" s="637"/>
      <c r="NZ72" s="637"/>
      <c r="OA72" s="637"/>
      <c r="OB72" s="637"/>
      <c r="OC72" s="637"/>
      <c r="OD72" s="637"/>
      <c r="OE72" s="637"/>
      <c r="OF72" s="637"/>
      <c r="OG72" s="637"/>
      <c r="OH72" s="637"/>
      <c r="OI72" s="637"/>
      <c r="OJ72" s="637"/>
      <c r="OK72" s="637"/>
      <c r="OL72" s="637"/>
      <c r="OM72" s="637"/>
      <c r="ON72" s="637"/>
      <c r="OO72" s="637"/>
      <c r="OP72" s="637"/>
      <c r="OQ72" s="637"/>
      <c r="OR72" s="637"/>
      <c r="OS72" s="637"/>
      <c r="OT72" s="637"/>
      <c r="OU72" s="637"/>
      <c r="OV72" s="637"/>
      <c r="OW72" s="637"/>
      <c r="OX72" s="637"/>
      <c r="OY72" s="637"/>
      <c r="OZ72" s="637"/>
      <c r="PA72" s="637"/>
      <c r="PB72" s="637"/>
      <c r="PC72" s="637"/>
      <c r="PD72" s="637"/>
      <c r="PE72" s="637"/>
      <c r="PF72" s="637"/>
      <c r="PG72" s="637"/>
      <c r="PH72" s="637"/>
      <c r="PI72" s="637"/>
      <c r="PJ72" s="637"/>
      <c r="PK72" s="637"/>
      <c r="PL72" s="637"/>
      <c r="PM72" s="637"/>
      <c r="PN72" s="637"/>
      <c r="PO72" s="637"/>
      <c r="PP72" s="637"/>
      <c r="PQ72" s="637"/>
      <c r="PR72" s="637"/>
      <c r="PS72" s="637"/>
      <c r="PT72" s="637"/>
      <c r="PU72" s="637"/>
      <c r="PV72" s="637"/>
      <c r="PW72" s="637"/>
      <c r="PX72" s="637"/>
      <c r="PY72" s="637"/>
      <c r="PZ72" s="637"/>
      <c r="QA72" s="637"/>
      <c r="QB72" s="637"/>
      <c r="QC72" s="637"/>
      <c r="QD72" s="637"/>
      <c r="QE72" s="637"/>
      <c r="QF72" s="637"/>
      <c r="QG72" s="637"/>
      <c r="QH72" s="637"/>
      <c r="QI72" s="637"/>
      <c r="QJ72" s="637"/>
      <c r="QK72" s="637"/>
      <c r="QL72" s="637"/>
      <c r="QM72" s="637"/>
      <c r="QN72" s="637"/>
      <c r="QO72" s="637"/>
      <c r="QP72" s="637"/>
      <c r="QQ72" s="637"/>
      <c r="QR72" s="637"/>
      <c r="QS72" s="637"/>
      <c r="QT72" s="637"/>
      <c r="QU72" s="637"/>
      <c r="QV72" s="637"/>
      <c r="QW72" s="637"/>
      <c r="QX72" s="637"/>
      <c r="QY72" s="637"/>
      <c r="QZ72" s="637"/>
      <c r="RA72" s="637"/>
      <c r="RB72" s="637"/>
      <c r="RC72" s="637"/>
      <c r="RD72" s="637"/>
      <c r="RE72" s="637"/>
      <c r="RF72" s="637"/>
      <c r="RG72" s="637"/>
      <c r="RH72" s="637"/>
      <c r="RI72" s="637"/>
      <c r="RJ72" s="637"/>
      <c r="RK72" s="637"/>
      <c r="RL72" s="637"/>
      <c r="RM72" s="637"/>
      <c r="RN72" s="637"/>
      <c r="RO72" s="637"/>
      <c r="RP72" s="637"/>
      <c r="RQ72" s="637"/>
      <c r="RR72" s="637"/>
      <c r="RS72" s="637"/>
      <c r="RT72" s="637"/>
      <c r="RU72" s="637"/>
      <c r="RV72" s="637"/>
      <c r="RW72" s="637"/>
      <c r="RX72" s="637"/>
      <c r="RY72" s="637"/>
      <c r="RZ72" s="637"/>
      <c r="SA72" s="637"/>
      <c r="SB72" s="637"/>
      <c r="SC72" s="637"/>
      <c r="SD72" s="637"/>
      <c r="SE72" s="637"/>
      <c r="SF72" s="637"/>
      <c r="SG72" s="637"/>
      <c r="SH72" s="637"/>
      <c r="SI72" s="637"/>
      <c r="SJ72" s="637"/>
      <c r="SK72" s="637"/>
      <c r="SL72" s="637"/>
      <c r="SM72" s="637"/>
      <c r="SN72" s="637"/>
      <c r="SO72" s="637"/>
      <c r="SP72" s="637"/>
      <c r="SQ72" s="637"/>
      <c r="SR72" s="637"/>
      <c r="SS72" s="637"/>
      <c r="ST72" s="637"/>
      <c r="SU72" s="637"/>
      <c r="SV72" s="637"/>
      <c r="SW72" s="637"/>
      <c r="SX72" s="637"/>
      <c r="SY72" s="637"/>
      <c r="SZ72" s="637"/>
      <c r="TA72" s="637"/>
      <c r="TB72" s="637"/>
      <c r="TC72" s="637"/>
      <c r="TD72" s="637"/>
      <c r="TE72" s="637"/>
      <c r="TF72" s="637"/>
      <c r="TG72" s="637"/>
      <c r="TH72" s="637"/>
      <c r="TI72" s="637"/>
      <c r="TJ72" s="637"/>
      <c r="TK72" s="637"/>
      <c r="TL72" s="637"/>
      <c r="TM72" s="637"/>
      <c r="TN72" s="637"/>
      <c r="TO72" s="637"/>
      <c r="TP72" s="637"/>
      <c r="TQ72" s="637"/>
      <c r="TR72" s="637"/>
      <c r="TS72" s="637"/>
      <c r="TT72" s="637"/>
      <c r="TU72" s="637"/>
      <c r="TV72" s="637"/>
      <c r="TW72" s="637"/>
      <c r="TX72" s="637"/>
      <c r="TY72" s="637"/>
      <c r="TZ72" s="637"/>
      <c r="UA72" s="637"/>
      <c r="UB72" s="637"/>
      <c r="UC72" s="637"/>
      <c r="UD72" s="637"/>
      <c r="UE72" s="637"/>
      <c r="UF72" s="637"/>
      <c r="UG72" s="637"/>
      <c r="UH72" s="637"/>
      <c r="UI72" s="637"/>
      <c r="UJ72" s="637"/>
      <c r="UK72" s="637"/>
      <c r="UL72" s="637"/>
      <c r="UM72" s="637"/>
      <c r="UN72" s="637"/>
      <c r="UO72" s="637"/>
      <c r="UP72" s="637"/>
      <c r="UQ72" s="637"/>
      <c r="UR72" s="637"/>
      <c r="US72" s="637"/>
      <c r="UT72" s="637"/>
      <c r="UU72" s="637"/>
      <c r="UV72" s="637"/>
      <c r="UW72" s="637"/>
      <c r="UX72" s="637"/>
      <c r="UY72" s="637"/>
      <c r="UZ72" s="637"/>
      <c r="VA72" s="637"/>
      <c r="VB72" s="637"/>
      <c r="VC72" s="637"/>
      <c r="VD72" s="637"/>
      <c r="VE72" s="637"/>
      <c r="VF72" s="637"/>
      <c r="VG72" s="637"/>
      <c r="VH72" s="637"/>
      <c r="VI72" s="637"/>
      <c r="VJ72" s="637"/>
      <c r="VK72" s="637"/>
      <c r="VL72" s="637"/>
      <c r="VM72" s="637"/>
      <c r="VN72" s="637"/>
      <c r="VO72" s="637"/>
      <c r="VP72" s="637"/>
      <c r="VQ72" s="637"/>
      <c r="VR72" s="637"/>
      <c r="VS72" s="637"/>
      <c r="VT72" s="637"/>
      <c r="VU72" s="637"/>
      <c r="VV72" s="637"/>
      <c r="VW72" s="637"/>
      <c r="VX72" s="637"/>
      <c r="VY72" s="637"/>
      <c r="VZ72" s="637"/>
      <c r="WA72" s="637"/>
      <c r="WB72" s="637"/>
      <c r="WC72" s="637"/>
      <c r="WD72" s="637"/>
      <c r="WE72" s="637"/>
      <c r="WF72" s="637"/>
      <c r="WG72" s="637"/>
      <c r="WH72" s="637"/>
      <c r="WI72" s="637"/>
      <c r="WJ72" s="637"/>
      <c r="WK72" s="637"/>
      <c r="WL72" s="637"/>
      <c r="WM72" s="637"/>
      <c r="WN72" s="637"/>
      <c r="WO72" s="637"/>
      <c r="WP72" s="637"/>
      <c r="WQ72" s="637"/>
      <c r="WR72" s="637"/>
      <c r="WS72" s="637"/>
      <c r="WT72" s="637"/>
      <c r="WU72" s="637"/>
      <c r="WV72" s="637"/>
      <c r="WW72" s="637"/>
      <c r="WX72" s="637"/>
      <c r="WY72" s="637"/>
      <c r="WZ72" s="637"/>
      <c r="XA72" s="637"/>
      <c r="XB72" s="637"/>
      <c r="XC72" s="637"/>
      <c r="XD72" s="637"/>
      <c r="XE72" s="637"/>
      <c r="XF72" s="637"/>
      <c r="XG72" s="637"/>
      <c r="XH72" s="637"/>
      <c r="XI72" s="637"/>
      <c r="XJ72" s="637"/>
      <c r="XK72" s="637"/>
      <c r="XL72" s="637"/>
      <c r="XM72" s="637"/>
      <c r="XN72" s="637"/>
      <c r="XO72" s="637"/>
      <c r="XP72" s="637"/>
      <c r="XQ72" s="637"/>
      <c r="XR72" s="637"/>
      <c r="XS72" s="637"/>
      <c r="XT72" s="637"/>
      <c r="XU72" s="637"/>
      <c r="XV72" s="637"/>
      <c r="XW72" s="637"/>
      <c r="XX72" s="637"/>
      <c r="XY72" s="637"/>
      <c r="XZ72" s="637"/>
      <c r="YA72" s="637"/>
      <c r="YB72" s="637"/>
      <c r="YC72" s="637"/>
      <c r="YD72" s="637"/>
      <c r="YE72" s="637"/>
      <c r="YF72" s="637"/>
      <c r="YG72" s="637"/>
      <c r="YH72" s="637"/>
      <c r="YI72" s="637"/>
      <c r="YJ72" s="637"/>
      <c r="YK72" s="637"/>
      <c r="YL72" s="637"/>
      <c r="YM72" s="637"/>
      <c r="YN72" s="637"/>
      <c r="YO72" s="637"/>
      <c r="YP72" s="637"/>
      <c r="YQ72" s="637"/>
      <c r="YR72" s="637"/>
      <c r="YS72" s="637"/>
      <c r="YT72" s="637"/>
      <c r="YU72" s="637"/>
      <c r="YV72" s="637"/>
      <c r="YW72" s="637"/>
      <c r="YX72" s="637"/>
      <c r="YY72" s="637"/>
      <c r="YZ72" s="637"/>
      <c r="ZA72" s="637"/>
      <c r="ZB72" s="637"/>
      <c r="ZC72" s="637"/>
      <c r="ZD72" s="637"/>
      <c r="ZE72" s="637"/>
      <c r="ZF72" s="637"/>
      <c r="ZG72" s="637"/>
      <c r="ZH72" s="637"/>
      <c r="ZI72" s="637"/>
      <c r="ZJ72" s="637"/>
      <c r="ZK72" s="637"/>
      <c r="ZL72" s="637"/>
      <c r="ZM72" s="637"/>
      <c r="ZN72" s="637"/>
      <c r="ZO72" s="637"/>
      <c r="ZP72" s="637"/>
      <c r="ZQ72" s="637"/>
      <c r="ZR72" s="637"/>
      <c r="ZS72" s="637"/>
      <c r="ZT72" s="637"/>
      <c r="ZU72" s="637"/>
      <c r="ZV72" s="637"/>
      <c r="ZW72" s="637"/>
      <c r="ZX72" s="637"/>
      <c r="ZY72" s="637"/>
      <c r="ZZ72" s="637"/>
      <c r="AAA72" s="637"/>
      <c r="AAB72" s="637"/>
      <c r="AAC72" s="637"/>
      <c r="AAD72" s="637"/>
      <c r="AAE72" s="637"/>
      <c r="AAF72" s="637"/>
      <c r="AAG72" s="637"/>
      <c r="AAH72" s="637"/>
      <c r="AAI72" s="637"/>
      <c r="AAJ72" s="637"/>
      <c r="AAK72" s="637"/>
      <c r="AAL72" s="637"/>
      <c r="AAM72" s="637"/>
      <c r="AAN72" s="637"/>
      <c r="AAO72" s="637"/>
      <c r="AAP72" s="637"/>
      <c r="AAQ72" s="637"/>
      <c r="AAR72" s="637"/>
      <c r="AAS72" s="637"/>
      <c r="AAT72" s="637"/>
      <c r="AAU72" s="637"/>
      <c r="AAV72" s="637"/>
      <c r="AAW72" s="637"/>
      <c r="AAX72" s="637"/>
      <c r="AAY72" s="637"/>
      <c r="AAZ72" s="637"/>
      <c r="ABA72" s="637"/>
      <c r="ABB72" s="637"/>
      <c r="ABC72" s="637"/>
      <c r="ABD72" s="637"/>
      <c r="ABE72" s="637"/>
      <c r="ABF72" s="637"/>
      <c r="ABG72" s="637"/>
      <c r="ABH72" s="637"/>
      <c r="ABI72" s="637"/>
      <c r="ABJ72" s="637"/>
      <c r="ABK72" s="637"/>
      <c r="ABL72" s="637"/>
      <c r="ABM72" s="637"/>
      <c r="ABN72" s="637"/>
      <c r="ABO72" s="637"/>
      <c r="ABP72" s="637"/>
      <c r="ABQ72" s="637"/>
      <c r="ABR72" s="637"/>
      <c r="ABS72" s="637"/>
      <c r="ABT72" s="637"/>
      <c r="ABU72" s="637"/>
      <c r="ABV72" s="637"/>
      <c r="ABW72" s="637"/>
      <c r="ABX72" s="637"/>
      <c r="ABY72" s="637"/>
      <c r="ABZ72" s="637"/>
      <c r="ACA72" s="637"/>
      <c r="ACB72" s="637"/>
      <c r="ACC72" s="637"/>
      <c r="ACD72" s="637"/>
      <c r="ACE72" s="637"/>
      <c r="ACF72" s="637"/>
      <c r="ACG72" s="637"/>
      <c r="ACH72" s="637"/>
      <c r="ACI72" s="637"/>
      <c r="ACJ72" s="637"/>
      <c r="ACK72" s="637"/>
      <c r="ACL72" s="637"/>
      <c r="ACM72" s="637"/>
      <c r="ACN72" s="637"/>
      <c r="ACO72" s="637"/>
      <c r="ACP72" s="637"/>
      <c r="ACQ72" s="637"/>
      <c r="ACR72" s="637"/>
      <c r="ACS72" s="637"/>
      <c r="ACT72" s="637"/>
      <c r="ACU72" s="637"/>
      <c r="ACV72" s="637"/>
      <c r="ACW72" s="637"/>
      <c r="ACX72" s="637"/>
      <c r="ACY72" s="637"/>
      <c r="ACZ72" s="637"/>
      <c r="ADA72" s="637"/>
      <c r="ADB72" s="637"/>
      <c r="ADC72" s="637"/>
      <c r="ADD72" s="637"/>
      <c r="ADE72" s="637"/>
      <c r="ADF72" s="637"/>
      <c r="ADG72" s="637"/>
      <c r="ADH72" s="637"/>
      <c r="ADI72" s="637"/>
      <c r="ADJ72" s="637"/>
      <c r="ADK72" s="637"/>
      <c r="ADL72" s="637"/>
      <c r="ADM72" s="637"/>
      <c r="ADN72" s="637"/>
      <c r="ADO72" s="637"/>
      <c r="ADP72" s="637"/>
      <c r="ADQ72" s="637"/>
      <c r="ADR72" s="637"/>
      <c r="ADS72" s="637"/>
      <c r="ADT72" s="637"/>
      <c r="ADU72" s="637"/>
      <c r="ADV72" s="637"/>
      <c r="ADW72" s="637"/>
      <c r="ADX72" s="637"/>
      <c r="ADY72" s="637"/>
      <c r="ADZ72" s="637"/>
      <c r="AEA72" s="637"/>
      <c r="AEB72" s="637"/>
      <c r="AEC72" s="637"/>
      <c r="AED72" s="637"/>
      <c r="AEE72" s="637"/>
      <c r="AEF72" s="637"/>
      <c r="AEG72" s="637"/>
      <c r="AEH72" s="637"/>
      <c r="AEI72" s="637"/>
      <c r="AEJ72" s="637"/>
      <c r="AEK72" s="637"/>
      <c r="AEL72" s="637"/>
      <c r="AEM72" s="637"/>
      <c r="AEN72" s="637"/>
      <c r="AEO72" s="637"/>
      <c r="AEP72" s="637"/>
      <c r="AEQ72" s="637"/>
      <c r="AER72" s="637"/>
      <c r="AES72" s="637"/>
      <c r="AET72" s="637"/>
      <c r="AEU72" s="637"/>
      <c r="AEV72" s="637"/>
      <c r="AEW72" s="637"/>
      <c r="AEX72" s="637"/>
      <c r="AEY72" s="637"/>
      <c r="AEZ72" s="637"/>
      <c r="AFA72" s="637"/>
      <c r="AFB72" s="637"/>
      <c r="AFC72" s="637"/>
      <c r="AFD72" s="637"/>
      <c r="AFE72" s="637"/>
      <c r="AFF72" s="637"/>
      <c r="AFG72" s="637"/>
      <c r="AFH72" s="637"/>
      <c r="AFI72" s="637"/>
      <c r="AFJ72" s="637"/>
      <c r="AFK72" s="637"/>
      <c r="AFL72" s="637"/>
      <c r="AFM72" s="637"/>
      <c r="AFN72" s="637"/>
      <c r="AFO72" s="637"/>
      <c r="AFP72" s="637"/>
      <c r="AFQ72" s="637"/>
      <c r="AFR72" s="637"/>
      <c r="AFS72" s="637"/>
      <c r="AFT72" s="637"/>
      <c r="AFU72" s="637"/>
      <c r="AFV72" s="637"/>
      <c r="AFW72" s="637"/>
      <c r="AFX72" s="637"/>
      <c r="AFY72" s="637"/>
      <c r="AFZ72" s="637"/>
      <c r="AGA72" s="637"/>
      <c r="AGB72" s="637"/>
      <c r="AGC72" s="637"/>
      <c r="AGD72" s="637"/>
      <c r="AGE72" s="637"/>
      <c r="AGF72" s="637"/>
      <c r="AGG72" s="637"/>
      <c r="AGH72" s="637"/>
      <c r="AGI72" s="637"/>
      <c r="AGJ72" s="637"/>
      <c r="AGK72" s="637"/>
      <c r="AGL72" s="637"/>
      <c r="AGM72" s="637"/>
      <c r="AGN72" s="637"/>
      <c r="AGO72" s="637"/>
      <c r="AGP72" s="637"/>
      <c r="AGQ72" s="637"/>
      <c r="AGR72" s="637"/>
      <c r="AGS72" s="637"/>
      <c r="AGT72" s="637"/>
      <c r="AGU72" s="637"/>
      <c r="AGV72" s="637"/>
      <c r="AGW72" s="637"/>
      <c r="AGX72" s="637"/>
      <c r="AGY72" s="637"/>
      <c r="AGZ72" s="637"/>
      <c r="AHA72" s="637"/>
      <c r="AHB72" s="637"/>
      <c r="AHC72" s="637"/>
      <c r="AHD72" s="637"/>
      <c r="AHE72" s="637"/>
      <c r="AHF72" s="637"/>
      <c r="AHG72" s="637"/>
      <c r="AHH72" s="637"/>
      <c r="AHI72" s="637"/>
      <c r="AHJ72" s="637"/>
      <c r="AHK72" s="637"/>
      <c r="AHL72" s="637"/>
      <c r="AHM72" s="637"/>
      <c r="AHN72" s="637"/>
      <c r="AHO72" s="637"/>
      <c r="AHP72" s="637"/>
      <c r="AHQ72" s="637"/>
      <c r="AHR72" s="637"/>
      <c r="AHS72" s="637"/>
      <c r="AHT72" s="637"/>
      <c r="AHU72" s="637"/>
      <c r="AHV72" s="637"/>
      <c r="AHW72" s="637"/>
      <c r="AHX72" s="637"/>
      <c r="AHY72" s="637"/>
      <c r="AHZ72" s="637"/>
      <c r="AIA72" s="637"/>
      <c r="AIB72" s="637"/>
      <c r="AIC72" s="637"/>
      <c r="AID72" s="637"/>
      <c r="AIE72" s="637"/>
      <c r="AIF72" s="637"/>
      <c r="AIG72" s="637"/>
      <c r="AIH72" s="637"/>
      <c r="AII72" s="637"/>
      <c r="AIJ72" s="637"/>
      <c r="AIK72" s="637"/>
      <c r="AIL72" s="637"/>
      <c r="AIM72" s="637"/>
      <c r="AIN72" s="637"/>
      <c r="AIO72" s="637"/>
      <c r="AIP72" s="637"/>
      <c r="AIQ72" s="637"/>
      <c r="AIR72" s="637"/>
      <c r="AIS72" s="637"/>
      <c r="AIT72" s="637"/>
      <c r="AIU72" s="637"/>
      <c r="AIV72" s="637"/>
      <c r="AIW72" s="637"/>
      <c r="AIX72" s="637"/>
      <c r="AIY72" s="637"/>
      <c r="AIZ72" s="637"/>
      <c r="AJA72" s="637"/>
      <c r="AJB72" s="637"/>
      <c r="AJC72" s="637"/>
      <c r="AJD72" s="637"/>
      <c r="AJE72" s="637"/>
      <c r="AJF72" s="637"/>
      <c r="AJG72" s="637"/>
      <c r="AJH72" s="637"/>
      <c r="AJI72" s="637"/>
      <c r="AJJ72" s="637"/>
      <c r="AJK72" s="637"/>
      <c r="AJL72" s="637"/>
      <c r="AJM72" s="637"/>
      <c r="AJN72" s="637"/>
      <c r="AJO72" s="637"/>
      <c r="AJP72" s="637"/>
      <c r="AJQ72" s="637"/>
      <c r="AJR72" s="637"/>
      <c r="AJS72" s="637"/>
      <c r="AJT72" s="637"/>
      <c r="AJU72" s="637"/>
      <c r="AJV72" s="637"/>
      <c r="AJW72" s="637"/>
      <c r="AJX72" s="637"/>
      <c r="AJY72" s="637"/>
      <c r="AJZ72" s="637"/>
      <c r="AKA72" s="637"/>
      <c r="AKB72" s="637"/>
      <c r="AKC72" s="637"/>
      <c r="AKD72" s="637"/>
      <c r="AKE72" s="637"/>
      <c r="AKF72" s="637"/>
      <c r="AKG72" s="637"/>
      <c r="AKH72" s="637"/>
      <c r="AKI72" s="637"/>
      <c r="AKJ72" s="637"/>
      <c r="AKK72" s="637"/>
      <c r="AKL72" s="637"/>
      <c r="AKM72" s="637"/>
      <c r="AKN72" s="637"/>
      <c r="AKO72" s="637"/>
      <c r="AKP72" s="637"/>
      <c r="AKQ72" s="637"/>
      <c r="AKR72" s="637"/>
      <c r="AKS72" s="637"/>
      <c r="AKT72" s="637"/>
      <c r="AKU72" s="637"/>
      <c r="AKV72" s="637"/>
      <c r="AKW72" s="637"/>
      <c r="AKX72" s="637"/>
      <c r="AKY72" s="637"/>
      <c r="AKZ72" s="637"/>
      <c r="ALA72" s="637"/>
      <c r="ALB72" s="637"/>
      <c r="ALC72" s="637"/>
      <c r="ALD72" s="637"/>
      <c r="ALE72" s="637"/>
      <c r="ALF72" s="637"/>
      <c r="ALG72" s="637"/>
      <c r="ALH72" s="637"/>
      <c r="ALI72" s="637"/>
      <c r="ALJ72" s="637"/>
      <c r="ALK72" s="637"/>
      <c r="ALL72" s="637"/>
      <c r="ALM72" s="637"/>
      <c r="ALN72" s="637"/>
      <c r="ALO72" s="637"/>
      <c r="ALP72" s="637"/>
      <c r="ALQ72" s="637"/>
      <c r="ALR72" s="637"/>
      <c r="ALS72" s="637"/>
      <c r="ALT72" s="637"/>
      <c r="ALU72" s="637"/>
      <c r="ALV72" s="637"/>
      <c r="ALW72" s="637"/>
      <c r="ALX72" s="637"/>
      <c r="ALY72" s="637"/>
      <c r="ALZ72" s="637"/>
      <c r="AMA72" s="637"/>
      <c r="AMB72" s="637"/>
      <c r="AMC72" s="637"/>
      <c r="AMD72" s="637"/>
      <c r="AME72" s="637"/>
      <c r="AMF72" s="637"/>
      <c r="AMG72" s="637"/>
      <c r="AMH72" s="637"/>
      <c r="AMI72" s="637"/>
      <c r="AMJ72" s="637"/>
    </row>
    <row r="73" spans="1:1024" s="638" customFormat="1" ht="12.75">
      <c r="A73" s="984" t="s">
        <v>121</v>
      </c>
      <c r="B73" s="985" t="s">
        <v>1013</v>
      </c>
      <c r="C73" s="986" t="s">
        <v>1014</v>
      </c>
      <c r="D73" s="981" t="s">
        <v>4</v>
      </c>
      <c r="E73" s="982">
        <v>0</v>
      </c>
      <c r="F73" s="982">
        <f>SUM(G73:R73)</f>
        <v>0</v>
      </c>
      <c r="G73" s="983"/>
      <c r="H73" s="983"/>
      <c r="I73" s="983"/>
      <c r="J73" s="983"/>
      <c r="K73" s="983"/>
      <c r="L73" s="983"/>
      <c r="M73" s="983"/>
      <c r="N73" s="983"/>
      <c r="O73" s="983"/>
      <c r="P73" s="983"/>
      <c r="Q73" s="983"/>
      <c r="R73" s="984"/>
      <c r="S73" s="637"/>
      <c r="T73" s="637"/>
      <c r="U73" s="637"/>
      <c r="V73" s="637"/>
      <c r="W73" s="637"/>
      <c r="X73" s="637"/>
      <c r="Y73" s="637"/>
      <c r="Z73" s="637"/>
      <c r="AA73" s="637"/>
      <c r="AB73" s="637"/>
      <c r="AC73" s="637"/>
      <c r="AD73" s="637"/>
      <c r="AE73" s="637"/>
      <c r="AF73" s="637"/>
      <c r="AG73" s="637"/>
      <c r="AH73" s="637"/>
      <c r="AI73" s="637"/>
      <c r="AJ73" s="637"/>
      <c r="AK73" s="637"/>
      <c r="AL73" s="637"/>
      <c r="AM73" s="637"/>
      <c r="AN73" s="637"/>
      <c r="AO73" s="637"/>
      <c r="AP73" s="637"/>
      <c r="AQ73" s="637"/>
      <c r="AR73" s="637"/>
      <c r="AS73" s="637"/>
      <c r="AT73" s="637"/>
      <c r="AU73" s="637"/>
      <c r="AV73" s="637"/>
      <c r="AW73" s="637"/>
      <c r="AX73" s="637"/>
      <c r="AY73" s="637"/>
      <c r="AZ73" s="637"/>
      <c r="BA73" s="637"/>
      <c r="BB73" s="637"/>
      <c r="BC73" s="637"/>
      <c r="BD73" s="637"/>
      <c r="BE73" s="637"/>
      <c r="BF73" s="637"/>
      <c r="BG73" s="637"/>
      <c r="BH73" s="637"/>
      <c r="BI73" s="637"/>
      <c r="BJ73" s="637"/>
      <c r="BK73" s="637"/>
      <c r="BL73" s="637"/>
      <c r="BM73" s="637"/>
      <c r="BN73" s="637"/>
      <c r="BO73" s="637"/>
      <c r="BP73" s="637"/>
      <c r="BQ73" s="637"/>
      <c r="BR73" s="637"/>
      <c r="BS73" s="637"/>
      <c r="BT73" s="637"/>
      <c r="BU73" s="637"/>
      <c r="BV73" s="637"/>
      <c r="BW73" s="637"/>
      <c r="BX73" s="637"/>
      <c r="BY73" s="637"/>
      <c r="BZ73" s="637"/>
      <c r="CA73" s="637"/>
      <c r="CB73" s="637"/>
      <c r="CC73" s="637"/>
      <c r="CD73" s="637"/>
      <c r="CE73" s="637"/>
      <c r="CF73" s="637"/>
      <c r="CG73" s="637"/>
      <c r="CH73" s="637"/>
      <c r="CI73" s="637"/>
      <c r="CJ73" s="637"/>
      <c r="CK73" s="637"/>
      <c r="CL73" s="637"/>
      <c r="CM73" s="637"/>
      <c r="CN73" s="637"/>
      <c r="CO73" s="637"/>
      <c r="CP73" s="637"/>
      <c r="CQ73" s="637"/>
      <c r="CR73" s="637"/>
      <c r="CS73" s="637"/>
      <c r="CT73" s="637"/>
      <c r="CU73" s="637"/>
      <c r="CV73" s="637"/>
      <c r="CW73" s="637"/>
      <c r="CX73" s="637"/>
      <c r="CY73" s="637"/>
      <c r="CZ73" s="637"/>
      <c r="DA73" s="637"/>
      <c r="DB73" s="637"/>
      <c r="DC73" s="637"/>
      <c r="DD73" s="637"/>
      <c r="DE73" s="637"/>
      <c r="DF73" s="637"/>
      <c r="DG73" s="637"/>
      <c r="DH73" s="637"/>
      <c r="DI73" s="637"/>
      <c r="DJ73" s="637"/>
      <c r="DK73" s="637"/>
      <c r="DL73" s="637"/>
      <c r="DM73" s="637"/>
      <c r="DN73" s="637"/>
      <c r="DO73" s="637"/>
      <c r="DP73" s="637"/>
      <c r="DQ73" s="637"/>
      <c r="DR73" s="637"/>
      <c r="DS73" s="637"/>
      <c r="DT73" s="637"/>
      <c r="DU73" s="637"/>
      <c r="DV73" s="637"/>
      <c r="DW73" s="637"/>
      <c r="DX73" s="637"/>
      <c r="DY73" s="637"/>
      <c r="DZ73" s="637"/>
      <c r="EA73" s="637"/>
      <c r="EB73" s="637"/>
      <c r="EC73" s="637"/>
      <c r="ED73" s="637"/>
      <c r="EE73" s="637"/>
      <c r="EF73" s="637"/>
      <c r="EG73" s="637"/>
      <c r="EH73" s="637"/>
      <c r="EI73" s="637"/>
      <c r="EJ73" s="637"/>
      <c r="EK73" s="637"/>
      <c r="EL73" s="637"/>
      <c r="EM73" s="637"/>
      <c r="EN73" s="637"/>
      <c r="EO73" s="637"/>
      <c r="EP73" s="637"/>
      <c r="EQ73" s="637"/>
      <c r="ER73" s="637"/>
      <c r="ES73" s="637"/>
      <c r="ET73" s="637"/>
      <c r="EU73" s="637"/>
      <c r="EV73" s="637"/>
      <c r="EW73" s="637"/>
      <c r="EX73" s="637"/>
      <c r="EY73" s="637"/>
      <c r="EZ73" s="637"/>
      <c r="FA73" s="637"/>
      <c r="FB73" s="637"/>
      <c r="FC73" s="637"/>
      <c r="FD73" s="637"/>
      <c r="FE73" s="637"/>
      <c r="FF73" s="637"/>
      <c r="FG73" s="637"/>
      <c r="FH73" s="637"/>
      <c r="FI73" s="637"/>
      <c r="FJ73" s="637"/>
      <c r="FK73" s="637"/>
      <c r="FL73" s="637"/>
      <c r="FM73" s="637"/>
      <c r="FN73" s="637"/>
      <c r="FO73" s="637"/>
      <c r="FP73" s="637"/>
      <c r="FQ73" s="637"/>
      <c r="FR73" s="637"/>
      <c r="FS73" s="637"/>
      <c r="FT73" s="637"/>
      <c r="FU73" s="637"/>
      <c r="FV73" s="637"/>
      <c r="FW73" s="637"/>
      <c r="FX73" s="637"/>
      <c r="FY73" s="637"/>
      <c r="FZ73" s="637"/>
      <c r="GA73" s="637"/>
      <c r="GB73" s="637"/>
      <c r="GC73" s="637"/>
      <c r="GD73" s="637"/>
      <c r="GE73" s="637"/>
      <c r="GF73" s="637"/>
      <c r="GG73" s="637"/>
      <c r="GH73" s="637"/>
      <c r="GI73" s="637"/>
      <c r="GJ73" s="637"/>
      <c r="GK73" s="637"/>
      <c r="GL73" s="637"/>
      <c r="GM73" s="637"/>
      <c r="GN73" s="637"/>
      <c r="GO73" s="637"/>
      <c r="GP73" s="637"/>
      <c r="GQ73" s="637"/>
      <c r="GR73" s="637"/>
      <c r="GS73" s="637"/>
      <c r="GT73" s="637"/>
      <c r="GU73" s="637"/>
      <c r="GV73" s="637"/>
      <c r="GW73" s="637"/>
      <c r="GX73" s="637"/>
      <c r="GY73" s="637"/>
      <c r="GZ73" s="637"/>
      <c r="HA73" s="637"/>
      <c r="HB73" s="637"/>
      <c r="HC73" s="637"/>
      <c r="HD73" s="637"/>
      <c r="HE73" s="637"/>
      <c r="HF73" s="637"/>
      <c r="HG73" s="637"/>
      <c r="HH73" s="637"/>
      <c r="HI73" s="637"/>
      <c r="HJ73" s="637"/>
      <c r="HK73" s="637"/>
      <c r="HL73" s="637"/>
      <c r="HM73" s="637"/>
      <c r="HN73" s="637"/>
      <c r="HO73" s="637"/>
      <c r="HP73" s="637"/>
      <c r="HQ73" s="637"/>
      <c r="HR73" s="637"/>
      <c r="HS73" s="637"/>
      <c r="HT73" s="637"/>
      <c r="HU73" s="637"/>
      <c r="HV73" s="637"/>
      <c r="HW73" s="637"/>
      <c r="HX73" s="637"/>
      <c r="HY73" s="637"/>
      <c r="HZ73" s="637"/>
      <c r="IA73" s="637"/>
      <c r="IB73" s="637"/>
      <c r="IC73" s="637"/>
      <c r="ID73" s="637"/>
      <c r="IE73" s="637"/>
      <c r="IF73" s="637"/>
      <c r="IG73" s="637"/>
      <c r="IH73" s="637"/>
      <c r="II73" s="637"/>
      <c r="IJ73" s="637"/>
      <c r="IK73" s="637"/>
      <c r="IL73" s="637"/>
      <c r="IM73" s="637"/>
      <c r="IN73" s="637"/>
      <c r="IO73" s="637"/>
      <c r="IP73" s="637"/>
      <c r="IQ73" s="637"/>
      <c r="IR73" s="637"/>
      <c r="IS73" s="637"/>
      <c r="IT73" s="637"/>
      <c r="IU73" s="637"/>
      <c r="IV73" s="637"/>
      <c r="IW73" s="637"/>
      <c r="IX73" s="637"/>
      <c r="IY73" s="637"/>
      <c r="IZ73" s="637"/>
      <c r="JA73" s="637"/>
      <c r="JB73" s="637"/>
      <c r="JC73" s="637"/>
      <c r="JD73" s="637"/>
      <c r="JE73" s="637"/>
      <c r="JF73" s="637"/>
      <c r="JG73" s="637"/>
      <c r="JH73" s="637"/>
      <c r="JI73" s="637"/>
      <c r="JJ73" s="637"/>
      <c r="JK73" s="637"/>
      <c r="JL73" s="637"/>
      <c r="JM73" s="637"/>
      <c r="JN73" s="637"/>
      <c r="JO73" s="637"/>
      <c r="JP73" s="637"/>
      <c r="JQ73" s="637"/>
      <c r="JR73" s="637"/>
      <c r="JS73" s="637"/>
      <c r="JT73" s="637"/>
      <c r="JU73" s="637"/>
      <c r="JV73" s="637"/>
      <c r="JW73" s="637"/>
      <c r="JX73" s="637"/>
      <c r="JY73" s="637"/>
      <c r="JZ73" s="637"/>
      <c r="KA73" s="637"/>
      <c r="KB73" s="637"/>
      <c r="KC73" s="637"/>
      <c r="KD73" s="637"/>
      <c r="KE73" s="637"/>
      <c r="KF73" s="637"/>
      <c r="KG73" s="637"/>
      <c r="KH73" s="637"/>
      <c r="KI73" s="637"/>
      <c r="KJ73" s="637"/>
      <c r="KK73" s="637"/>
      <c r="KL73" s="637"/>
      <c r="KM73" s="637"/>
      <c r="KN73" s="637"/>
      <c r="KO73" s="637"/>
      <c r="KP73" s="637"/>
      <c r="KQ73" s="637"/>
      <c r="KR73" s="637"/>
      <c r="KS73" s="637"/>
      <c r="KT73" s="637"/>
      <c r="KU73" s="637"/>
      <c r="KV73" s="637"/>
      <c r="KW73" s="637"/>
      <c r="KX73" s="637"/>
      <c r="KY73" s="637"/>
      <c r="KZ73" s="637"/>
      <c r="LA73" s="637"/>
      <c r="LB73" s="637"/>
      <c r="LC73" s="637"/>
      <c r="LD73" s="637"/>
      <c r="LE73" s="637"/>
      <c r="LF73" s="637"/>
      <c r="LG73" s="637"/>
      <c r="LH73" s="637"/>
      <c r="LI73" s="637"/>
      <c r="LJ73" s="637"/>
      <c r="LK73" s="637"/>
      <c r="LL73" s="637"/>
      <c r="LM73" s="637"/>
      <c r="LN73" s="637"/>
      <c r="LO73" s="637"/>
      <c r="LP73" s="637"/>
      <c r="LQ73" s="637"/>
      <c r="LR73" s="637"/>
      <c r="LS73" s="637"/>
      <c r="LT73" s="637"/>
      <c r="LU73" s="637"/>
      <c r="LV73" s="637"/>
      <c r="LW73" s="637"/>
      <c r="LX73" s="637"/>
      <c r="LY73" s="637"/>
      <c r="LZ73" s="637"/>
      <c r="MA73" s="637"/>
      <c r="MB73" s="637"/>
      <c r="MC73" s="637"/>
      <c r="MD73" s="637"/>
      <c r="ME73" s="637"/>
      <c r="MF73" s="637"/>
      <c r="MG73" s="637"/>
      <c r="MH73" s="637"/>
      <c r="MI73" s="637"/>
      <c r="MJ73" s="637"/>
      <c r="MK73" s="637"/>
      <c r="ML73" s="637"/>
      <c r="MM73" s="637"/>
      <c r="MN73" s="637"/>
      <c r="MO73" s="637"/>
      <c r="MP73" s="637"/>
      <c r="MQ73" s="637"/>
      <c r="MR73" s="637"/>
      <c r="MS73" s="637"/>
      <c r="MT73" s="637"/>
      <c r="MU73" s="637"/>
      <c r="MV73" s="637"/>
      <c r="MW73" s="637"/>
      <c r="MX73" s="637"/>
      <c r="MY73" s="637"/>
      <c r="MZ73" s="637"/>
      <c r="NA73" s="637"/>
      <c r="NB73" s="637"/>
      <c r="NC73" s="637"/>
      <c r="ND73" s="637"/>
      <c r="NE73" s="637"/>
      <c r="NF73" s="637"/>
      <c r="NG73" s="637"/>
      <c r="NH73" s="637"/>
      <c r="NI73" s="637"/>
      <c r="NJ73" s="637"/>
      <c r="NK73" s="637"/>
      <c r="NL73" s="637"/>
      <c r="NM73" s="637"/>
      <c r="NN73" s="637"/>
      <c r="NO73" s="637"/>
      <c r="NP73" s="637"/>
      <c r="NQ73" s="637"/>
      <c r="NR73" s="637"/>
      <c r="NS73" s="637"/>
      <c r="NT73" s="637"/>
      <c r="NU73" s="637"/>
      <c r="NV73" s="637"/>
      <c r="NW73" s="637"/>
      <c r="NX73" s="637"/>
      <c r="NY73" s="637"/>
      <c r="NZ73" s="637"/>
      <c r="OA73" s="637"/>
      <c r="OB73" s="637"/>
      <c r="OC73" s="637"/>
      <c r="OD73" s="637"/>
      <c r="OE73" s="637"/>
      <c r="OF73" s="637"/>
      <c r="OG73" s="637"/>
      <c r="OH73" s="637"/>
      <c r="OI73" s="637"/>
      <c r="OJ73" s="637"/>
      <c r="OK73" s="637"/>
      <c r="OL73" s="637"/>
      <c r="OM73" s="637"/>
      <c r="ON73" s="637"/>
      <c r="OO73" s="637"/>
      <c r="OP73" s="637"/>
      <c r="OQ73" s="637"/>
      <c r="OR73" s="637"/>
      <c r="OS73" s="637"/>
      <c r="OT73" s="637"/>
      <c r="OU73" s="637"/>
      <c r="OV73" s="637"/>
      <c r="OW73" s="637"/>
      <c r="OX73" s="637"/>
      <c r="OY73" s="637"/>
      <c r="OZ73" s="637"/>
      <c r="PA73" s="637"/>
      <c r="PB73" s="637"/>
      <c r="PC73" s="637"/>
      <c r="PD73" s="637"/>
      <c r="PE73" s="637"/>
      <c r="PF73" s="637"/>
      <c r="PG73" s="637"/>
      <c r="PH73" s="637"/>
      <c r="PI73" s="637"/>
      <c r="PJ73" s="637"/>
      <c r="PK73" s="637"/>
      <c r="PL73" s="637"/>
      <c r="PM73" s="637"/>
      <c r="PN73" s="637"/>
      <c r="PO73" s="637"/>
      <c r="PP73" s="637"/>
      <c r="PQ73" s="637"/>
      <c r="PR73" s="637"/>
      <c r="PS73" s="637"/>
      <c r="PT73" s="637"/>
      <c r="PU73" s="637"/>
      <c r="PV73" s="637"/>
      <c r="PW73" s="637"/>
      <c r="PX73" s="637"/>
      <c r="PY73" s="637"/>
      <c r="PZ73" s="637"/>
      <c r="QA73" s="637"/>
      <c r="QB73" s="637"/>
      <c r="QC73" s="637"/>
      <c r="QD73" s="637"/>
      <c r="QE73" s="637"/>
      <c r="QF73" s="637"/>
      <c r="QG73" s="637"/>
      <c r="QH73" s="637"/>
      <c r="QI73" s="637"/>
      <c r="QJ73" s="637"/>
      <c r="QK73" s="637"/>
      <c r="QL73" s="637"/>
      <c r="QM73" s="637"/>
      <c r="QN73" s="637"/>
      <c r="QO73" s="637"/>
      <c r="QP73" s="637"/>
      <c r="QQ73" s="637"/>
      <c r="QR73" s="637"/>
      <c r="QS73" s="637"/>
      <c r="QT73" s="637"/>
      <c r="QU73" s="637"/>
      <c r="QV73" s="637"/>
      <c r="QW73" s="637"/>
      <c r="QX73" s="637"/>
      <c r="QY73" s="637"/>
      <c r="QZ73" s="637"/>
      <c r="RA73" s="637"/>
      <c r="RB73" s="637"/>
      <c r="RC73" s="637"/>
      <c r="RD73" s="637"/>
      <c r="RE73" s="637"/>
      <c r="RF73" s="637"/>
      <c r="RG73" s="637"/>
      <c r="RH73" s="637"/>
      <c r="RI73" s="637"/>
      <c r="RJ73" s="637"/>
      <c r="RK73" s="637"/>
      <c r="RL73" s="637"/>
      <c r="RM73" s="637"/>
      <c r="RN73" s="637"/>
      <c r="RO73" s="637"/>
      <c r="RP73" s="637"/>
      <c r="RQ73" s="637"/>
      <c r="RR73" s="637"/>
      <c r="RS73" s="637"/>
      <c r="RT73" s="637"/>
      <c r="RU73" s="637"/>
      <c r="RV73" s="637"/>
      <c r="RW73" s="637"/>
      <c r="RX73" s="637"/>
      <c r="RY73" s="637"/>
      <c r="RZ73" s="637"/>
      <c r="SA73" s="637"/>
      <c r="SB73" s="637"/>
      <c r="SC73" s="637"/>
      <c r="SD73" s="637"/>
      <c r="SE73" s="637"/>
      <c r="SF73" s="637"/>
      <c r="SG73" s="637"/>
      <c r="SH73" s="637"/>
      <c r="SI73" s="637"/>
      <c r="SJ73" s="637"/>
      <c r="SK73" s="637"/>
      <c r="SL73" s="637"/>
      <c r="SM73" s="637"/>
      <c r="SN73" s="637"/>
      <c r="SO73" s="637"/>
      <c r="SP73" s="637"/>
      <c r="SQ73" s="637"/>
      <c r="SR73" s="637"/>
      <c r="SS73" s="637"/>
      <c r="ST73" s="637"/>
      <c r="SU73" s="637"/>
      <c r="SV73" s="637"/>
      <c r="SW73" s="637"/>
      <c r="SX73" s="637"/>
      <c r="SY73" s="637"/>
      <c r="SZ73" s="637"/>
      <c r="TA73" s="637"/>
      <c r="TB73" s="637"/>
      <c r="TC73" s="637"/>
      <c r="TD73" s="637"/>
      <c r="TE73" s="637"/>
      <c r="TF73" s="637"/>
      <c r="TG73" s="637"/>
      <c r="TH73" s="637"/>
      <c r="TI73" s="637"/>
      <c r="TJ73" s="637"/>
      <c r="TK73" s="637"/>
      <c r="TL73" s="637"/>
      <c r="TM73" s="637"/>
      <c r="TN73" s="637"/>
      <c r="TO73" s="637"/>
      <c r="TP73" s="637"/>
      <c r="TQ73" s="637"/>
      <c r="TR73" s="637"/>
      <c r="TS73" s="637"/>
      <c r="TT73" s="637"/>
      <c r="TU73" s="637"/>
      <c r="TV73" s="637"/>
      <c r="TW73" s="637"/>
      <c r="TX73" s="637"/>
      <c r="TY73" s="637"/>
      <c r="TZ73" s="637"/>
      <c r="UA73" s="637"/>
      <c r="UB73" s="637"/>
      <c r="UC73" s="637"/>
      <c r="UD73" s="637"/>
      <c r="UE73" s="637"/>
      <c r="UF73" s="637"/>
      <c r="UG73" s="637"/>
      <c r="UH73" s="637"/>
      <c r="UI73" s="637"/>
      <c r="UJ73" s="637"/>
      <c r="UK73" s="637"/>
      <c r="UL73" s="637"/>
      <c r="UM73" s="637"/>
      <c r="UN73" s="637"/>
      <c r="UO73" s="637"/>
      <c r="UP73" s="637"/>
      <c r="UQ73" s="637"/>
      <c r="UR73" s="637"/>
      <c r="US73" s="637"/>
      <c r="UT73" s="637"/>
      <c r="UU73" s="637"/>
      <c r="UV73" s="637"/>
      <c r="UW73" s="637"/>
      <c r="UX73" s="637"/>
      <c r="UY73" s="637"/>
      <c r="UZ73" s="637"/>
      <c r="VA73" s="637"/>
      <c r="VB73" s="637"/>
      <c r="VC73" s="637"/>
      <c r="VD73" s="637"/>
      <c r="VE73" s="637"/>
      <c r="VF73" s="637"/>
      <c r="VG73" s="637"/>
      <c r="VH73" s="637"/>
      <c r="VI73" s="637"/>
      <c r="VJ73" s="637"/>
      <c r="VK73" s="637"/>
      <c r="VL73" s="637"/>
      <c r="VM73" s="637"/>
      <c r="VN73" s="637"/>
      <c r="VO73" s="637"/>
      <c r="VP73" s="637"/>
      <c r="VQ73" s="637"/>
      <c r="VR73" s="637"/>
      <c r="VS73" s="637"/>
      <c r="VT73" s="637"/>
      <c r="VU73" s="637"/>
      <c r="VV73" s="637"/>
      <c r="VW73" s="637"/>
      <c r="VX73" s="637"/>
      <c r="VY73" s="637"/>
      <c r="VZ73" s="637"/>
      <c r="WA73" s="637"/>
      <c r="WB73" s="637"/>
      <c r="WC73" s="637"/>
      <c r="WD73" s="637"/>
      <c r="WE73" s="637"/>
      <c r="WF73" s="637"/>
      <c r="WG73" s="637"/>
      <c r="WH73" s="637"/>
      <c r="WI73" s="637"/>
      <c r="WJ73" s="637"/>
      <c r="WK73" s="637"/>
      <c r="WL73" s="637"/>
      <c r="WM73" s="637"/>
      <c r="WN73" s="637"/>
      <c r="WO73" s="637"/>
      <c r="WP73" s="637"/>
      <c r="WQ73" s="637"/>
      <c r="WR73" s="637"/>
      <c r="WS73" s="637"/>
      <c r="WT73" s="637"/>
      <c r="WU73" s="637"/>
      <c r="WV73" s="637"/>
      <c r="WW73" s="637"/>
      <c r="WX73" s="637"/>
      <c r="WY73" s="637"/>
      <c r="WZ73" s="637"/>
      <c r="XA73" s="637"/>
      <c r="XB73" s="637"/>
      <c r="XC73" s="637"/>
      <c r="XD73" s="637"/>
      <c r="XE73" s="637"/>
      <c r="XF73" s="637"/>
      <c r="XG73" s="637"/>
      <c r="XH73" s="637"/>
      <c r="XI73" s="637"/>
      <c r="XJ73" s="637"/>
      <c r="XK73" s="637"/>
      <c r="XL73" s="637"/>
      <c r="XM73" s="637"/>
      <c r="XN73" s="637"/>
      <c r="XO73" s="637"/>
      <c r="XP73" s="637"/>
      <c r="XQ73" s="637"/>
      <c r="XR73" s="637"/>
      <c r="XS73" s="637"/>
      <c r="XT73" s="637"/>
      <c r="XU73" s="637"/>
      <c r="XV73" s="637"/>
      <c r="XW73" s="637"/>
      <c r="XX73" s="637"/>
      <c r="XY73" s="637"/>
      <c r="XZ73" s="637"/>
      <c r="YA73" s="637"/>
      <c r="YB73" s="637"/>
      <c r="YC73" s="637"/>
      <c r="YD73" s="637"/>
      <c r="YE73" s="637"/>
      <c r="YF73" s="637"/>
      <c r="YG73" s="637"/>
      <c r="YH73" s="637"/>
      <c r="YI73" s="637"/>
      <c r="YJ73" s="637"/>
      <c r="YK73" s="637"/>
      <c r="YL73" s="637"/>
      <c r="YM73" s="637"/>
      <c r="YN73" s="637"/>
      <c r="YO73" s="637"/>
      <c r="YP73" s="637"/>
      <c r="YQ73" s="637"/>
      <c r="YR73" s="637"/>
      <c r="YS73" s="637"/>
      <c r="YT73" s="637"/>
      <c r="YU73" s="637"/>
      <c r="YV73" s="637"/>
      <c r="YW73" s="637"/>
      <c r="YX73" s="637"/>
      <c r="YY73" s="637"/>
      <c r="YZ73" s="637"/>
      <c r="ZA73" s="637"/>
      <c r="ZB73" s="637"/>
      <c r="ZC73" s="637"/>
      <c r="ZD73" s="637"/>
      <c r="ZE73" s="637"/>
      <c r="ZF73" s="637"/>
      <c r="ZG73" s="637"/>
      <c r="ZH73" s="637"/>
      <c r="ZI73" s="637"/>
      <c r="ZJ73" s="637"/>
      <c r="ZK73" s="637"/>
      <c r="ZL73" s="637"/>
      <c r="ZM73" s="637"/>
      <c r="ZN73" s="637"/>
      <c r="ZO73" s="637"/>
      <c r="ZP73" s="637"/>
      <c r="ZQ73" s="637"/>
      <c r="ZR73" s="637"/>
      <c r="ZS73" s="637"/>
      <c r="ZT73" s="637"/>
      <c r="ZU73" s="637"/>
      <c r="ZV73" s="637"/>
      <c r="ZW73" s="637"/>
      <c r="ZX73" s="637"/>
      <c r="ZY73" s="637"/>
      <c r="ZZ73" s="637"/>
      <c r="AAA73" s="637"/>
      <c r="AAB73" s="637"/>
      <c r="AAC73" s="637"/>
      <c r="AAD73" s="637"/>
      <c r="AAE73" s="637"/>
      <c r="AAF73" s="637"/>
      <c r="AAG73" s="637"/>
      <c r="AAH73" s="637"/>
      <c r="AAI73" s="637"/>
      <c r="AAJ73" s="637"/>
      <c r="AAK73" s="637"/>
      <c r="AAL73" s="637"/>
      <c r="AAM73" s="637"/>
      <c r="AAN73" s="637"/>
      <c r="AAO73" s="637"/>
      <c r="AAP73" s="637"/>
      <c r="AAQ73" s="637"/>
      <c r="AAR73" s="637"/>
      <c r="AAS73" s="637"/>
      <c r="AAT73" s="637"/>
      <c r="AAU73" s="637"/>
      <c r="AAV73" s="637"/>
      <c r="AAW73" s="637"/>
      <c r="AAX73" s="637"/>
      <c r="AAY73" s="637"/>
      <c r="AAZ73" s="637"/>
      <c r="ABA73" s="637"/>
      <c r="ABB73" s="637"/>
      <c r="ABC73" s="637"/>
      <c r="ABD73" s="637"/>
      <c r="ABE73" s="637"/>
      <c r="ABF73" s="637"/>
      <c r="ABG73" s="637"/>
      <c r="ABH73" s="637"/>
      <c r="ABI73" s="637"/>
      <c r="ABJ73" s="637"/>
      <c r="ABK73" s="637"/>
      <c r="ABL73" s="637"/>
      <c r="ABM73" s="637"/>
      <c r="ABN73" s="637"/>
      <c r="ABO73" s="637"/>
      <c r="ABP73" s="637"/>
      <c r="ABQ73" s="637"/>
      <c r="ABR73" s="637"/>
      <c r="ABS73" s="637"/>
      <c r="ABT73" s="637"/>
      <c r="ABU73" s="637"/>
      <c r="ABV73" s="637"/>
      <c r="ABW73" s="637"/>
      <c r="ABX73" s="637"/>
      <c r="ABY73" s="637"/>
      <c r="ABZ73" s="637"/>
      <c r="ACA73" s="637"/>
      <c r="ACB73" s="637"/>
      <c r="ACC73" s="637"/>
      <c r="ACD73" s="637"/>
      <c r="ACE73" s="637"/>
      <c r="ACF73" s="637"/>
      <c r="ACG73" s="637"/>
      <c r="ACH73" s="637"/>
      <c r="ACI73" s="637"/>
      <c r="ACJ73" s="637"/>
      <c r="ACK73" s="637"/>
      <c r="ACL73" s="637"/>
      <c r="ACM73" s="637"/>
      <c r="ACN73" s="637"/>
      <c r="ACO73" s="637"/>
      <c r="ACP73" s="637"/>
      <c r="ACQ73" s="637"/>
      <c r="ACR73" s="637"/>
      <c r="ACS73" s="637"/>
      <c r="ACT73" s="637"/>
      <c r="ACU73" s="637"/>
      <c r="ACV73" s="637"/>
      <c r="ACW73" s="637"/>
      <c r="ACX73" s="637"/>
      <c r="ACY73" s="637"/>
      <c r="ACZ73" s="637"/>
      <c r="ADA73" s="637"/>
      <c r="ADB73" s="637"/>
      <c r="ADC73" s="637"/>
      <c r="ADD73" s="637"/>
      <c r="ADE73" s="637"/>
      <c r="ADF73" s="637"/>
      <c r="ADG73" s="637"/>
      <c r="ADH73" s="637"/>
      <c r="ADI73" s="637"/>
      <c r="ADJ73" s="637"/>
      <c r="ADK73" s="637"/>
      <c r="ADL73" s="637"/>
      <c r="ADM73" s="637"/>
      <c r="ADN73" s="637"/>
      <c r="ADO73" s="637"/>
      <c r="ADP73" s="637"/>
      <c r="ADQ73" s="637"/>
      <c r="ADR73" s="637"/>
      <c r="ADS73" s="637"/>
      <c r="ADT73" s="637"/>
      <c r="ADU73" s="637"/>
      <c r="ADV73" s="637"/>
      <c r="ADW73" s="637"/>
      <c r="ADX73" s="637"/>
      <c r="ADY73" s="637"/>
      <c r="ADZ73" s="637"/>
      <c r="AEA73" s="637"/>
      <c r="AEB73" s="637"/>
      <c r="AEC73" s="637"/>
      <c r="AED73" s="637"/>
      <c r="AEE73" s="637"/>
      <c r="AEF73" s="637"/>
      <c r="AEG73" s="637"/>
      <c r="AEH73" s="637"/>
      <c r="AEI73" s="637"/>
      <c r="AEJ73" s="637"/>
      <c r="AEK73" s="637"/>
      <c r="AEL73" s="637"/>
      <c r="AEM73" s="637"/>
      <c r="AEN73" s="637"/>
      <c r="AEO73" s="637"/>
      <c r="AEP73" s="637"/>
      <c r="AEQ73" s="637"/>
      <c r="AER73" s="637"/>
      <c r="AES73" s="637"/>
      <c r="AET73" s="637"/>
      <c r="AEU73" s="637"/>
      <c r="AEV73" s="637"/>
      <c r="AEW73" s="637"/>
      <c r="AEX73" s="637"/>
      <c r="AEY73" s="637"/>
      <c r="AEZ73" s="637"/>
      <c r="AFA73" s="637"/>
      <c r="AFB73" s="637"/>
      <c r="AFC73" s="637"/>
      <c r="AFD73" s="637"/>
      <c r="AFE73" s="637"/>
      <c r="AFF73" s="637"/>
      <c r="AFG73" s="637"/>
      <c r="AFH73" s="637"/>
      <c r="AFI73" s="637"/>
      <c r="AFJ73" s="637"/>
      <c r="AFK73" s="637"/>
      <c r="AFL73" s="637"/>
      <c r="AFM73" s="637"/>
      <c r="AFN73" s="637"/>
      <c r="AFO73" s="637"/>
      <c r="AFP73" s="637"/>
      <c r="AFQ73" s="637"/>
      <c r="AFR73" s="637"/>
      <c r="AFS73" s="637"/>
      <c r="AFT73" s="637"/>
      <c r="AFU73" s="637"/>
      <c r="AFV73" s="637"/>
      <c r="AFW73" s="637"/>
      <c r="AFX73" s="637"/>
      <c r="AFY73" s="637"/>
      <c r="AFZ73" s="637"/>
      <c r="AGA73" s="637"/>
      <c r="AGB73" s="637"/>
      <c r="AGC73" s="637"/>
      <c r="AGD73" s="637"/>
      <c r="AGE73" s="637"/>
      <c r="AGF73" s="637"/>
      <c r="AGG73" s="637"/>
      <c r="AGH73" s="637"/>
      <c r="AGI73" s="637"/>
      <c r="AGJ73" s="637"/>
      <c r="AGK73" s="637"/>
      <c r="AGL73" s="637"/>
      <c r="AGM73" s="637"/>
      <c r="AGN73" s="637"/>
      <c r="AGO73" s="637"/>
      <c r="AGP73" s="637"/>
      <c r="AGQ73" s="637"/>
      <c r="AGR73" s="637"/>
      <c r="AGS73" s="637"/>
      <c r="AGT73" s="637"/>
      <c r="AGU73" s="637"/>
      <c r="AGV73" s="637"/>
      <c r="AGW73" s="637"/>
      <c r="AGX73" s="637"/>
      <c r="AGY73" s="637"/>
      <c r="AGZ73" s="637"/>
      <c r="AHA73" s="637"/>
      <c r="AHB73" s="637"/>
      <c r="AHC73" s="637"/>
      <c r="AHD73" s="637"/>
      <c r="AHE73" s="637"/>
      <c r="AHF73" s="637"/>
      <c r="AHG73" s="637"/>
      <c r="AHH73" s="637"/>
      <c r="AHI73" s="637"/>
      <c r="AHJ73" s="637"/>
      <c r="AHK73" s="637"/>
      <c r="AHL73" s="637"/>
      <c r="AHM73" s="637"/>
      <c r="AHN73" s="637"/>
      <c r="AHO73" s="637"/>
      <c r="AHP73" s="637"/>
      <c r="AHQ73" s="637"/>
      <c r="AHR73" s="637"/>
      <c r="AHS73" s="637"/>
      <c r="AHT73" s="637"/>
      <c r="AHU73" s="637"/>
      <c r="AHV73" s="637"/>
      <c r="AHW73" s="637"/>
      <c r="AHX73" s="637"/>
      <c r="AHY73" s="637"/>
      <c r="AHZ73" s="637"/>
      <c r="AIA73" s="637"/>
      <c r="AIB73" s="637"/>
      <c r="AIC73" s="637"/>
      <c r="AID73" s="637"/>
      <c r="AIE73" s="637"/>
      <c r="AIF73" s="637"/>
      <c r="AIG73" s="637"/>
      <c r="AIH73" s="637"/>
      <c r="AII73" s="637"/>
      <c r="AIJ73" s="637"/>
      <c r="AIK73" s="637"/>
      <c r="AIL73" s="637"/>
      <c r="AIM73" s="637"/>
      <c r="AIN73" s="637"/>
      <c r="AIO73" s="637"/>
      <c r="AIP73" s="637"/>
      <c r="AIQ73" s="637"/>
      <c r="AIR73" s="637"/>
      <c r="AIS73" s="637"/>
      <c r="AIT73" s="637"/>
      <c r="AIU73" s="637"/>
      <c r="AIV73" s="637"/>
      <c r="AIW73" s="637"/>
      <c r="AIX73" s="637"/>
      <c r="AIY73" s="637"/>
      <c r="AIZ73" s="637"/>
      <c r="AJA73" s="637"/>
      <c r="AJB73" s="637"/>
      <c r="AJC73" s="637"/>
      <c r="AJD73" s="637"/>
      <c r="AJE73" s="637"/>
      <c r="AJF73" s="637"/>
      <c r="AJG73" s="637"/>
      <c r="AJH73" s="637"/>
      <c r="AJI73" s="637"/>
      <c r="AJJ73" s="637"/>
      <c r="AJK73" s="637"/>
      <c r="AJL73" s="637"/>
      <c r="AJM73" s="637"/>
      <c r="AJN73" s="637"/>
      <c r="AJO73" s="637"/>
      <c r="AJP73" s="637"/>
      <c r="AJQ73" s="637"/>
      <c r="AJR73" s="637"/>
      <c r="AJS73" s="637"/>
      <c r="AJT73" s="637"/>
      <c r="AJU73" s="637"/>
      <c r="AJV73" s="637"/>
      <c r="AJW73" s="637"/>
      <c r="AJX73" s="637"/>
      <c r="AJY73" s="637"/>
      <c r="AJZ73" s="637"/>
      <c r="AKA73" s="637"/>
      <c r="AKB73" s="637"/>
      <c r="AKC73" s="637"/>
      <c r="AKD73" s="637"/>
      <c r="AKE73" s="637"/>
      <c r="AKF73" s="637"/>
      <c r="AKG73" s="637"/>
      <c r="AKH73" s="637"/>
      <c r="AKI73" s="637"/>
      <c r="AKJ73" s="637"/>
      <c r="AKK73" s="637"/>
      <c r="AKL73" s="637"/>
      <c r="AKM73" s="637"/>
      <c r="AKN73" s="637"/>
      <c r="AKO73" s="637"/>
      <c r="AKP73" s="637"/>
      <c r="AKQ73" s="637"/>
      <c r="AKR73" s="637"/>
      <c r="AKS73" s="637"/>
      <c r="AKT73" s="637"/>
      <c r="AKU73" s="637"/>
      <c r="AKV73" s="637"/>
      <c r="AKW73" s="637"/>
      <c r="AKX73" s="637"/>
      <c r="AKY73" s="637"/>
      <c r="AKZ73" s="637"/>
      <c r="ALA73" s="637"/>
      <c r="ALB73" s="637"/>
      <c r="ALC73" s="637"/>
      <c r="ALD73" s="637"/>
      <c r="ALE73" s="637"/>
      <c r="ALF73" s="637"/>
      <c r="ALG73" s="637"/>
      <c r="ALH73" s="637"/>
      <c r="ALI73" s="637"/>
      <c r="ALJ73" s="637"/>
      <c r="ALK73" s="637"/>
      <c r="ALL73" s="637"/>
      <c r="ALM73" s="637"/>
      <c r="ALN73" s="637"/>
      <c r="ALO73" s="637"/>
      <c r="ALP73" s="637"/>
      <c r="ALQ73" s="637"/>
      <c r="ALR73" s="637"/>
      <c r="ALS73" s="637"/>
      <c r="ALT73" s="637"/>
      <c r="ALU73" s="637"/>
      <c r="ALV73" s="637"/>
      <c r="ALW73" s="637"/>
      <c r="ALX73" s="637"/>
      <c r="ALY73" s="637"/>
      <c r="ALZ73" s="637"/>
      <c r="AMA73" s="637"/>
      <c r="AMB73" s="637"/>
      <c r="AMC73" s="637"/>
      <c r="AMD73" s="637"/>
      <c r="AME73" s="637"/>
      <c r="AMF73" s="637"/>
      <c r="AMG73" s="637"/>
      <c r="AMH73" s="637"/>
      <c r="AMI73" s="637"/>
      <c r="AMJ73" s="637"/>
    </row>
    <row r="74" spans="1:1024" s="638" customFormat="1" ht="12.75">
      <c r="A74" s="984"/>
      <c r="B74" s="985"/>
      <c r="C74" s="986"/>
      <c r="D74" s="981" t="s">
        <v>861</v>
      </c>
      <c r="E74" s="982">
        <v>267</v>
      </c>
      <c r="F74" s="982">
        <f t="shared" si="7"/>
        <v>285</v>
      </c>
      <c r="G74" s="983">
        <v>175</v>
      </c>
      <c r="H74" s="983">
        <v>52</v>
      </c>
      <c r="I74" s="983">
        <v>58</v>
      </c>
      <c r="J74" s="983"/>
      <c r="K74" s="983"/>
      <c r="L74" s="983"/>
      <c r="M74" s="983"/>
      <c r="N74" s="983"/>
      <c r="O74" s="983"/>
      <c r="P74" s="983"/>
      <c r="Q74" s="983"/>
      <c r="R74" s="984"/>
      <c r="S74" s="637"/>
      <c r="T74" s="637"/>
      <c r="U74" s="637"/>
      <c r="V74" s="637"/>
      <c r="W74" s="637"/>
      <c r="X74" s="637"/>
      <c r="Y74" s="637"/>
      <c r="Z74" s="637"/>
      <c r="AA74" s="637"/>
      <c r="AB74" s="637"/>
      <c r="AC74" s="637"/>
      <c r="AD74" s="637"/>
      <c r="AE74" s="637"/>
      <c r="AF74" s="637"/>
      <c r="AG74" s="637"/>
      <c r="AH74" s="637"/>
      <c r="AI74" s="637"/>
      <c r="AJ74" s="637"/>
      <c r="AK74" s="637"/>
      <c r="AL74" s="637"/>
      <c r="AM74" s="637"/>
      <c r="AN74" s="637"/>
      <c r="AO74" s="637"/>
      <c r="AP74" s="637"/>
      <c r="AQ74" s="637"/>
      <c r="AR74" s="637"/>
      <c r="AS74" s="637"/>
      <c r="AT74" s="637"/>
      <c r="AU74" s="637"/>
      <c r="AV74" s="637"/>
      <c r="AW74" s="637"/>
      <c r="AX74" s="637"/>
      <c r="AY74" s="637"/>
      <c r="AZ74" s="637"/>
      <c r="BA74" s="637"/>
      <c r="BB74" s="637"/>
      <c r="BC74" s="637"/>
      <c r="BD74" s="637"/>
      <c r="BE74" s="637"/>
      <c r="BF74" s="637"/>
      <c r="BG74" s="637"/>
      <c r="BH74" s="637"/>
      <c r="BI74" s="637"/>
      <c r="BJ74" s="637"/>
      <c r="BK74" s="637"/>
      <c r="BL74" s="637"/>
      <c r="BM74" s="637"/>
      <c r="BN74" s="637"/>
      <c r="BO74" s="637"/>
      <c r="BP74" s="637"/>
      <c r="BQ74" s="637"/>
      <c r="BR74" s="637"/>
      <c r="BS74" s="637"/>
      <c r="BT74" s="637"/>
      <c r="BU74" s="637"/>
      <c r="BV74" s="637"/>
      <c r="BW74" s="637"/>
      <c r="BX74" s="637"/>
      <c r="BY74" s="637"/>
      <c r="BZ74" s="637"/>
      <c r="CA74" s="637"/>
      <c r="CB74" s="637"/>
      <c r="CC74" s="637"/>
      <c r="CD74" s="637"/>
      <c r="CE74" s="637"/>
      <c r="CF74" s="637"/>
      <c r="CG74" s="637"/>
      <c r="CH74" s="637"/>
      <c r="CI74" s="637"/>
      <c r="CJ74" s="637"/>
      <c r="CK74" s="637"/>
      <c r="CL74" s="637"/>
      <c r="CM74" s="637"/>
      <c r="CN74" s="637"/>
      <c r="CO74" s="637"/>
      <c r="CP74" s="637"/>
      <c r="CQ74" s="637"/>
      <c r="CR74" s="637"/>
      <c r="CS74" s="637"/>
      <c r="CT74" s="637"/>
      <c r="CU74" s="637"/>
      <c r="CV74" s="637"/>
      <c r="CW74" s="637"/>
      <c r="CX74" s="637"/>
      <c r="CY74" s="637"/>
      <c r="CZ74" s="637"/>
      <c r="DA74" s="637"/>
      <c r="DB74" s="637"/>
      <c r="DC74" s="637"/>
      <c r="DD74" s="637"/>
      <c r="DE74" s="637"/>
      <c r="DF74" s="637"/>
      <c r="DG74" s="637"/>
      <c r="DH74" s="637"/>
      <c r="DI74" s="637"/>
      <c r="DJ74" s="637"/>
      <c r="DK74" s="637"/>
      <c r="DL74" s="637"/>
      <c r="DM74" s="637"/>
      <c r="DN74" s="637"/>
      <c r="DO74" s="637"/>
      <c r="DP74" s="637"/>
      <c r="DQ74" s="637"/>
      <c r="DR74" s="637"/>
      <c r="DS74" s="637"/>
      <c r="DT74" s="637"/>
      <c r="DU74" s="637"/>
      <c r="DV74" s="637"/>
      <c r="DW74" s="637"/>
      <c r="DX74" s="637"/>
      <c r="DY74" s="637"/>
      <c r="DZ74" s="637"/>
      <c r="EA74" s="637"/>
      <c r="EB74" s="637"/>
      <c r="EC74" s="637"/>
      <c r="ED74" s="637"/>
      <c r="EE74" s="637"/>
      <c r="EF74" s="637"/>
      <c r="EG74" s="637"/>
      <c r="EH74" s="637"/>
      <c r="EI74" s="637"/>
      <c r="EJ74" s="637"/>
      <c r="EK74" s="637"/>
      <c r="EL74" s="637"/>
      <c r="EM74" s="637"/>
      <c r="EN74" s="637"/>
      <c r="EO74" s="637"/>
      <c r="EP74" s="637"/>
      <c r="EQ74" s="637"/>
      <c r="ER74" s="637"/>
      <c r="ES74" s="637"/>
      <c r="ET74" s="637"/>
      <c r="EU74" s="637"/>
      <c r="EV74" s="637"/>
      <c r="EW74" s="637"/>
      <c r="EX74" s="637"/>
      <c r="EY74" s="637"/>
      <c r="EZ74" s="637"/>
      <c r="FA74" s="637"/>
      <c r="FB74" s="637"/>
      <c r="FC74" s="637"/>
      <c r="FD74" s="637"/>
      <c r="FE74" s="637"/>
      <c r="FF74" s="637"/>
      <c r="FG74" s="637"/>
      <c r="FH74" s="637"/>
      <c r="FI74" s="637"/>
      <c r="FJ74" s="637"/>
      <c r="FK74" s="637"/>
      <c r="FL74" s="637"/>
      <c r="FM74" s="637"/>
      <c r="FN74" s="637"/>
      <c r="FO74" s="637"/>
      <c r="FP74" s="637"/>
      <c r="FQ74" s="637"/>
      <c r="FR74" s="637"/>
      <c r="FS74" s="637"/>
      <c r="FT74" s="637"/>
      <c r="FU74" s="637"/>
      <c r="FV74" s="637"/>
      <c r="FW74" s="637"/>
      <c r="FX74" s="637"/>
      <c r="FY74" s="637"/>
      <c r="FZ74" s="637"/>
      <c r="GA74" s="637"/>
      <c r="GB74" s="637"/>
      <c r="GC74" s="637"/>
      <c r="GD74" s="637"/>
      <c r="GE74" s="637"/>
      <c r="GF74" s="637"/>
      <c r="GG74" s="637"/>
      <c r="GH74" s="637"/>
      <c r="GI74" s="637"/>
      <c r="GJ74" s="637"/>
      <c r="GK74" s="637"/>
      <c r="GL74" s="637"/>
      <c r="GM74" s="637"/>
      <c r="GN74" s="637"/>
      <c r="GO74" s="637"/>
      <c r="GP74" s="637"/>
      <c r="GQ74" s="637"/>
      <c r="GR74" s="637"/>
      <c r="GS74" s="637"/>
      <c r="GT74" s="637"/>
      <c r="GU74" s="637"/>
      <c r="GV74" s="637"/>
      <c r="GW74" s="637"/>
      <c r="GX74" s="637"/>
      <c r="GY74" s="637"/>
      <c r="GZ74" s="637"/>
      <c r="HA74" s="637"/>
      <c r="HB74" s="637"/>
      <c r="HC74" s="637"/>
      <c r="HD74" s="637"/>
      <c r="HE74" s="637"/>
      <c r="HF74" s="637"/>
      <c r="HG74" s="637"/>
      <c r="HH74" s="637"/>
      <c r="HI74" s="637"/>
      <c r="HJ74" s="637"/>
      <c r="HK74" s="637"/>
      <c r="HL74" s="637"/>
      <c r="HM74" s="637"/>
      <c r="HN74" s="637"/>
      <c r="HO74" s="637"/>
      <c r="HP74" s="637"/>
      <c r="HQ74" s="637"/>
      <c r="HR74" s="637"/>
      <c r="HS74" s="637"/>
      <c r="HT74" s="637"/>
      <c r="HU74" s="637"/>
      <c r="HV74" s="637"/>
      <c r="HW74" s="637"/>
      <c r="HX74" s="637"/>
      <c r="HY74" s="637"/>
      <c r="HZ74" s="637"/>
      <c r="IA74" s="637"/>
      <c r="IB74" s="637"/>
      <c r="IC74" s="637"/>
      <c r="ID74" s="637"/>
      <c r="IE74" s="637"/>
      <c r="IF74" s="637"/>
      <c r="IG74" s="637"/>
      <c r="IH74" s="637"/>
      <c r="II74" s="637"/>
      <c r="IJ74" s="637"/>
      <c r="IK74" s="637"/>
      <c r="IL74" s="637"/>
      <c r="IM74" s="637"/>
      <c r="IN74" s="637"/>
      <c r="IO74" s="637"/>
      <c r="IP74" s="637"/>
      <c r="IQ74" s="637"/>
      <c r="IR74" s="637"/>
      <c r="IS74" s="637"/>
      <c r="IT74" s="637"/>
      <c r="IU74" s="637"/>
      <c r="IV74" s="637"/>
      <c r="IW74" s="637"/>
      <c r="IX74" s="637"/>
      <c r="IY74" s="637"/>
      <c r="IZ74" s="637"/>
      <c r="JA74" s="637"/>
      <c r="JB74" s="637"/>
      <c r="JC74" s="637"/>
      <c r="JD74" s="637"/>
      <c r="JE74" s="637"/>
      <c r="JF74" s="637"/>
      <c r="JG74" s="637"/>
      <c r="JH74" s="637"/>
      <c r="JI74" s="637"/>
      <c r="JJ74" s="637"/>
      <c r="JK74" s="637"/>
      <c r="JL74" s="637"/>
      <c r="JM74" s="637"/>
      <c r="JN74" s="637"/>
      <c r="JO74" s="637"/>
      <c r="JP74" s="637"/>
      <c r="JQ74" s="637"/>
      <c r="JR74" s="637"/>
      <c r="JS74" s="637"/>
      <c r="JT74" s="637"/>
      <c r="JU74" s="637"/>
      <c r="JV74" s="637"/>
      <c r="JW74" s="637"/>
      <c r="JX74" s="637"/>
      <c r="JY74" s="637"/>
      <c r="JZ74" s="637"/>
      <c r="KA74" s="637"/>
      <c r="KB74" s="637"/>
      <c r="KC74" s="637"/>
      <c r="KD74" s="637"/>
      <c r="KE74" s="637"/>
      <c r="KF74" s="637"/>
      <c r="KG74" s="637"/>
      <c r="KH74" s="637"/>
      <c r="KI74" s="637"/>
      <c r="KJ74" s="637"/>
      <c r="KK74" s="637"/>
      <c r="KL74" s="637"/>
      <c r="KM74" s="637"/>
      <c r="KN74" s="637"/>
      <c r="KO74" s="637"/>
      <c r="KP74" s="637"/>
      <c r="KQ74" s="637"/>
      <c r="KR74" s="637"/>
      <c r="KS74" s="637"/>
      <c r="KT74" s="637"/>
      <c r="KU74" s="637"/>
      <c r="KV74" s="637"/>
      <c r="KW74" s="637"/>
      <c r="KX74" s="637"/>
      <c r="KY74" s="637"/>
      <c r="KZ74" s="637"/>
      <c r="LA74" s="637"/>
      <c r="LB74" s="637"/>
      <c r="LC74" s="637"/>
      <c r="LD74" s="637"/>
      <c r="LE74" s="637"/>
      <c r="LF74" s="637"/>
      <c r="LG74" s="637"/>
      <c r="LH74" s="637"/>
      <c r="LI74" s="637"/>
      <c r="LJ74" s="637"/>
      <c r="LK74" s="637"/>
      <c r="LL74" s="637"/>
      <c r="LM74" s="637"/>
      <c r="LN74" s="637"/>
      <c r="LO74" s="637"/>
      <c r="LP74" s="637"/>
      <c r="LQ74" s="637"/>
      <c r="LR74" s="637"/>
      <c r="LS74" s="637"/>
      <c r="LT74" s="637"/>
      <c r="LU74" s="637"/>
      <c r="LV74" s="637"/>
      <c r="LW74" s="637"/>
      <c r="LX74" s="637"/>
      <c r="LY74" s="637"/>
      <c r="LZ74" s="637"/>
      <c r="MA74" s="637"/>
      <c r="MB74" s="637"/>
      <c r="MC74" s="637"/>
      <c r="MD74" s="637"/>
      <c r="ME74" s="637"/>
      <c r="MF74" s="637"/>
      <c r="MG74" s="637"/>
      <c r="MH74" s="637"/>
      <c r="MI74" s="637"/>
      <c r="MJ74" s="637"/>
      <c r="MK74" s="637"/>
      <c r="ML74" s="637"/>
      <c r="MM74" s="637"/>
      <c r="MN74" s="637"/>
      <c r="MO74" s="637"/>
      <c r="MP74" s="637"/>
      <c r="MQ74" s="637"/>
      <c r="MR74" s="637"/>
      <c r="MS74" s="637"/>
      <c r="MT74" s="637"/>
      <c r="MU74" s="637"/>
      <c r="MV74" s="637"/>
      <c r="MW74" s="637"/>
      <c r="MX74" s="637"/>
      <c r="MY74" s="637"/>
      <c r="MZ74" s="637"/>
      <c r="NA74" s="637"/>
      <c r="NB74" s="637"/>
      <c r="NC74" s="637"/>
      <c r="ND74" s="637"/>
      <c r="NE74" s="637"/>
      <c r="NF74" s="637"/>
      <c r="NG74" s="637"/>
      <c r="NH74" s="637"/>
      <c r="NI74" s="637"/>
      <c r="NJ74" s="637"/>
      <c r="NK74" s="637"/>
      <c r="NL74" s="637"/>
      <c r="NM74" s="637"/>
      <c r="NN74" s="637"/>
      <c r="NO74" s="637"/>
      <c r="NP74" s="637"/>
      <c r="NQ74" s="637"/>
      <c r="NR74" s="637"/>
      <c r="NS74" s="637"/>
      <c r="NT74" s="637"/>
      <c r="NU74" s="637"/>
      <c r="NV74" s="637"/>
      <c r="NW74" s="637"/>
      <c r="NX74" s="637"/>
      <c r="NY74" s="637"/>
      <c r="NZ74" s="637"/>
      <c r="OA74" s="637"/>
      <c r="OB74" s="637"/>
      <c r="OC74" s="637"/>
      <c r="OD74" s="637"/>
      <c r="OE74" s="637"/>
      <c r="OF74" s="637"/>
      <c r="OG74" s="637"/>
      <c r="OH74" s="637"/>
      <c r="OI74" s="637"/>
      <c r="OJ74" s="637"/>
      <c r="OK74" s="637"/>
      <c r="OL74" s="637"/>
      <c r="OM74" s="637"/>
      <c r="ON74" s="637"/>
      <c r="OO74" s="637"/>
      <c r="OP74" s="637"/>
      <c r="OQ74" s="637"/>
      <c r="OR74" s="637"/>
      <c r="OS74" s="637"/>
      <c r="OT74" s="637"/>
      <c r="OU74" s="637"/>
      <c r="OV74" s="637"/>
      <c r="OW74" s="637"/>
      <c r="OX74" s="637"/>
      <c r="OY74" s="637"/>
      <c r="OZ74" s="637"/>
      <c r="PA74" s="637"/>
      <c r="PB74" s="637"/>
      <c r="PC74" s="637"/>
      <c r="PD74" s="637"/>
      <c r="PE74" s="637"/>
      <c r="PF74" s="637"/>
      <c r="PG74" s="637"/>
      <c r="PH74" s="637"/>
      <c r="PI74" s="637"/>
      <c r="PJ74" s="637"/>
      <c r="PK74" s="637"/>
      <c r="PL74" s="637"/>
      <c r="PM74" s="637"/>
      <c r="PN74" s="637"/>
      <c r="PO74" s="637"/>
      <c r="PP74" s="637"/>
      <c r="PQ74" s="637"/>
      <c r="PR74" s="637"/>
      <c r="PS74" s="637"/>
      <c r="PT74" s="637"/>
      <c r="PU74" s="637"/>
      <c r="PV74" s="637"/>
      <c r="PW74" s="637"/>
      <c r="PX74" s="637"/>
      <c r="PY74" s="637"/>
      <c r="PZ74" s="637"/>
      <c r="QA74" s="637"/>
      <c r="QB74" s="637"/>
      <c r="QC74" s="637"/>
      <c r="QD74" s="637"/>
      <c r="QE74" s="637"/>
      <c r="QF74" s="637"/>
      <c r="QG74" s="637"/>
      <c r="QH74" s="637"/>
      <c r="QI74" s="637"/>
      <c r="QJ74" s="637"/>
      <c r="QK74" s="637"/>
      <c r="QL74" s="637"/>
      <c r="QM74" s="637"/>
      <c r="QN74" s="637"/>
      <c r="QO74" s="637"/>
      <c r="QP74" s="637"/>
      <c r="QQ74" s="637"/>
      <c r="QR74" s="637"/>
      <c r="QS74" s="637"/>
      <c r="QT74" s="637"/>
      <c r="QU74" s="637"/>
      <c r="QV74" s="637"/>
      <c r="QW74" s="637"/>
      <c r="QX74" s="637"/>
      <c r="QY74" s="637"/>
      <c r="QZ74" s="637"/>
      <c r="RA74" s="637"/>
      <c r="RB74" s="637"/>
      <c r="RC74" s="637"/>
      <c r="RD74" s="637"/>
      <c r="RE74" s="637"/>
      <c r="RF74" s="637"/>
      <c r="RG74" s="637"/>
      <c r="RH74" s="637"/>
      <c r="RI74" s="637"/>
      <c r="RJ74" s="637"/>
      <c r="RK74" s="637"/>
      <c r="RL74" s="637"/>
      <c r="RM74" s="637"/>
      <c r="RN74" s="637"/>
      <c r="RO74" s="637"/>
      <c r="RP74" s="637"/>
      <c r="RQ74" s="637"/>
      <c r="RR74" s="637"/>
      <c r="RS74" s="637"/>
      <c r="RT74" s="637"/>
      <c r="RU74" s="637"/>
      <c r="RV74" s="637"/>
      <c r="RW74" s="637"/>
      <c r="RX74" s="637"/>
      <c r="RY74" s="637"/>
      <c r="RZ74" s="637"/>
      <c r="SA74" s="637"/>
      <c r="SB74" s="637"/>
      <c r="SC74" s="637"/>
      <c r="SD74" s="637"/>
      <c r="SE74" s="637"/>
      <c r="SF74" s="637"/>
      <c r="SG74" s="637"/>
      <c r="SH74" s="637"/>
      <c r="SI74" s="637"/>
      <c r="SJ74" s="637"/>
      <c r="SK74" s="637"/>
      <c r="SL74" s="637"/>
      <c r="SM74" s="637"/>
      <c r="SN74" s="637"/>
      <c r="SO74" s="637"/>
      <c r="SP74" s="637"/>
      <c r="SQ74" s="637"/>
      <c r="SR74" s="637"/>
      <c r="SS74" s="637"/>
      <c r="ST74" s="637"/>
      <c r="SU74" s="637"/>
      <c r="SV74" s="637"/>
      <c r="SW74" s="637"/>
      <c r="SX74" s="637"/>
      <c r="SY74" s="637"/>
      <c r="SZ74" s="637"/>
      <c r="TA74" s="637"/>
      <c r="TB74" s="637"/>
      <c r="TC74" s="637"/>
      <c r="TD74" s="637"/>
      <c r="TE74" s="637"/>
      <c r="TF74" s="637"/>
      <c r="TG74" s="637"/>
      <c r="TH74" s="637"/>
      <c r="TI74" s="637"/>
      <c r="TJ74" s="637"/>
      <c r="TK74" s="637"/>
      <c r="TL74" s="637"/>
      <c r="TM74" s="637"/>
      <c r="TN74" s="637"/>
      <c r="TO74" s="637"/>
      <c r="TP74" s="637"/>
      <c r="TQ74" s="637"/>
      <c r="TR74" s="637"/>
      <c r="TS74" s="637"/>
      <c r="TT74" s="637"/>
      <c r="TU74" s="637"/>
      <c r="TV74" s="637"/>
      <c r="TW74" s="637"/>
      <c r="TX74" s="637"/>
      <c r="TY74" s="637"/>
      <c r="TZ74" s="637"/>
      <c r="UA74" s="637"/>
      <c r="UB74" s="637"/>
      <c r="UC74" s="637"/>
      <c r="UD74" s="637"/>
      <c r="UE74" s="637"/>
      <c r="UF74" s="637"/>
      <c r="UG74" s="637"/>
      <c r="UH74" s="637"/>
      <c r="UI74" s="637"/>
      <c r="UJ74" s="637"/>
      <c r="UK74" s="637"/>
      <c r="UL74" s="637"/>
      <c r="UM74" s="637"/>
      <c r="UN74" s="637"/>
      <c r="UO74" s="637"/>
      <c r="UP74" s="637"/>
      <c r="UQ74" s="637"/>
      <c r="UR74" s="637"/>
      <c r="US74" s="637"/>
      <c r="UT74" s="637"/>
      <c r="UU74" s="637"/>
      <c r="UV74" s="637"/>
      <c r="UW74" s="637"/>
      <c r="UX74" s="637"/>
      <c r="UY74" s="637"/>
      <c r="UZ74" s="637"/>
      <c r="VA74" s="637"/>
      <c r="VB74" s="637"/>
      <c r="VC74" s="637"/>
      <c r="VD74" s="637"/>
      <c r="VE74" s="637"/>
      <c r="VF74" s="637"/>
      <c r="VG74" s="637"/>
      <c r="VH74" s="637"/>
      <c r="VI74" s="637"/>
      <c r="VJ74" s="637"/>
      <c r="VK74" s="637"/>
      <c r="VL74" s="637"/>
      <c r="VM74" s="637"/>
      <c r="VN74" s="637"/>
      <c r="VO74" s="637"/>
      <c r="VP74" s="637"/>
      <c r="VQ74" s="637"/>
      <c r="VR74" s="637"/>
      <c r="VS74" s="637"/>
      <c r="VT74" s="637"/>
      <c r="VU74" s="637"/>
      <c r="VV74" s="637"/>
      <c r="VW74" s="637"/>
      <c r="VX74" s="637"/>
      <c r="VY74" s="637"/>
      <c r="VZ74" s="637"/>
      <c r="WA74" s="637"/>
      <c r="WB74" s="637"/>
      <c r="WC74" s="637"/>
      <c r="WD74" s="637"/>
      <c r="WE74" s="637"/>
      <c r="WF74" s="637"/>
      <c r="WG74" s="637"/>
      <c r="WH74" s="637"/>
      <c r="WI74" s="637"/>
      <c r="WJ74" s="637"/>
      <c r="WK74" s="637"/>
      <c r="WL74" s="637"/>
      <c r="WM74" s="637"/>
      <c r="WN74" s="637"/>
      <c r="WO74" s="637"/>
      <c r="WP74" s="637"/>
      <c r="WQ74" s="637"/>
      <c r="WR74" s="637"/>
      <c r="WS74" s="637"/>
      <c r="WT74" s="637"/>
      <c r="WU74" s="637"/>
      <c r="WV74" s="637"/>
      <c r="WW74" s="637"/>
      <c r="WX74" s="637"/>
      <c r="WY74" s="637"/>
      <c r="WZ74" s="637"/>
      <c r="XA74" s="637"/>
      <c r="XB74" s="637"/>
      <c r="XC74" s="637"/>
      <c r="XD74" s="637"/>
      <c r="XE74" s="637"/>
      <c r="XF74" s="637"/>
      <c r="XG74" s="637"/>
      <c r="XH74" s="637"/>
      <c r="XI74" s="637"/>
      <c r="XJ74" s="637"/>
      <c r="XK74" s="637"/>
      <c r="XL74" s="637"/>
      <c r="XM74" s="637"/>
      <c r="XN74" s="637"/>
      <c r="XO74" s="637"/>
      <c r="XP74" s="637"/>
      <c r="XQ74" s="637"/>
      <c r="XR74" s="637"/>
      <c r="XS74" s="637"/>
      <c r="XT74" s="637"/>
      <c r="XU74" s="637"/>
      <c r="XV74" s="637"/>
      <c r="XW74" s="637"/>
      <c r="XX74" s="637"/>
      <c r="XY74" s="637"/>
      <c r="XZ74" s="637"/>
      <c r="YA74" s="637"/>
      <c r="YB74" s="637"/>
      <c r="YC74" s="637"/>
      <c r="YD74" s="637"/>
      <c r="YE74" s="637"/>
      <c r="YF74" s="637"/>
      <c r="YG74" s="637"/>
      <c r="YH74" s="637"/>
      <c r="YI74" s="637"/>
      <c r="YJ74" s="637"/>
      <c r="YK74" s="637"/>
      <c r="YL74" s="637"/>
      <c r="YM74" s="637"/>
      <c r="YN74" s="637"/>
      <c r="YO74" s="637"/>
      <c r="YP74" s="637"/>
      <c r="YQ74" s="637"/>
      <c r="YR74" s="637"/>
      <c r="YS74" s="637"/>
      <c r="YT74" s="637"/>
      <c r="YU74" s="637"/>
      <c r="YV74" s="637"/>
      <c r="YW74" s="637"/>
      <c r="YX74" s="637"/>
      <c r="YY74" s="637"/>
      <c r="YZ74" s="637"/>
      <c r="ZA74" s="637"/>
      <c r="ZB74" s="637"/>
      <c r="ZC74" s="637"/>
      <c r="ZD74" s="637"/>
      <c r="ZE74" s="637"/>
      <c r="ZF74" s="637"/>
      <c r="ZG74" s="637"/>
      <c r="ZH74" s="637"/>
      <c r="ZI74" s="637"/>
      <c r="ZJ74" s="637"/>
      <c r="ZK74" s="637"/>
      <c r="ZL74" s="637"/>
      <c r="ZM74" s="637"/>
      <c r="ZN74" s="637"/>
      <c r="ZO74" s="637"/>
      <c r="ZP74" s="637"/>
      <c r="ZQ74" s="637"/>
      <c r="ZR74" s="637"/>
      <c r="ZS74" s="637"/>
      <c r="ZT74" s="637"/>
      <c r="ZU74" s="637"/>
      <c r="ZV74" s="637"/>
      <c r="ZW74" s="637"/>
      <c r="ZX74" s="637"/>
      <c r="ZY74" s="637"/>
      <c r="ZZ74" s="637"/>
      <c r="AAA74" s="637"/>
      <c r="AAB74" s="637"/>
      <c r="AAC74" s="637"/>
      <c r="AAD74" s="637"/>
      <c r="AAE74" s="637"/>
      <c r="AAF74" s="637"/>
      <c r="AAG74" s="637"/>
      <c r="AAH74" s="637"/>
      <c r="AAI74" s="637"/>
      <c r="AAJ74" s="637"/>
      <c r="AAK74" s="637"/>
      <c r="AAL74" s="637"/>
      <c r="AAM74" s="637"/>
      <c r="AAN74" s="637"/>
      <c r="AAO74" s="637"/>
      <c r="AAP74" s="637"/>
      <c r="AAQ74" s="637"/>
      <c r="AAR74" s="637"/>
      <c r="AAS74" s="637"/>
      <c r="AAT74" s="637"/>
      <c r="AAU74" s="637"/>
      <c r="AAV74" s="637"/>
      <c r="AAW74" s="637"/>
      <c r="AAX74" s="637"/>
      <c r="AAY74" s="637"/>
      <c r="AAZ74" s="637"/>
      <c r="ABA74" s="637"/>
      <c r="ABB74" s="637"/>
      <c r="ABC74" s="637"/>
      <c r="ABD74" s="637"/>
      <c r="ABE74" s="637"/>
      <c r="ABF74" s="637"/>
      <c r="ABG74" s="637"/>
      <c r="ABH74" s="637"/>
      <c r="ABI74" s="637"/>
      <c r="ABJ74" s="637"/>
      <c r="ABK74" s="637"/>
      <c r="ABL74" s="637"/>
      <c r="ABM74" s="637"/>
      <c r="ABN74" s="637"/>
      <c r="ABO74" s="637"/>
      <c r="ABP74" s="637"/>
      <c r="ABQ74" s="637"/>
      <c r="ABR74" s="637"/>
      <c r="ABS74" s="637"/>
      <c r="ABT74" s="637"/>
      <c r="ABU74" s="637"/>
      <c r="ABV74" s="637"/>
      <c r="ABW74" s="637"/>
      <c r="ABX74" s="637"/>
      <c r="ABY74" s="637"/>
      <c r="ABZ74" s="637"/>
      <c r="ACA74" s="637"/>
      <c r="ACB74" s="637"/>
      <c r="ACC74" s="637"/>
      <c r="ACD74" s="637"/>
      <c r="ACE74" s="637"/>
      <c r="ACF74" s="637"/>
      <c r="ACG74" s="637"/>
      <c r="ACH74" s="637"/>
      <c r="ACI74" s="637"/>
      <c r="ACJ74" s="637"/>
      <c r="ACK74" s="637"/>
      <c r="ACL74" s="637"/>
      <c r="ACM74" s="637"/>
      <c r="ACN74" s="637"/>
      <c r="ACO74" s="637"/>
      <c r="ACP74" s="637"/>
      <c r="ACQ74" s="637"/>
      <c r="ACR74" s="637"/>
      <c r="ACS74" s="637"/>
      <c r="ACT74" s="637"/>
      <c r="ACU74" s="637"/>
      <c r="ACV74" s="637"/>
      <c r="ACW74" s="637"/>
      <c r="ACX74" s="637"/>
      <c r="ACY74" s="637"/>
      <c r="ACZ74" s="637"/>
      <c r="ADA74" s="637"/>
      <c r="ADB74" s="637"/>
      <c r="ADC74" s="637"/>
      <c r="ADD74" s="637"/>
      <c r="ADE74" s="637"/>
      <c r="ADF74" s="637"/>
      <c r="ADG74" s="637"/>
      <c r="ADH74" s="637"/>
      <c r="ADI74" s="637"/>
      <c r="ADJ74" s="637"/>
      <c r="ADK74" s="637"/>
      <c r="ADL74" s="637"/>
      <c r="ADM74" s="637"/>
      <c r="ADN74" s="637"/>
      <c r="ADO74" s="637"/>
      <c r="ADP74" s="637"/>
      <c r="ADQ74" s="637"/>
      <c r="ADR74" s="637"/>
      <c r="ADS74" s="637"/>
      <c r="ADT74" s="637"/>
      <c r="ADU74" s="637"/>
      <c r="ADV74" s="637"/>
      <c r="ADW74" s="637"/>
      <c r="ADX74" s="637"/>
      <c r="ADY74" s="637"/>
      <c r="ADZ74" s="637"/>
      <c r="AEA74" s="637"/>
      <c r="AEB74" s="637"/>
      <c r="AEC74" s="637"/>
      <c r="AED74" s="637"/>
      <c r="AEE74" s="637"/>
      <c r="AEF74" s="637"/>
      <c r="AEG74" s="637"/>
      <c r="AEH74" s="637"/>
      <c r="AEI74" s="637"/>
      <c r="AEJ74" s="637"/>
      <c r="AEK74" s="637"/>
      <c r="AEL74" s="637"/>
      <c r="AEM74" s="637"/>
      <c r="AEN74" s="637"/>
      <c r="AEO74" s="637"/>
      <c r="AEP74" s="637"/>
      <c r="AEQ74" s="637"/>
      <c r="AER74" s="637"/>
      <c r="AES74" s="637"/>
      <c r="AET74" s="637"/>
      <c r="AEU74" s="637"/>
      <c r="AEV74" s="637"/>
      <c r="AEW74" s="637"/>
      <c r="AEX74" s="637"/>
      <c r="AEY74" s="637"/>
      <c r="AEZ74" s="637"/>
      <c r="AFA74" s="637"/>
      <c r="AFB74" s="637"/>
      <c r="AFC74" s="637"/>
      <c r="AFD74" s="637"/>
      <c r="AFE74" s="637"/>
      <c r="AFF74" s="637"/>
      <c r="AFG74" s="637"/>
      <c r="AFH74" s="637"/>
      <c r="AFI74" s="637"/>
      <c r="AFJ74" s="637"/>
      <c r="AFK74" s="637"/>
      <c r="AFL74" s="637"/>
      <c r="AFM74" s="637"/>
      <c r="AFN74" s="637"/>
      <c r="AFO74" s="637"/>
      <c r="AFP74" s="637"/>
      <c r="AFQ74" s="637"/>
      <c r="AFR74" s="637"/>
      <c r="AFS74" s="637"/>
      <c r="AFT74" s="637"/>
      <c r="AFU74" s="637"/>
      <c r="AFV74" s="637"/>
      <c r="AFW74" s="637"/>
      <c r="AFX74" s="637"/>
      <c r="AFY74" s="637"/>
      <c r="AFZ74" s="637"/>
      <c r="AGA74" s="637"/>
      <c r="AGB74" s="637"/>
      <c r="AGC74" s="637"/>
      <c r="AGD74" s="637"/>
      <c r="AGE74" s="637"/>
      <c r="AGF74" s="637"/>
      <c r="AGG74" s="637"/>
      <c r="AGH74" s="637"/>
      <c r="AGI74" s="637"/>
      <c r="AGJ74" s="637"/>
      <c r="AGK74" s="637"/>
      <c r="AGL74" s="637"/>
      <c r="AGM74" s="637"/>
      <c r="AGN74" s="637"/>
      <c r="AGO74" s="637"/>
      <c r="AGP74" s="637"/>
      <c r="AGQ74" s="637"/>
      <c r="AGR74" s="637"/>
      <c r="AGS74" s="637"/>
      <c r="AGT74" s="637"/>
      <c r="AGU74" s="637"/>
      <c r="AGV74" s="637"/>
      <c r="AGW74" s="637"/>
      <c r="AGX74" s="637"/>
      <c r="AGY74" s="637"/>
      <c r="AGZ74" s="637"/>
      <c r="AHA74" s="637"/>
      <c r="AHB74" s="637"/>
      <c r="AHC74" s="637"/>
      <c r="AHD74" s="637"/>
      <c r="AHE74" s="637"/>
      <c r="AHF74" s="637"/>
      <c r="AHG74" s="637"/>
      <c r="AHH74" s="637"/>
      <c r="AHI74" s="637"/>
      <c r="AHJ74" s="637"/>
      <c r="AHK74" s="637"/>
      <c r="AHL74" s="637"/>
      <c r="AHM74" s="637"/>
      <c r="AHN74" s="637"/>
      <c r="AHO74" s="637"/>
      <c r="AHP74" s="637"/>
      <c r="AHQ74" s="637"/>
      <c r="AHR74" s="637"/>
      <c r="AHS74" s="637"/>
      <c r="AHT74" s="637"/>
      <c r="AHU74" s="637"/>
      <c r="AHV74" s="637"/>
      <c r="AHW74" s="637"/>
      <c r="AHX74" s="637"/>
      <c r="AHY74" s="637"/>
      <c r="AHZ74" s="637"/>
      <c r="AIA74" s="637"/>
      <c r="AIB74" s="637"/>
      <c r="AIC74" s="637"/>
      <c r="AID74" s="637"/>
      <c r="AIE74" s="637"/>
      <c r="AIF74" s="637"/>
      <c r="AIG74" s="637"/>
      <c r="AIH74" s="637"/>
      <c r="AII74" s="637"/>
      <c r="AIJ74" s="637"/>
      <c r="AIK74" s="637"/>
      <c r="AIL74" s="637"/>
      <c r="AIM74" s="637"/>
      <c r="AIN74" s="637"/>
      <c r="AIO74" s="637"/>
      <c r="AIP74" s="637"/>
      <c r="AIQ74" s="637"/>
      <c r="AIR74" s="637"/>
      <c r="AIS74" s="637"/>
      <c r="AIT74" s="637"/>
      <c r="AIU74" s="637"/>
      <c r="AIV74" s="637"/>
      <c r="AIW74" s="637"/>
      <c r="AIX74" s="637"/>
      <c r="AIY74" s="637"/>
      <c r="AIZ74" s="637"/>
      <c r="AJA74" s="637"/>
      <c r="AJB74" s="637"/>
      <c r="AJC74" s="637"/>
      <c r="AJD74" s="637"/>
      <c r="AJE74" s="637"/>
      <c r="AJF74" s="637"/>
      <c r="AJG74" s="637"/>
      <c r="AJH74" s="637"/>
      <c r="AJI74" s="637"/>
      <c r="AJJ74" s="637"/>
      <c r="AJK74" s="637"/>
      <c r="AJL74" s="637"/>
      <c r="AJM74" s="637"/>
      <c r="AJN74" s="637"/>
      <c r="AJO74" s="637"/>
      <c r="AJP74" s="637"/>
      <c r="AJQ74" s="637"/>
      <c r="AJR74" s="637"/>
      <c r="AJS74" s="637"/>
      <c r="AJT74" s="637"/>
      <c r="AJU74" s="637"/>
      <c r="AJV74" s="637"/>
      <c r="AJW74" s="637"/>
      <c r="AJX74" s="637"/>
      <c r="AJY74" s="637"/>
      <c r="AJZ74" s="637"/>
      <c r="AKA74" s="637"/>
      <c r="AKB74" s="637"/>
      <c r="AKC74" s="637"/>
      <c r="AKD74" s="637"/>
      <c r="AKE74" s="637"/>
      <c r="AKF74" s="637"/>
      <c r="AKG74" s="637"/>
      <c r="AKH74" s="637"/>
      <c r="AKI74" s="637"/>
      <c r="AKJ74" s="637"/>
      <c r="AKK74" s="637"/>
      <c r="AKL74" s="637"/>
      <c r="AKM74" s="637"/>
      <c r="AKN74" s="637"/>
      <c r="AKO74" s="637"/>
      <c r="AKP74" s="637"/>
      <c r="AKQ74" s="637"/>
      <c r="AKR74" s="637"/>
      <c r="AKS74" s="637"/>
      <c r="AKT74" s="637"/>
      <c r="AKU74" s="637"/>
      <c r="AKV74" s="637"/>
      <c r="AKW74" s="637"/>
      <c r="AKX74" s="637"/>
      <c r="AKY74" s="637"/>
      <c r="AKZ74" s="637"/>
      <c r="ALA74" s="637"/>
      <c r="ALB74" s="637"/>
      <c r="ALC74" s="637"/>
      <c r="ALD74" s="637"/>
      <c r="ALE74" s="637"/>
      <c r="ALF74" s="637"/>
      <c r="ALG74" s="637"/>
      <c r="ALH74" s="637"/>
      <c r="ALI74" s="637"/>
      <c r="ALJ74" s="637"/>
      <c r="ALK74" s="637"/>
      <c r="ALL74" s="637"/>
      <c r="ALM74" s="637"/>
      <c r="ALN74" s="637"/>
      <c r="ALO74" s="637"/>
      <c r="ALP74" s="637"/>
      <c r="ALQ74" s="637"/>
      <c r="ALR74" s="637"/>
      <c r="ALS74" s="637"/>
      <c r="ALT74" s="637"/>
      <c r="ALU74" s="637"/>
      <c r="ALV74" s="637"/>
      <c r="ALW74" s="637"/>
      <c r="ALX74" s="637"/>
      <c r="ALY74" s="637"/>
      <c r="ALZ74" s="637"/>
      <c r="AMA74" s="637"/>
      <c r="AMB74" s="637"/>
      <c r="AMC74" s="637"/>
      <c r="AMD74" s="637"/>
      <c r="AME74" s="637"/>
      <c r="AMF74" s="637"/>
      <c r="AMG74" s="637"/>
      <c r="AMH74" s="637"/>
      <c r="AMI74" s="637"/>
      <c r="AMJ74" s="637"/>
    </row>
    <row r="75" spans="1:1024" s="638" customFormat="1" ht="12.75">
      <c r="A75" s="984"/>
      <c r="B75" s="985"/>
      <c r="C75" s="986"/>
      <c r="D75" s="981" t="s">
        <v>1041</v>
      </c>
      <c r="E75" s="982">
        <v>320</v>
      </c>
      <c r="F75" s="982">
        <f t="shared" si="7"/>
        <v>431</v>
      </c>
      <c r="G75" s="983">
        <v>290</v>
      </c>
      <c r="H75" s="983">
        <v>81</v>
      </c>
      <c r="I75" s="983">
        <v>60</v>
      </c>
      <c r="J75" s="983"/>
      <c r="K75" s="983"/>
      <c r="L75" s="983"/>
      <c r="M75" s="983"/>
      <c r="N75" s="983"/>
      <c r="O75" s="983"/>
      <c r="P75" s="983"/>
      <c r="Q75" s="983"/>
      <c r="R75" s="984"/>
      <c r="S75" s="637"/>
      <c r="T75" s="637"/>
      <c r="U75" s="637"/>
      <c r="V75" s="637"/>
      <c r="W75" s="637"/>
      <c r="X75" s="637"/>
      <c r="Y75" s="637"/>
      <c r="Z75" s="637"/>
      <c r="AA75" s="637"/>
      <c r="AB75" s="637"/>
      <c r="AC75" s="637"/>
      <c r="AD75" s="637"/>
      <c r="AE75" s="637"/>
      <c r="AF75" s="637"/>
      <c r="AG75" s="637"/>
      <c r="AH75" s="637"/>
      <c r="AI75" s="637"/>
      <c r="AJ75" s="637"/>
      <c r="AK75" s="637"/>
      <c r="AL75" s="637"/>
      <c r="AM75" s="637"/>
      <c r="AN75" s="637"/>
      <c r="AO75" s="637"/>
      <c r="AP75" s="637"/>
      <c r="AQ75" s="637"/>
      <c r="AR75" s="637"/>
      <c r="AS75" s="637"/>
      <c r="AT75" s="637"/>
      <c r="AU75" s="637"/>
      <c r="AV75" s="637"/>
      <c r="AW75" s="637"/>
      <c r="AX75" s="637"/>
      <c r="AY75" s="637"/>
      <c r="AZ75" s="637"/>
      <c r="BA75" s="637"/>
      <c r="BB75" s="637"/>
      <c r="BC75" s="637"/>
      <c r="BD75" s="637"/>
      <c r="BE75" s="637"/>
      <c r="BF75" s="637"/>
      <c r="BG75" s="637"/>
      <c r="BH75" s="637"/>
      <c r="BI75" s="637"/>
      <c r="BJ75" s="637"/>
      <c r="BK75" s="637"/>
      <c r="BL75" s="637"/>
      <c r="BM75" s="637"/>
      <c r="BN75" s="637"/>
      <c r="BO75" s="637"/>
      <c r="BP75" s="637"/>
      <c r="BQ75" s="637"/>
      <c r="BR75" s="637"/>
      <c r="BS75" s="637"/>
      <c r="BT75" s="637"/>
      <c r="BU75" s="637"/>
      <c r="BV75" s="637"/>
      <c r="BW75" s="637"/>
      <c r="BX75" s="637"/>
      <c r="BY75" s="637"/>
      <c r="BZ75" s="637"/>
      <c r="CA75" s="637"/>
      <c r="CB75" s="637"/>
      <c r="CC75" s="637"/>
      <c r="CD75" s="637"/>
      <c r="CE75" s="637"/>
      <c r="CF75" s="637"/>
      <c r="CG75" s="637"/>
      <c r="CH75" s="637"/>
      <c r="CI75" s="637"/>
      <c r="CJ75" s="637"/>
      <c r="CK75" s="637"/>
      <c r="CL75" s="637"/>
      <c r="CM75" s="637"/>
      <c r="CN75" s="637"/>
      <c r="CO75" s="637"/>
      <c r="CP75" s="637"/>
      <c r="CQ75" s="637"/>
      <c r="CR75" s="637"/>
      <c r="CS75" s="637"/>
      <c r="CT75" s="637"/>
      <c r="CU75" s="637"/>
      <c r="CV75" s="637"/>
      <c r="CW75" s="637"/>
      <c r="CX75" s="637"/>
      <c r="CY75" s="637"/>
      <c r="CZ75" s="637"/>
      <c r="DA75" s="637"/>
      <c r="DB75" s="637"/>
      <c r="DC75" s="637"/>
      <c r="DD75" s="637"/>
      <c r="DE75" s="637"/>
      <c r="DF75" s="637"/>
      <c r="DG75" s="637"/>
      <c r="DH75" s="637"/>
      <c r="DI75" s="637"/>
      <c r="DJ75" s="637"/>
      <c r="DK75" s="637"/>
      <c r="DL75" s="637"/>
      <c r="DM75" s="637"/>
      <c r="DN75" s="637"/>
      <c r="DO75" s="637"/>
      <c r="DP75" s="637"/>
      <c r="DQ75" s="637"/>
      <c r="DR75" s="637"/>
      <c r="DS75" s="637"/>
      <c r="DT75" s="637"/>
      <c r="DU75" s="637"/>
      <c r="DV75" s="637"/>
      <c r="DW75" s="637"/>
      <c r="DX75" s="637"/>
      <c r="DY75" s="637"/>
      <c r="DZ75" s="637"/>
      <c r="EA75" s="637"/>
      <c r="EB75" s="637"/>
      <c r="EC75" s="637"/>
      <c r="ED75" s="637"/>
      <c r="EE75" s="637"/>
      <c r="EF75" s="637"/>
      <c r="EG75" s="637"/>
      <c r="EH75" s="637"/>
      <c r="EI75" s="637"/>
      <c r="EJ75" s="637"/>
      <c r="EK75" s="637"/>
      <c r="EL75" s="637"/>
      <c r="EM75" s="637"/>
      <c r="EN75" s="637"/>
      <c r="EO75" s="637"/>
      <c r="EP75" s="637"/>
      <c r="EQ75" s="637"/>
      <c r="ER75" s="637"/>
      <c r="ES75" s="637"/>
      <c r="ET75" s="637"/>
      <c r="EU75" s="637"/>
      <c r="EV75" s="637"/>
      <c r="EW75" s="637"/>
      <c r="EX75" s="637"/>
      <c r="EY75" s="637"/>
      <c r="EZ75" s="637"/>
      <c r="FA75" s="637"/>
      <c r="FB75" s="637"/>
      <c r="FC75" s="637"/>
      <c r="FD75" s="637"/>
      <c r="FE75" s="637"/>
      <c r="FF75" s="637"/>
      <c r="FG75" s="637"/>
      <c r="FH75" s="637"/>
      <c r="FI75" s="637"/>
      <c r="FJ75" s="637"/>
      <c r="FK75" s="637"/>
      <c r="FL75" s="637"/>
      <c r="FM75" s="637"/>
      <c r="FN75" s="637"/>
      <c r="FO75" s="637"/>
      <c r="FP75" s="637"/>
      <c r="FQ75" s="637"/>
      <c r="FR75" s="637"/>
      <c r="FS75" s="637"/>
      <c r="FT75" s="637"/>
      <c r="FU75" s="637"/>
      <c r="FV75" s="637"/>
      <c r="FW75" s="637"/>
      <c r="FX75" s="637"/>
      <c r="FY75" s="637"/>
      <c r="FZ75" s="637"/>
      <c r="GA75" s="637"/>
      <c r="GB75" s="637"/>
      <c r="GC75" s="637"/>
      <c r="GD75" s="637"/>
      <c r="GE75" s="637"/>
      <c r="GF75" s="637"/>
      <c r="GG75" s="637"/>
      <c r="GH75" s="637"/>
      <c r="GI75" s="637"/>
      <c r="GJ75" s="637"/>
      <c r="GK75" s="637"/>
      <c r="GL75" s="637"/>
      <c r="GM75" s="637"/>
      <c r="GN75" s="637"/>
      <c r="GO75" s="637"/>
      <c r="GP75" s="637"/>
      <c r="GQ75" s="637"/>
      <c r="GR75" s="637"/>
      <c r="GS75" s="637"/>
      <c r="GT75" s="637"/>
      <c r="GU75" s="637"/>
      <c r="GV75" s="637"/>
      <c r="GW75" s="637"/>
      <c r="GX75" s="637"/>
      <c r="GY75" s="637"/>
      <c r="GZ75" s="637"/>
      <c r="HA75" s="637"/>
      <c r="HB75" s="637"/>
      <c r="HC75" s="637"/>
      <c r="HD75" s="637"/>
      <c r="HE75" s="637"/>
      <c r="HF75" s="637"/>
      <c r="HG75" s="637"/>
      <c r="HH75" s="637"/>
      <c r="HI75" s="637"/>
      <c r="HJ75" s="637"/>
      <c r="HK75" s="637"/>
      <c r="HL75" s="637"/>
      <c r="HM75" s="637"/>
      <c r="HN75" s="637"/>
      <c r="HO75" s="637"/>
      <c r="HP75" s="637"/>
      <c r="HQ75" s="637"/>
      <c r="HR75" s="637"/>
      <c r="HS75" s="637"/>
      <c r="HT75" s="637"/>
      <c r="HU75" s="637"/>
      <c r="HV75" s="637"/>
      <c r="HW75" s="637"/>
      <c r="HX75" s="637"/>
      <c r="HY75" s="637"/>
      <c r="HZ75" s="637"/>
      <c r="IA75" s="637"/>
      <c r="IB75" s="637"/>
      <c r="IC75" s="637"/>
      <c r="ID75" s="637"/>
      <c r="IE75" s="637"/>
      <c r="IF75" s="637"/>
      <c r="IG75" s="637"/>
      <c r="IH75" s="637"/>
      <c r="II75" s="637"/>
      <c r="IJ75" s="637"/>
      <c r="IK75" s="637"/>
      <c r="IL75" s="637"/>
      <c r="IM75" s="637"/>
      <c r="IN75" s="637"/>
      <c r="IO75" s="637"/>
      <c r="IP75" s="637"/>
      <c r="IQ75" s="637"/>
      <c r="IR75" s="637"/>
      <c r="IS75" s="637"/>
      <c r="IT75" s="637"/>
      <c r="IU75" s="637"/>
      <c r="IV75" s="637"/>
      <c r="IW75" s="637"/>
      <c r="IX75" s="637"/>
      <c r="IY75" s="637"/>
      <c r="IZ75" s="637"/>
      <c r="JA75" s="637"/>
      <c r="JB75" s="637"/>
      <c r="JC75" s="637"/>
      <c r="JD75" s="637"/>
      <c r="JE75" s="637"/>
      <c r="JF75" s="637"/>
      <c r="JG75" s="637"/>
      <c r="JH75" s="637"/>
      <c r="JI75" s="637"/>
      <c r="JJ75" s="637"/>
      <c r="JK75" s="637"/>
      <c r="JL75" s="637"/>
      <c r="JM75" s="637"/>
      <c r="JN75" s="637"/>
      <c r="JO75" s="637"/>
      <c r="JP75" s="637"/>
      <c r="JQ75" s="637"/>
      <c r="JR75" s="637"/>
      <c r="JS75" s="637"/>
      <c r="JT75" s="637"/>
      <c r="JU75" s="637"/>
      <c r="JV75" s="637"/>
      <c r="JW75" s="637"/>
      <c r="JX75" s="637"/>
      <c r="JY75" s="637"/>
      <c r="JZ75" s="637"/>
      <c r="KA75" s="637"/>
      <c r="KB75" s="637"/>
      <c r="KC75" s="637"/>
      <c r="KD75" s="637"/>
      <c r="KE75" s="637"/>
      <c r="KF75" s="637"/>
      <c r="KG75" s="637"/>
      <c r="KH75" s="637"/>
      <c r="KI75" s="637"/>
      <c r="KJ75" s="637"/>
      <c r="KK75" s="637"/>
      <c r="KL75" s="637"/>
      <c r="KM75" s="637"/>
      <c r="KN75" s="637"/>
      <c r="KO75" s="637"/>
      <c r="KP75" s="637"/>
      <c r="KQ75" s="637"/>
      <c r="KR75" s="637"/>
      <c r="KS75" s="637"/>
      <c r="KT75" s="637"/>
      <c r="KU75" s="637"/>
      <c r="KV75" s="637"/>
      <c r="KW75" s="637"/>
      <c r="KX75" s="637"/>
      <c r="KY75" s="637"/>
      <c r="KZ75" s="637"/>
      <c r="LA75" s="637"/>
      <c r="LB75" s="637"/>
      <c r="LC75" s="637"/>
      <c r="LD75" s="637"/>
      <c r="LE75" s="637"/>
      <c r="LF75" s="637"/>
      <c r="LG75" s="637"/>
      <c r="LH75" s="637"/>
      <c r="LI75" s="637"/>
      <c r="LJ75" s="637"/>
      <c r="LK75" s="637"/>
      <c r="LL75" s="637"/>
      <c r="LM75" s="637"/>
      <c r="LN75" s="637"/>
      <c r="LO75" s="637"/>
      <c r="LP75" s="637"/>
      <c r="LQ75" s="637"/>
      <c r="LR75" s="637"/>
      <c r="LS75" s="637"/>
      <c r="LT75" s="637"/>
      <c r="LU75" s="637"/>
      <c r="LV75" s="637"/>
      <c r="LW75" s="637"/>
      <c r="LX75" s="637"/>
      <c r="LY75" s="637"/>
      <c r="LZ75" s="637"/>
      <c r="MA75" s="637"/>
      <c r="MB75" s="637"/>
      <c r="MC75" s="637"/>
      <c r="MD75" s="637"/>
      <c r="ME75" s="637"/>
      <c r="MF75" s="637"/>
      <c r="MG75" s="637"/>
      <c r="MH75" s="637"/>
      <c r="MI75" s="637"/>
      <c r="MJ75" s="637"/>
      <c r="MK75" s="637"/>
      <c r="ML75" s="637"/>
      <c r="MM75" s="637"/>
      <c r="MN75" s="637"/>
      <c r="MO75" s="637"/>
      <c r="MP75" s="637"/>
      <c r="MQ75" s="637"/>
      <c r="MR75" s="637"/>
      <c r="MS75" s="637"/>
      <c r="MT75" s="637"/>
      <c r="MU75" s="637"/>
      <c r="MV75" s="637"/>
      <c r="MW75" s="637"/>
      <c r="MX75" s="637"/>
      <c r="MY75" s="637"/>
      <c r="MZ75" s="637"/>
      <c r="NA75" s="637"/>
      <c r="NB75" s="637"/>
      <c r="NC75" s="637"/>
      <c r="ND75" s="637"/>
      <c r="NE75" s="637"/>
      <c r="NF75" s="637"/>
      <c r="NG75" s="637"/>
      <c r="NH75" s="637"/>
      <c r="NI75" s="637"/>
      <c r="NJ75" s="637"/>
      <c r="NK75" s="637"/>
      <c r="NL75" s="637"/>
      <c r="NM75" s="637"/>
      <c r="NN75" s="637"/>
      <c r="NO75" s="637"/>
      <c r="NP75" s="637"/>
      <c r="NQ75" s="637"/>
      <c r="NR75" s="637"/>
      <c r="NS75" s="637"/>
      <c r="NT75" s="637"/>
      <c r="NU75" s="637"/>
      <c r="NV75" s="637"/>
      <c r="NW75" s="637"/>
      <c r="NX75" s="637"/>
      <c r="NY75" s="637"/>
      <c r="NZ75" s="637"/>
      <c r="OA75" s="637"/>
      <c r="OB75" s="637"/>
      <c r="OC75" s="637"/>
      <c r="OD75" s="637"/>
      <c r="OE75" s="637"/>
      <c r="OF75" s="637"/>
      <c r="OG75" s="637"/>
      <c r="OH75" s="637"/>
      <c r="OI75" s="637"/>
      <c r="OJ75" s="637"/>
      <c r="OK75" s="637"/>
      <c r="OL75" s="637"/>
      <c r="OM75" s="637"/>
      <c r="ON75" s="637"/>
      <c r="OO75" s="637"/>
      <c r="OP75" s="637"/>
      <c r="OQ75" s="637"/>
      <c r="OR75" s="637"/>
      <c r="OS75" s="637"/>
      <c r="OT75" s="637"/>
      <c r="OU75" s="637"/>
      <c r="OV75" s="637"/>
      <c r="OW75" s="637"/>
      <c r="OX75" s="637"/>
      <c r="OY75" s="637"/>
      <c r="OZ75" s="637"/>
      <c r="PA75" s="637"/>
      <c r="PB75" s="637"/>
      <c r="PC75" s="637"/>
      <c r="PD75" s="637"/>
      <c r="PE75" s="637"/>
      <c r="PF75" s="637"/>
      <c r="PG75" s="637"/>
      <c r="PH75" s="637"/>
      <c r="PI75" s="637"/>
      <c r="PJ75" s="637"/>
      <c r="PK75" s="637"/>
      <c r="PL75" s="637"/>
      <c r="PM75" s="637"/>
      <c r="PN75" s="637"/>
      <c r="PO75" s="637"/>
      <c r="PP75" s="637"/>
      <c r="PQ75" s="637"/>
      <c r="PR75" s="637"/>
      <c r="PS75" s="637"/>
      <c r="PT75" s="637"/>
      <c r="PU75" s="637"/>
      <c r="PV75" s="637"/>
      <c r="PW75" s="637"/>
      <c r="PX75" s="637"/>
      <c r="PY75" s="637"/>
      <c r="PZ75" s="637"/>
      <c r="QA75" s="637"/>
      <c r="QB75" s="637"/>
      <c r="QC75" s="637"/>
      <c r="QD75" s="637"/>
      <c r="QE75" s="637"/>
      <c r="QF75" s="637"/>
      <c r="QG75" s="637"/>
      <c r="QH75" s="637"/>
      <c r="QI75" s="637"/>
      <c r="QJ75" s="637"/>
      <c r="QK75" s="637"/>
      <c r="QL75" s="637"/>
      <c r="QM75" s="637"/>
      <c r="QN75" s="637"/>
      <c r="QO75" s="637"/>
      <c r="QP75" s="637"/>
      <c r="QQ75" s="637"/>
      <c r="QR75" s="637"/>
      <c r="QS75" s="637"/>
      <c r="QT75" s="637"/>
      <c r="QU75" s="637"/>
      <c r="QV75" s="637"/>
      <c r="QW75" s="637"/>
      <c r="QX75" s="637"/>
      <c r="QY75" s="637"/>
      <c r="QZ75" s="637"/>
      <c r="RA75" s="637"/>
      <c r="RB75" s="637"/>
      <c r="RC75" s="637"/>
      <c r="RD75" s="637"/>
      <c r="RE75" s="637"/>
      <c r="RF75" s="637"/>
      <c r="RG75" s="637"/>
      <c r="RH75" s="637"/>
      <c r="RI75" s="637"/>
      <c r="RJ75" s="637"/>
      <c r="RK75" s="637"/>
      <c r="RL75" s="637"/>
      <c r="RM75" s="637"/>
      <c r="RN75" s="637"/>
      <c r="RO75" s="637"/>
      <c r="RP75" s="637"/>
      <c r="RQ75" s="637"/>
      <c r="RR75" s="637"/>
      <c r="RS75" s="637"/>
      <c r="RT75" s="637"/>
      <c r="RU75" s="637"/>
      <c r="RV75" s="637"/>
      <c r="RW75" s="637"/>
      <c r="RX75" s="637"/>
      <c r="RY75" s="637"/>
      <c r="RZ75" s="637"/>
      <c r="SA75" s="637"/>
      <c r="SB75" s="637"/>
      <c r="SC75" s="637"/>
      <c r="SD75" s="637"/>
      <c r="SE75" s="637"/>
      <c r="SF75" s="637"/>
      <c r="SG75" s="637"/>
      <c r="SH75" s="637"/>
      <c r="SI75" s="637"/>
      <c r="SJ75" s="637"/>
      <c r="SK75" s="637"/>
      <c r="SL75" s="637"/>
      <c r="SM75" s="637"/>
      <c r="SN75" s="637"/>
      <c r="SO75" s="637"/>
      <c r="SP75" s="637"/>
      <c r="SQ75" s="637"/>
      <c r="SR75" s="637"/>
      <c r="SS75" s="637"/>
      <c r="ST75" s="637"/>
      <c r="SU75" s="637"/>
      <c r="SV75" s="637"/>
      <c r="SW75" s="637"/>
      <c r="SX75" s="637"/>
      <c r="SY75" s="637"/>
      <c r="SZ75" s="637"/>
      <c r="TA75" s="637"/>
      <c r="TB75" s="637"/>
      <c r="TC75" s="637"/>
      <c r="TD75" s="637"/>
      <c r="TE75" s="637"/>
      <c r="TF75" s="637"/>
      <c r="TG75" s="637"/>
      <c r="TH75" s="637"/>
      <c r="TI75" s="637"/>
      <c r="TJ75" s="637"/>
      <c r="TK75" s="637"/>
      <c r="TL75" s="637"/>
      <c r="TM75" s="637"/>
      <c r="TN75" s="637"/>
      <c r="TO75" s="637"/>
      <c r="TP75" s="637"/>
      <c r="TQ75" s="637"/>
      <c r="TR75" s="637"/>
      <c r="TS75" s="637"/>
      <c r="TT75" s="637"/>
      <c r="TU75" s="637"/>
      <c r="TV75" s="637"/>
      <c r="TW75" s="637"/>
      <c r="TX75" s="637"/>
      <c r="TY75" s="637"/>
      <c r="TZ75" s="637"/>
      <c r="UA75" s="637"/>
      <c r="UB75" s="637"/>
      <c r="UC75" s="637"/>
      <c r="UD75" s="637"/>
      <c r="UE75" s="637"/>
      <c r="UF75" s="637"/>
      <c r="UG75" s="637"/>
      <c r="UH75" s="637"/>
      <c r="UI75" s="637"/>
      <c r="UJ75" s="637"/>
      <c r="UK75" s="637"/>
      <c r="UL75" s="637"/>
      <c r="UM75" s="637"/>
      <c r="UN75" s="637"/>
      <c r="UO75" s="637"/>
      <c r="UP75" s="637"/>
      <c r="UQ75" s="637"/>
      <c r="UR75" s="637"/>
      <c r="US75" s="637"/>
      <c r="UT75" s="637"/>
      <c r="UU75" s="637"/>
      <c r="UV75" s="637"/>
      <c r="UW75" s="637"/>
      <c r="UX75" s="637"/>
      <c r="UY75" s="637"/>
      <c r="UZ75" s="637"/>
      <c r="VA75" s="637"/>
      <c r="VB75" s="637"/>
      <c r="VC75" s="637"/>
      <c r="VD75" s="637"/>
      <c r="VE75" s="637"/>
      <c r="VF75" s="637"/>
      <c r="VG75" s="637"/>
      <c r="VH75" s="637"/>
      <c r="VI75" s="637"/>
      <c r="VJ75" s="637"/>
      <c r="VK75" s="637"/>
      <c r="VL75" s="637"/>
      <c r="VM75" s="637"/>
      <c r="VN75" s="637"/>
      <c r="VO75" s="637"/>
      <c r="VP75" s="637"/>
      <c r="VQ75" s="637"/>
      <c r="VR75" s="637"/>
      <c r="VS75" s="637"/>
      <c r="VT75" s="637"/>
      <c r="VU75" s="637"/>
      <c r="VV75" s="637"/>
      <c r="VW75" s="637"/>
      <c r="VX75" s="637"/>
      <c r="VY75" s="637"/>
      <c r="VZ75" s="637"/>
      <c r="WA75" s="637"/>
      <c r="WB75" s="637"/>
      <c r="WC75" s="637"/>
      <c r="WD75" s="637"/>
      <c r="WE75" s="637"/>
      <c r="WF75" s="637"/>
      <c r="WG75" s="637"/>
      <c r="WH75" s="637"/>
      <c r="WI75" s="637"/>
      <c r="WJ75" s="637"/>
      <c r="WK75" s="637"/>
      <c r="WL75" s="637"/>
      <c r="WM75" s="637"/>
      <c r="WN75" s="637"/>
      <c r="WO75" s="637"/>
      <c r="WP75" s="637"/>
      <c r="WQ75" s="637"/>
      <c r="WR75" s="637"/>
      <c r="WS75" s="637"/>
      <c r="WT75" s="637"/>
      <c r="WU75" s="637"/>
      <c r="WV75" s="637"/>
      <c r="WW75" s="637"/>
      <c r="WX75" s="637"/>
      <c r="WY75" s="637"/>
      <c r="WZ75" s="637"/>
      <c r="XA75" s="637"/>
      <c r="XB75" s="637"/>
      <c r="XC75" s="637"/>
      <c r="XD75" s="637"/>
      <c r="XE75" s="637"/>
      <c r="XF75" s="637"/>
      <c r="XG75" s="637"/>
      <c r="XH75" s="637"/>
      <c r="XI75" s="637"/>
      <c r="XJ75" s="637"/>
      <c r="XK75" s="637"/>
      <c r="XL75" s="637"/>
      <c r="XM75" s="637"/>
      <c r="XN75" s="637"/>
      <c r="XO75" s="637"/>
      <c r="XP75" s="637"/>
      <c r="XQ75" s="637"/>
      <c r="XR75" s="637"/>
      <c r="XS75" s="637"/>
      <c r="XT75" s="637"/>
      <c r="XU75" s="637"/>
      <c r="XV75" s="637"/>
      <c r="XW75" s="637"/>
      <c r="XX75" s="637"/>
      <c r="XY75" s="637"/>
      <c r="XZ75" s="637"/>
      <c r="YA75" s="637"/>
      <c r="YB75" s="637"/>
      <c r="YC75" s="637"/>
      <c r="YD75" s="637"/>
      <c r="YE75" s="637"/>
      <c r="YF75" s="637"/>
      <c r="YG75" s="637"/>
      <c r="YH75" s="637"/>
      <c r="YI75" s="637"/>
      <c r="YJ75" s="637"/>
      <c r="YK75" s="637"/>
      <c r="YL75" s="637"/>
      <c r="YM75" s="637"/>
      <c r="YN75" s="637"/>
      <c r="YO75" s="637"/>
      <c r="YP75" s="637"/>
      <c r="YQ75" s="637"/>
      <c r="YR75" s="637"/>
      <c r="YS75" s="637"/>
      <c r="YT75" s="637"/>
      <c r="YU75" s="637"/>
      <c r="YV75" s="637"/>
      <c r="YW75" s="637"/>
      <c r="YX75" s="637"/>
      <c r="YY75" s="637"/>
      <c r="YZ75" s="637"/>
      <c r="ZA75" s="637"/>
      <c r="ZB75" s="637"/>
      <c r="ZC75" s="637"/>
      <c r="ZD75" s="637"/>
      <c r="ZE75" s="637"/>
      <c r="ZF75" s="637"/>
      <c r="ZG75" s="637"/>
      <c r="ZH75" s="637"/>
      <c r="ZI75" s="637"/>
      <c r="ZJ75" s="637"/>
      <c r="ZK75" s="637"/>
      <c r="ZL75" s="637"/>
      <c r="ZM75" s="637"/>
      <c r="ZN75" s="637"/>
      <c r="ZO75" s="637"/>
      <c r="ZP75" s="637"/>
      <c r="ZQ75" s="637"/>
      <c r="ZR75" s="637"/>
      <c r="ZS75" s="637"/>
      <c r="ZT75" s="637"/>
      <c r="ZU75" s="637"/>
      <c r="ZV75" s="637"/>
      <c r="ZW75" s="637"/>
      <c r="ZX75" s="637"/>
      <c r="ZY75" s="637"/>
      <c r="ZZ75" s="637"/>
      <c r="AAA75" s="637"/>
      <c r="AAB75" s="637"/>
      <c r="AAC75" s="637"/>
      <c r="AAD75" s="637"/>
      <c r="AAE75" s="637"/>
      <c r="AAF75" s="637"/>
      <c r="AAG75" s="637"/>
      <c r="AAH75" s="637"/>
      <c r="AAI75" s="637"/>
      <c r="AAJ75" s="637"/>
      <c r="AAK75" s="637"/>
      <c r="AAL75" s="637"/>
      <c r="AAM75" s="637"/>
      <c r="AAN75" s="637"/>
      <c r="AAO75" s="637"/>
      <c r="AAP75" s="637"/>
      <c r="AAQ75" s="637"/>
      <c r="AAR75" s="637"/>
      <c r="AAS75" s="637"/>
      <c r="AAT75" s="637"/>
      <c r="AAU75" s="637"/>
      <c r="AAV75" s="637"/>
      <c r="AAW75" s="637"/>
      <c r="AAX75" s="637"/>
      <c r="AAY75" s="637"/>
      <c r="AAZ75" s="637"/>
      <c r="ABA75" s="637"/>
      <c r="ABB75" s="637"/>
      <c r="ABC75" s="637"/>
      <c r="ABD75" s="637"/>
      <c r="ABE75" s="637"/>
      <c r="ABF75" s="637"/>
      <c r="ABG75" s="637"/>
      <c r="ABH75" s="637"/>
      <c r="ABI75" s="637"/>
      <c r="ABJ75" s="637"/>
      <c r="ABK75" s="637"/>
      <c r="ABL75" s="637"/>
      <c r="ABM75" s="637"/>
      <c r="ABN75" s="637"/>
      <c r="ABO75" s="637"/>
      <c r="ABP75" s="637"/>
      <c r="ABQ75" s="637"/>
      <c r="ABR75" s="637"/>
      <c r="ABS75" s="637"/>
      <c r="ABT75" s="637"/>
      <c r="ABU75" s="637"/>
      <c r="ABV75" s="637"/>
      <c r="ABW75" s="637"/>
      <c r="ABX75" s="637"/>
      <c r="ABY75" s="637"/>
      <c r="ABZ75" s="637"/>
      <c r="ACA75" s="637"/>
      <c r="ACB75" s="637"/>
      <c r="ACC75" s="637"/>
      <c r="ACD75" s="637"/>
      <c r="ACE75" s="637"/>
      <c r="ACF75" s="637"/>
      <c r="ACG75" s="637"/>
      <c r="ACH75" s="637"/>
      <c r="ACI75" s="637"/>
      <c r="ACJ75" s="637"/>
      <c r="ACK75" s="637"/>
      <c r="ACL75" s="637"/>
      <c r="ACM75" s="637"/>
      <c r="ACN75" s="637"/>
      <c r="ACO75" s="637"/>
      <c r="ACP75" s="637"/>
      <c r="ACQ75" s="637"/>
      <c r="ACR75" s="637"/>
      <c r="ACS75" s="637"/>
      <c r="ACT75" s="637"/>
      <c r="ACU75" s="637"/>
      <c r="ACV75" s="637"/>
      <c r="ACW75" s="637"/>
      <c r="ACX75" s="637"/>
      <c r="ACY75" s="637"/>
      <c r="ACZ75" s="637"/>
      <c r="ADA75" s="637"/>
      <c r="ADB75" s="637"/>
      <c r="ADC75" s="637"/>
      <c r="ADD75" s="637"/>
      <c r="ADE75" s="637"/>
      <c r="ADF75" s="637"/>
      <c r="ADG75" s="637"/>
      <c r="ADH75" s="637"/>
      <c r="ADI75" s="637"/>
      <c r="ADJ75" s="637"/>
      <c r="ADK75" s="637"/>
      <c r="ADL75" s="637"/>
      <c r="ADM75" s="637"/>
      <c r="ADN75" s="637"/>
      <c r="ADO75" s="637"/>
      <c r="ADP75" s="637"/>
      <c r="ADQ75" s="637"/>
      <c r="ADR75" s="637"/>
      <c r="ADS75" s="637"/>
      <c r="ADT75" s="637"/>
      <c r="ADU75" s="637"/>
      <c r="ADV75" s="637"/>
      <c r="ADW75" s="637"/>
      <c r="ADX75" s="637"/>
      <c r="ADY75" s="637"/>
      <c r="ADZ75" s="637"/>
      <c r="AEA75" s="637"/>
      <c r="AEB75" s="637"/>
      <c r="AEC75" s="637"/>
      <c r="AED75" s="637"/>
      <c r="AEE75" s="637"/>
      <c r="AEF75" s="637"/>
      <c r="AEG75" s="637"/>
      <c r="AEH75" s="637"/>
      <c r="AEI75" s="637"/>
      <c r="AEJ75" s="637"/>
      <c r="AEK75" s="637"/>
      <c r="AEL75" s="637"/>
      <c r="AEM75" s="637"/>
      <c r="AEN75" s="637"/>
      <c r="AEO75" s="637"/>
      <c r="AEP75" s="637"/>
      <c r="AEQ75" s="637"/>
      <c r="AER75" s="637"/>
      <c r="AES75" s="637"/>
      <c r="AET75" s="637"/>
      <c r="AEU75" s="637"/>
      <c r="AEV75" s="637"/>
      <c r="AEW75" s="637"/>
      <c r="AEX75" s="637"/>
      <c r="AEY75" s="637"/>
      <c r="AEZ75" s="637"/>
      <c r="AFA75" s="637"/>
      <c r="AFB75" s="637"/>
      <c r="AFC75" s="637"/>
      <c r="AFD75" s="637"/>
      <c r="AFE75" s="637"/>
      <c r="AFF75" s="637"/>
      <c r="AFG75" s="637"/>
      <c r="AFH75" s="637"/>
      <c r="AFI75" s="637"/>
      <c r="AFJ75" s="637"/>
      <c r="AFK75" s="637"/>
      <c r="AFL75" s="637"/>
      <c r="AFM75" s="637"/>
      <c r="AFN75" s="637"/>
      <c r="AFO75" s="637"/>
      <c r="AFP75" s="637"/>
      <c r="AFQ75" s="637"/>
      <c r="AFR75" s="637"/>
      <c r="AFS75" s="637"/>
      <c r="AFT75" s="637"/>
      <c r="AFU75" s="637"/>
      <c r="AFV75" s="637"/>
      <c r="AFW75" s="637"/>
      <c r="AFX75" s="637"/>
      <c r="AFY75" s="637"/>
      <c r="AFZ75" s="637"/>
      <c r="AGA75" s="637"/>
      <c r="AGB75" s="637"/>
      <c r="AGC75" s="637"/>
      <c r="AGD75" s="637"/>
      <c r="AGE75" s="637"/>
      <c r="AGF75" s="637"/>
      <c r="AGG75" s="637"/>
      <c r="AGH75" s="637"/>
      <c r="AGI75" s="637"/>
      <c r="AGJ75" s="637"/>
      <c r="AGK75" s="637"/>
      <c r="AGL75" s="637"/>
      <c r="AGM75" s="637"/>
      <c r="AGN75" s="637"/>
      <c r="AGO75" s="637"/>
      <c r="AGP75" s="637"/>
      <c r="AGQ75" s="637"/>
      <c r="AGR75" s="637"/>
      <c r="AGS75" s="637"/>
      <c r="AGT75" s="637"/>
      <c r="AGU75" s="637"/>
      <c r="AGV75" s="637"/>
      <c r="AGW75" s="637"/>
      <c r="AGX75" s="637"/>
      <c r="AGY75" s="637"/>
      <c r="AGZ75" s="637"/>
      <c r="AHA75" s="637"/>
      <c r="AHB75" s="637"/>
      <c r="AHC75" s="637"/>
      <c r="AHD75" s="637"/>
      <c r="AHE75" s="637"/>
      <c r="AHF75" s="637"/>
      <c r="AHG75" s="637"/>
      <c r="AHH75" s="637"/>
      <c r="AHI75" s="637"/>
      <c r="AHJ75" s="637"/>
      <c r="AHK75" s="637"/>
      <c r="AHL75" s="637"/>
      <c r="AHM75" s="637"/>
      <c r="AHN75" s="637"/>
      <c r="AHO75" s="637"/>
      <c r="AHP75" s="637"/>
      <c r="AHQ75" s="637"/>
      <c r="AHR75" s="637"/>
      <c r="AHS75" s="637"/>
      <c r="AHT75" s="637"/>
      <c r="AHU75" s="637"/>
      <c r="AHV75" s="637"/>
      <c r="AHW75" s="637"/>
      <c r="AHX75" s="637"/>
      <c r="AHY75" s="637"/>
      <c r="AHZ75" s="637"/>
      <c r="AIA75" s="637"/>
      <c r="AIB75" s="637"/>
      <c r="AIC75" s="637"/>
      <c r="AID75" s="637"/>
      <c r="AIE75" s="637"/>
      <c r="AIF75" s="637"/>
      <c r="AIG75" s="637"/>
      <c r="AIH75" s="637"/>
      <c r="AII75" s="637"/>
      <c r="AIJ75" s="637"/>
      <c r="AIK75" s="637"/>
      <c r="AIL75" s="637"/>
      <c r="AIM75" s="637"/>
      <c r="AIN75" s="637"/>
      <c r="AIO75" s="637"/>
      <c r="AIP75" s="637"/>
      <c r="AIQ75" s="637"/>
      <c r="AIR75" s="637"/>
      <c r="AIS75" s="637"/>
      <c r="AIT75" s="637"/>
      <c r="AIU75" s="637"/>
      <c r="AIV75" s="637"/>
      <c r="AIW75" s="637"/>
      <c r="AIX75" s="637"/>
      <c r="AIY75" s="637"/>
      <c r="AIZ75" s="637"/>
      <c r="AJA75" s="637"/>
      <c r="AJB75" s="637"/>
      <c r="AJC75" s="637"/>
      <c r="AJD75" s="637"/>
      <c r="AJE75" s="637"/>
      <c r="AJF75" s="637"/>
      <c r="AJG75" s="637"/>
      <c r="AJH75" s="637"/>
      <c r="AJI75" s="637"/>
      <c r="AJJ75" s="637"/>
      <c r="AJK75" s="637"/>
      <c r="AJL75" s="637"/>
      <c r="AJM75" s="637"/>
      <c r="AJN75" s="637"/>
      <c r="AJO75" s="637"/>
      <c r="AJP75" s="637"/>
      <c r="AJQ75" s="637"/>
      <c r="AJR75" s="637"/>
      <c r="AJS75" s="637"/>
      <c r="AJT75" s="637"/>
      <c r="AJU75" s="637"/>
      <c r="AJV75" s="637"/>
      <c r="AJW75" s="637"/>
      <c r="AJX75" s="637"/>
      <c r="AJY75" s="637"/>
      <c r="AJZ75" s="637"/>
      <c r="AKA75" s="637"/>
      <c r="AKB75" s="637"/>
      <c r="AKC75" s="637"/>
      <c r="AKD75" s="637"/>
      <c r="AKE75" s="637"/>
      <c r="AKF75" s="637"/>
      <c r="AKG75" s="637"/>
      <c r="AKH75" s="637"/>
      <c r="AKI75" s="637"/>
      <c r="AKJ75" s="637"/>
      <c r="AKK75" s="637"/>
      <c r="AKL75" s="637"/>
      <c r="AKM75" s="637"/>
      <c r="AKN75" s="637"/>
      <c r="AKO75" s="637"/>
      <c r="AKP75" s="637"/>
      <c r="AKQ75" s="637"/>
      <c r="AKR75" s="637"/>
      <c r="AKS75" s="637"/>
      <c r="AKT75" s="637"/>
      <c r="AKU75" s="637"/>
      <c r="AKV75" s="637"/>
      <c r="AKW75" s="637"/>
      <c r="AKX75" s="637"/>
      <c r="AKY75" s="637"/>
      <c r="AKZ75" s="637"/>
      <c r="ALA75" s="637"/>
      <c r="ALB75" s="637"/>
      <c r="ALC75" s="637"/>
      <c r="ALD75" s="637"/>
      <c r="ALE75" s="637"/>
      <c r="ALF75" s="637"/>
      <c r="ALG75" s="637"/>
      <c r="ALH75" s="637"/>
      <c r="ALI75" s="637"/>
      <c r="ALJ75" s="637"/>
      <c r="ALK75" s="637"/>
      <c r="ALL75" s="637"/>
      <c r="ALM75" s="637"/>
      <c r="ALN75" s="637"/>
      <c r="ALO75" s="637"/>
      <c r="ALP75" s="637"/>
      <c r="ALQ75" s="637"/>
      <c r="ALR75" s="637"/>
      <c r="ALS75" s="637"/>
      <c r="ALT75" s="637"/>
      <c r="ALU75" s="637"/>
      <c r="ALV75" s="637"/>
      <c r="ALW75" s="637"/>
      <c r="ALX75" s="637"/>
      <c r="ALY75" s="637"/>
      <c r="ALZ75" s="637"/>
      <c r="AMA75" s="637"/>
      <c r="AMB75" s="637"/>
      <c r="AMC75" s="637"/>
      <c r="AMD75" s="637"/>
      <c r="AME75" s="637"/>
      <c r="AMF75" s="637"/>
      <c r="AMG75" s="637"/>
      <c r="AMH75" s="637"/>
      <c r="AMI75" s="637"/>
      <c r="AMJ75" s="637"/>
    </row>
    <row r="76" spans="1:1024" s="638" customFormat="1" ht="12.75" hidden="1">
      <c r="A76" s="984"/>
      <c r="B76" s="985"/>
      <c r="C76" s="986"/>
      <c r="D76" s="1001"/>
      <c r="E76" s="1002">
        <v>320</v>
      </c>
      <c r="F76" s="1003">
        <f t="shared" si="7"/>
        <v>431</v>
      </c>
      <c r="G76" s="1004">
        <v>290</v>
      </c>
      <c r="H76" s="1004">
        <v>81</v>
      </c>
      <c r="I76" s="1004">
        <v>60</v>
      </c>
      <c r="J76" s="1004"/>
      <c r="K76" s="1004"/>
      <c r="L76" s="1004"/>
      <c r="M76" s="1004"/>
      <c r="N76" s="1004"/>
      <c r="O76" s="1004"/>
      <c r="P76" s="1004"/>
      <c r="Q76" s="1004"/>
      <c r="R76" s="1005"/>
      <c r="S76" s="637"/>
      <c r="T76" s="637"/>
      <c r="U76" s="637"/>
      <c r="V76" s="637"/>
      <c r="W76" s="637"/>
      <c r="X76" s="637"/>
      <c r="Y76" s="637"/>
      <c r="Z76" s="637"/>
      <c r="AA76" s="637"/>
      <c r="AB76" s="637"/>
      <c r="AC76" s="637"/>
      <c r="AD76" s="637"/>
      <c r="AE76" s="637"/>
      <c r="AF76" s="637"/>
      <c r="AG76" s="637"/>
      <c r="AH76" s="637"/>
      <c r="AI76" s="637"/>
      <c r="AJ76" s="637"/>
      <c r="AK76" s="637"/>
      <c r="AL76" s="637"/>
      <c r="AM76" s="637"/>
      <c r="AN76" s="637"/>
      <c r="AO76" s="637"/>
      <c r="AP76" s="637"/>
      <c r="AQ76" s="637"/>
      <c r="AR76" s="637"/>
      <c r="AS76" s="637"/>
      <c r="AT76" s="637"/>
      <c r="AU76" s="637"/>
      <c r="AV76" s="637"/>
      <c r="AW76" s="637"/>
      <c r="AX76" s="637"/>
      <c r="AY76" s="637"/>
      <c r="AZ76" s="637"/>
      <c r="BA76" s="637"/>
      <c r="BB76" s="637"/>
      <c r="BC76" s="637"/>
      <c r="BD76" s="637"/>
      <c r="BE76" s="637"/>
      <c r="BF76" s="637"/>
      <c r="BG76" s="637"/>
      <c r="BH76" s="637"/>
      <c r="BI76" s="637"/>
      <c r="BJ76" s="637"/>
      <c r="BK76" s="637"/>
      <c r="BL76" s="637"/>
      <c r="BM76" s="637"/>
      <c r="BN76" s="637"/>
      <c r="BO76" s="637"/>
      <c r="BP76" s="637"/>
      <c r="BQ76" s="637"/>
      <c r="BR76" s="637"/>
      <c r="BS76" s="637"/>
      <c r="BT76" s="637"/>
      <c r="BU76" s="637"/>
      <c r="BV76" s="637"/>
      <c r="BW76" s="637"/>
      <c r="BX76" s="637"/>
      <c r="BY76" s="637"/>
      <c r="BZ76" s="637"/>
      <c r="CA76" s="637"/>
      <c r="CB76" s="637"/>
      <c r="CC76" s="637"/>
      <c r="CD76" s="637"/>
      <c r="CE76" s="637"/>
      <c r="CF76" s="637"/>
      <c r="CG76" s="637"/>
      <c r="CH76" s="637"/>
      <c r="CI76" s="637"/>
      <c r="CJ76" s="637"/>
      <c r="CK76" s="637"/>
      <c r="CL76" s="637"/>
      <c r="CM76" s="637"/>
      <c r="CN76" s="637"/>
      <c r="CO76" s="637"/>
      <c r="CP76" s="637"/>
      <c r="CQ76" s="637"/>
      <c r="CR76" s="637"/>
      <c r="CS76" s="637"/>
      <c r="CT76" s="637"/>
      <c r="CU76" s="637"/>
      <c r="CV76" s="637"/>
      <c r="CW76" s="637"/>
      <c r="CX76" s="637"/>
      <c r="CY76" s="637"/>
      <c r="CZ76" s="637"/>
      <c r="DA76" s="637"/>
      <c r="DB76" s="637"/>
      <c r="DC76" s="637"/>
      <c r="DD76" s="637"/>
      <c r="DE76" s="637"/>
      <c r="DF76" s="637"/>
      <c r="DG76" s="637"/>
      <c r="DH76" s="637"/>
      <c r="DI76" s="637"/>
      <c r="DJ76" s="637"/>
      <c r="DK76" s="637"/>
      <c r="DL76" s="637"/>
      <c r="DM76" s="637"/>
      <c r="DN76" s="637"/>
      <c r="DO76" s="637"/>
      <c r="DP76" s="637"/>
      <c r="DQ76" s="637"/>
      <c r="DR76" s="637"/>
      <c r="DS76" s="637"/>
      <c r="DT76" s="637"/>
      <c r="DU76" s="637"/>
      <c r="DV76" s="637"/>
      <c r="DW76" s="637"/>
      <c r="DX76" s="637"/>
      <c r="DY76" s="637"/>
      <c r="DZ76" s="637"/>
      <c r="EA76" s="637"/>
      <c r="EB76" s="637"/>
      <c r="EC76" s="637"/>
      <c r="ED76" s="637"/>
      <c r="EE76" s="637"/>
      <c r="EF76" s="637"/>
      <c r="EG76" s="637"/>
      <c r="EH76" s="637"/>
      <c r="EI76" s="637"/>
      <c r="EJ76" s="637"/>
      <c r="EK76" s="637"/>
      <c r="EL76" s="637"/>
      <c r="EM76" s="637"/>
      <c r="EN76" s="637"/>
      <c r="EO76" s="637"/>
      <c r="EP76" s="637"/>
      <c r="EQ76" s="637"/>
      <c r="ER76" s="637"/>
      <c r="ES76" s="637"/>
      <c r="ET76" s="637"/>
      <c r="EU76" s="637"/>
      <c r="EV76" s="637"/>
      <c r="EW76" s="637"/>
      <c r="EX76" s="637"/>
      <c r="EY76" s="637"/>
      <c r="EZ76" s="637"/>
      <c r="FA76" s="637"/>
      <c r="FB76" s="637"/>
      <c r="FC76" s="637"/>
      <c r="FD76" s="637"/>
      <c r="FE76" s="637"/>
      <c r="FF76" s="637"/>
      <c r="FG76" s="637"/>
      <c r="FH76" s="637"/>
      <c r="FI76" s="637"/>
      <c r="FJ76" s="637"/>
      <c r="FK76" s="637"/>
      <c r="FL76" s="637"/>
      <c r="FM76" s="637"/>
      <c r="FN76" s="637"/>
      <c r="FO76" s="637"/>
      <c r="FP76" s="637"/>
      <c r="FQ76" s="637"/>
      <c r="FR76" s="637"/>
      <c r="FS76" s="637"/>
      <c r="FT76" s="637"/>
      <c r="FU76" s="637"/>
      <c r="FV76" s="637"/>
      <c r="FW76" s="637"/>
      <c r="FX76" s="637"/>
      <c r="FY76" s="637"/>
      <c r="FZ76" s="637"/>
      <c r="GA76" s="637"/>
      <c r="GB76" s="637"/>
      <c r="GC76" s="637"/>
      <c r="GD76" s="637"/>
      <c r="GE76" s="637"/>
      <c r="GF76" s="637"/>
      <c r="GG76" s="637"/>
      <c r="GH76" s="637"/>
      <c r="GI76" s="637"/>
      <c r="GJ76" s="637"/>
      <c r="GK76" s="637"/>
      <c r="GL76" s="637"/>
      <c r="GM76" s="637"/>
      <c r="GN76" s="637"/>
      <c r="GO76" s="637"/>
      <c r="GP76" s="637"/>
      <c r="GQ76" s="637"/>
      <c r="GR76" s="637"/>
      <c r="GS76" s="637"/>
      <c r="GT76" s="637"/>
      <c r="GU76" s="637"/>
      <c r="GV76" s="637"/>
      <c r="GW76" s="637"/>
      <c r="GX76" s="637"/>
      <c r="GY76" s="637"/>
      <c r="GZ76" s="637"/>
      <c r="HA76" s="637"/>
      <c r="HB76" s="637"/>
      <c r="HC76" s="637"/>
      <c r="HD76" s="637"/>
      <c r="HE76" s="637"/>
      <c r="HF76" s="637"/>
      <c r="HG76" s="637"/>
      <c r="HH76" s="637"/>
      <c r="HI76" s="637"/>
      <c r="HJ76" s="637"/>
      <c r="HK76" s="637"/>
      <c r="HL76" s="637"/>
      <c r="HM76" s="637"/>
      <c r="HN76" s="637"/>
      <c r="HO76" s="637"/>
      <c r="HP76" s="637"/>
      <c r="HQ76" s="637"/>
      <c r="HR76" s="637"/>
      <c r="HS76" s="637"/>
      <c r="HT76" s="637"/>
      <c r="HU76" s="637"/>
      <c r="HV76" s="637"/>
      <c r="HW76" s="637"/>
      <c r="HX76" s="637"/>
      <c r="HY76" s="637"/>
      <c r="HZ76" s="637"/>
      <c r="IA76" s="637"/>
      <c r="IB76" s="637"/>
      <c r="IC76" s="637"/>
      <c r="ID76" s="637"/>
      <c r="IE76" s="637"/>
      <c r="IF76" s="637"/>
      <c r="IG76" s="637"/>
      <c r="IH76" s="637"/>
      <c r="II76" s="637"/>
      <c r="IJ76" s="637"/>
      <c r="IK76" s="637"/>
      <c r="IL76" s="637"/>
      <c r="IM76" s="637"/>
      <c r="IN76" s="637"/>
      <c r="IO76" s="637"/>
      <c r="IP76" s="637"/>
      <c r="IQ76" s="637"/>
      <c r="IR76" s="637"/>
      <c r="IS76" s="637"/>
      <c r="IT76" s="637"/>
      <c r="IU76" s="637"/>
      <c r="IV76" s="637"/>
      <c r="IW76" s="637"/>
      <c r="IX76" s="637"/>
      <c r="IY76" s="637"/>
      <c r="IZ76" s="637"/>
      <c r="JA76" s="637"/>
      <c r="JB76" s="637"/>
      <c r="JC76" s="637"/>
      <c r="JD76" s="637"/>
      <c r="JE76" s="637"/>
      <c r="JF76" s="637"/>
      <c r="JG76" s="637"/>
      <c r="JH76" s="637"/>
      <c r="JI76" s="637"/>
      <c r="JJ76" s="637"/>
      <c r="JK76" s="637"/>
      <c r="JL76" s="637"/>
      <c r="JM76" s="637"/>
      <c r="JN76" s="637"/>
      <c r="JO76" s="637"/>
      <c r="JP76" s="637"/>
      <c r="JQ76" s="637"/>
      <c r="JR76" s="637"/>
      <c r="JS76" s="637"/>
      <c r="JT76" s="637"/>
      <c r="JU76" s="637"/>
      <c r="JV76" s="637"/>
      <c r="JW76" s="637"/>
      <c r="JX76" s="637"/>
      <c r="JY76" s="637"/>
      <c r="JZ76" s="637"/>
      <c r="KA76" s="637"/>
      <c r="KB76" s="637"/>
      <c r="KC76" s="637"/>
      <c r="KD76" s="637"/>
      <c r="KE76" s="637"/>
      <c r="KF76" s="637"/>
      <c r="KG76" s="637"/>
      <c r="KH76" s="637"/>
      <c r="KI76" s="637"/>
      <c r="KJ76" s="637"/>
      <c r="KK76" s="637"/>
      <c r="KL76" s="637"/>
      <c r="KM76" s="637"/>
      <c r="KN76" s="637"/>
      <c r="KO76" s="637"/>
      <c r="KP76" s="637"/>
      <c r="KQ76" s="637"/>
      <c r="KR76" s="637"/>
      <c r="KS76" s="637"/>
      <c r="KT76" s="637"/>
      <c r="KU76" s="637"/>
      <c r="KV76" s="637"/>
      <c r="KW76" s="637"/>
      <c r="KX76" s="637"/>
      <c r="KY76" s="637"/>
      <c r="KZ76" s="637"/>
      <c r="LA76" s="637"/>
      <c r="LB76" s="637"/>
      <c r="LC76" s="637"/>
      <c r="LD76" s="637"/>
      <c r="LE76" s="637"/>
      <c r="LF76" s="637"/>
      <c r="LG76" s="637"/>
      <c r="LH76" s="637"/>
      <c r="LI76" s="637"/>
      <c r="LJ76" s="637"/>
      <c r="LK76" s="637"/>
      <c r="LL76" s="637"/>
      <c r="LM76" s="637"/>
      <c r="LN76" s="637"/>
      <c r="LO76" s="637"/>
      <c r="LP76" s="637"/>
      <c r="LQ76" s="637"/>
      <c r="LR76" s="637"/>
      <c r="LS76" s="637"/>
      <c r="LT76" s="637"/>
      <c r="LU76" s="637"/>
      <c r="LV76" s="637"/>
      <c r="LW76" s="637"/>
      <c r="LX76" s="637"/>
      <c r="LY76" s="637"/>
      <c r="LZ76" s="637"/>
      <c r="MA76" s="637"/>
      <c r="MB76" s="637"/>
      <c r="MC76" s="637"/>
      <c r="MD76" s="637"/>
      <c r="ME76" s="637"/>
      <c r="MF76" s="637"/>
      <c r="MG76" s="637"/>
      <c r="MH76" s="637"/>
      <c r="MI76" s="637"/>
      <c r="MJ76" s="637"/>
      <c r="MK76" s="637"/>
      <c r="ML76" s="637"/>
      <c r="MM76" s="637"/>
      <c r="MN76" s="637"/>
      <c r="MO76" s="637"/>
      <c r="MP76" s="637"/>
      <c r="MQ76" s="637"/>
      <c r="MR76" s="637"/>
      <c r="MS76" s="637"/>
      <c r="MT76" s="637"/>
      <c r="MU76" s="637"/>
      <c r="MV76" s="637"/>
      <c r="MW76" s="637"/>
      <c r="MX76" s="637"/>
      <c r="MY76" s="637"/>
      <c r="MZ76" s="637"/>
      <c r="NA76" s="637"/>
      <c r="NB76" s="637"/>
      <c r="NC76" s="637"/>
      <c r="ND76" s="637"/>
      <c r="NE76" s="637"/>
      <c r="NF76" s="637"/>
      <c r="NG76" s="637"/>
      <c r="NH76" s="637"/>
      <c r="NI76" s="637"/>
      <c r="NJ76" s="637"/>
      <c r="NK76" s="637"/>
      <c r="NL76" s="637"/>
      <c r="NM76" s="637"/>
      <c r="NN76" s="637"/>
      <c r="NO76" s="637"/>
      <c r="NP76" s="637"/>
      <c r="NQ76" s="637"/>
      <c r="NR76" s="637"/>
      <c r="NS76" s="637"/>
      <c r="NT76" s="637"/>
      <c r="NU76" s="637"/>
      <c r="NV76" s="637"/>
      <c r="NW76" s="637"/>
      <c r="NX76" s="637"/>
      <c r="NY76" s="637"/>
      <c r="NZ76" s="637"/>
      <c r="OA76" s="637"/>
      <c r="OB76" s="637"/>
      <c r="OC76" s="637"/>
      <c r="OD76" s="637"/>
      <c r="OE76" s="637"/>
      <c r="OF76" s="637"/>
      <c r="OG76" s="637"/>
      <c r="OH76" s="637"/>
      <c r="OI76" s="637"/>
      <c r="OJ76" s="637"/>
      <c r="OK76" s="637"/>
      <c r="OL76" s="637"/>
      <c r="OM76" s="637"/>
      <c r="ON76" s="637"/>
      <c r="OO76" s="637"/>
      <c r="OP76" s="637"/>
      <c r="OQ76" s="637"/>
      <c r="OR76" s="637"/>
      <c r="OS76" s="637"/>
      <c r="OT76" s="637"/>
      <c r="OU76" s="637"/>
      <c r="OV76" s="637"/>
      <c r="OW76" s="637"/>
      <c r="OX76" s="637"/>
      <c r="OY76" s="637"/>
      <c r="OZ76" s="637"/>
      <c r="PA76" s="637"/>
      <c r="PB76" s="637"/>
      <c r="PC76" s="637"/>
      <c r="PD76" s="637"/>
      <c r="PE76" s="637"/>
      <c r="PF76" s="637"/>
      <c r="PG76" s="637"/>
      <c r="PH76" s="637"/>
      <c r="PI76" s="637"/>
      <c r="PJ76" s="637"/>
      <c r="PK76" s="637"/>
      <c r="PL76" s="637"/>
      <c r="PM76" s="637"/>
      <c r="PN76" s="637"/>
      <c r="PO76" s="637"/>
      <c r="PP76" s="637"/>
      <c r="PQ76" s="637"/>
      <c r="PR76" s="637"/>
      <c r="PS76" s="637"/>
      <c r="PT76" s="637"/>
      <c r="PU76" s="637"/>
      <c r="PV76" s="637"/>
      <c r="PW76" s="637"/>
      <c r="PX76" s="637"/>
      <c r="PY76" s="637"/>
      <c r="PZ76" s="637"/>
      <c r="QA76" s="637"/>
      <c r="QB76" s="637"/>
      <c r="QC76" s="637"/>
      <c r="QD76" s="637"/>
      <c r="QE76" s="637"/>
      <c r="QF76" s="637"/>
      <c r="QG76" s="637"/>
      <c r="QH76" s="637"/>
      <c r="QI76" s="637"/>
      <c r="QJ76" s="637"/>
      <c r="QK76" s="637"/>
      <c r="QL76" s="637"/>
      <c r="QM76" s="637"/>
      <c r="QN76" s="637"/>
      <c r="QO76" s="637"/>
      <c r="QP76" s="637"/>
      <c r="QQ76" s="637"/>
      <c r="QR76" s="637"/>
      <c r="QS76" s="637"/>
      <c r="QT76" s="637"/>
      <c r="QU76" s="637"/>
      <c r="QV76" s="637"/>
      <c r="QW76" s="637"/>
      <c r="QX76" s="637"/>
      <c r="QY76" s="637"/>
      <c r="QZ76" s="637"/>
      <c r="RA76" s="637"/>
      <c r="RB76" s="637"/>
      <c r="RC76" s="637"/>
      <c r="RD76" s="637"/>
      <c r="RE76" s="637"/>
      <c r="RF76" s="637"/>
      <c r="RG76" s="637"/>
      <c r="RH76" s="637"/>
      <c r="RI76" s="637"/>
      <c r="RJ76" s="637"/>
      <c r="RK76" s="637"/>
      <c r="RL76" s="637"/>
      <c r="RM76" s="637"/>
      <c r="RN76" s="637"/>
      <c r="RO76" s="637"/>
      <c r="RP76" s="637"/>
      <c r="RQ76" s="637"/>
      <c r="RR76" s="637"/>
      <c r="RS76" s="637"/>
      <c r="RT76" s="637"/>
      <c r="RU76" s="637"/>
      <c r="RV76" s="637"/>
      <c r="RW76" s="637"/>
      <c r="RX76" s="637"/>
      <c r="RY76" s="637"/>
      <c r="RZ76" s="637"/>
      <c r="SA76" s="637"/>
      <c r="SB76" s="637"/>
      <c r="SC76" s="637"/>
      <c r="SD76" s="637"/>
      <c r="SE76" s="637"/>
      <c r="SF76" s="637"/>
      <c r="SG76" s="637"/>
      <c r="SH76" s="637"/>
      <c r="SI76" s="637"/>
      <c r="SJ76" s="637"/>
      <c r="SK76" s="637"/>
      <c r="SL76" s="637"/>
      <c r="SM76" s="637"/>
      <c r="SN76" s="637"/>
      <c r="SO76" s="637"/>
      <c r="SP76" s="637"/>
      <c r="SQ76" s="637"/>
      <c r="SR76" s="637"/>
      <c r="SS76" s="637"/>
      <c r="ST76" s="637"/>
      <c r="SU76" s="637"/>
      <c r="SV76" s="637"/>
      <c r="SW76" s="637"/>
      <c r="SX76" s="637"/>
      <c r="SY76" s="637"/>
      <c r="SZ76" s="637"/>
      <c r="TA76" s="637"/>
      <c r="TB76" s="637"/>
      <c r="TC76" s="637"/>
      <c r="TD76" s="637"/>
      <c r="TE76" s="637"/>
      <c r="TF76" s="637"/>
      <c r="TG76" s="637"/>
      <c r="TH76" s="637"/>
      <c r="TI76" s="637"/>
      <c r="TJ76" s="637"/>
      <c r="TK76" s="637"/>
      <c r="TL76" s="637"/>
      <c r="TM76" s="637"/>
      <c r="TN76" s="637"/>
      <c r="TO76" s="637"/>
      <c r="TP76" s="637"/>
      <c r="TQ76" s="637"/>
      <c r="TR76" s="637"/>
      <c r="TS76" s="637"/>
      <c r="TT76" s="637"/>
      <c r="TU76" s="637"/>
      <c r="TV76" s="637"/>
      <c r="TW76" s="637"/>
      <c r="TX76" s="637"/>
      <c r="TY76" s="637"/>
      <c r="TZ76" s="637"/>
      <c r="UA76" s="637"/>
      <c r="UB76" s="637"/>
      <c r="UC76" s="637"/>
      <c r="UD76" s="637"/>
      <c r="UE76" s="637"/>
      <c r="UF76" s="637"/>
      <c r="UG76" s="637"/>
      <c r="UH76" s="637"/>
      <c r="UI76" s="637"/>
      <c r="UJ76" s="637"/>
      <c r="UK76" s="637"/>
      <c r="UL76" s="637"/>
      <c r="UM76" s="637"/>
      <c r="UN76" s="637"/>
      <c r="UO76" s="637"/>
      <c r="UP76" s="637"/>
      <c r="UQ76" s="637"/>
      <c r="UR76" s="637"/>
      <c r="US76" s="637"/>
      <c r="UT76" s="637"/>
      <c r="UU76" s="637"/>
      <c r="UV76" s="637"/>
      <c r="UW76" s="637"/>
      <c r="UX76" s="637"/>
      <c r="UY76" s="637"/>
      <c r="UZ76" s="637"/>
      <c r="VA76" s="637"/>
      <c r="VB76" s="637"/>
      <c r="VC76" s="637"/>
      <c r="VD76" s="637"/>
      <c r="VE76" s="637"/>
      <c r="VF76" s="637"/>
      <c r="VG76" s="637"/>
      <c r="VH76" s="637"/>
      <c r="VI76" s="637"/>
      <c r="VJ76" s="637"/>
      <c r="VK76" s="637"/>
      <c r="VL76" s="637"/>
      <c r="VM76" s="637"/>
      <c r="VN76" s="637"/>
      <c r="VO76" s="637"/>
      <c r="VP76" s="637"/>
      <c r="VQ76" s="637"/>
      <c r="VR76" s="637"/>
      <c r="VS76" s="637"/>
      <c r="VT76" s="637"/>
      <c r="VU76" s="637"/>
      <c r="VV76" s="637"/>
      <c r="VW76" s="637"/>
      <c r="VX76" s="637"/>
      <c r="VY76" s="637"/>
      <c r="VZ76" s="637"/>
      <c r="WA76" s="637"/>
      <c r="WB76" s="637"/>
      <c r="WC76" s="637"/>
      <c r="WD76" s="637"/>
      <c r="WE76" s="637"/>
      <c r="WF76" s="637"/>
      <c r="WG76" s="637"/>
      <c r="WH76" s="637"/>
      <c r="WI76" s="637"/>
      <c r="WJ76" s="637"/>
      <c r="WK76" s="637"/>
      <c r="WL76" s="637"/>
      <c r="WM76" s="637"/>
      <c r="WN76" s="637"/>
      <c r="WO76" s="637"/>
      <c r="WP76" s="637"/>
      <c r="WQ76" s="637"/>
      <c r="WR76" s="637"/>
      <c r="WS76" s="637"/>
      <c r="WT76" s="637"/>
      <c r="WU76" s="637"/>
      <c r="WV76" s="637"/>
      <c r="WW76" s="637"/>
      <c r="WX76" s="637"/>
      <c r="WY76" s="637"/>
      <c r="WZ76" s="637"/>
      <c r="XA76" s="637"/>
      <c r="XB76" s="637"/>
      <c r="XC76" s="637"/>
      <c r="XD76" s="637"/>
      <c r="XE76" s="637"/>
      <c r="XF76" s="637"/>
      <c r="XG76" s="637"/>
      <c r="XH76" s="637"/>
      <c r="XI76" s="637"/>
      <c r="XJ76" s="637"/>
      <c r="XK76" s="637"/>
      <c r="XL76" s="637"/>
      <c r="XM76" s="637"/>
      <c r="XN76" s="637"/>
      <c r="XO76" s="637"/>
      <c r="XP76" s="637"/>
      <c r="XQ76" s="637"/>
      <c r="XR76" s="637"/>
      <c r="XS76" s="637"/>
      <c r="XT76" s="637"/>
      <c r="XU76" s="637"/>
      <c r="XV76" s="637"/>
      <c r="XW76" s="637"/>
      <c r="XX76" s="637"/>
      <c r="XY76" s="637"/>
      <c r="XZ76" s="637"/>
      <c r="YA76" s="637"/>
      <c r="YB76" s="637"/>
      <c r="YC76" s="637"/>
      <c r="YD76" s="637"/>
      <c r="YE76" s="637"/>
      <c r="YF76" s="637"/>
      <c r="YG76" s="637"/>
      <c r="YH76" s="637"/>
      <c r="YI76" s="637"/>
      <c r="YJ76" s="637"/>
      <c r="YK76" s="637"/>
      <c r="YL76" s="637"/>
      <c r="YM76" s="637"/>
      <c r="YN76" s="637"/>
      <c r="YO76" s="637"/>
      <c r="YP76" s="637"/>
      <c r="YQ76" s="637"/>
      <c r="YR76" s="637"/>
      <c r="YS76" s="637"/>
      <c r="YT76" s="637"/>
      <c r="YU76" s="637"/>
      <c r="YV76" s="637"/>
      <c r="YW76" s="637"/>
      <c r="YX76" s="637"/>
      <c r="YY76" s="637"/>
      <c r="YZ76" s="637"/>
      <c r="ZA76" s="637"/>
      <c r="ZB76" s="637"/>
      <c r="ZC76" s="637"/>
      <c r="ZD76" s="637"/>
      <c r="ZE76" s="637"/>
      <c r="ZF76" s="637"/>
      <c r="ZG76" s="637"/>
      <c r="ZH76" s="637"/>
      <c r="ZI76" s="637"/>
      <c r="ZJ76" s="637"/>
      <c r="ZK76" s="637"/>
      <c r="ZL76" s="637"/>
      <c r="ZM76" s="637"/>
      <c r="ZN76" s="637"/>
      <c r="ZO76" s="637"/>
      <c r="ZP76" s="637"/>
      <c r="ZQ76" s="637"/>
      <c r="ZR76" s="637"/>
      <c r="ZS76" s="637"/>
      <c r="ZT76" s="637"/>
      <c r="ZU76" s="637"/>
      <c r="ZV76" s="637"/>
      <c r="ZW76" s="637"/>
      <c r="ZX76" s="637"/>
      <c r="ZY76" s="637"/>
      <c r="ZZ76" s="637"/>
      <c r="AAA76" s="637"/>
      <c r="AAB76" s="637"/>
      <c r="AAC76" s="637"/>
      <c r="AAD76" s="637"/>
      <c r="AAE76" s="637"/>
      <c r="AAF76" s="637"/>
      <c r="AAG76" s="637"/>
      <c r="AAH76" s="637"/>
      <c r="AAI76" s="637"/>
      <c r="AAJ76" s="637"/>
      <c r="AAK76" s="637"/>
      <c r="AAL76" s="637"/>
      <c r="AAM76" s="637"/>
      <c r="AAN76" s="637"/>
      <c r="AAO76" s="637"/>
      <c r="AAP76" s="637"/>
      <c r="AAQ76" s="637"/>
      <c r="AAR76" s="637"/>
      <c r="AAS76" s="637"/>
      <c r="AAT76" s="637"/>
      <c r="AAU76" s="637"/>
      <c r="AAV76" s="637"/>
      <c r="AAW76" s="637"/>
      <c r="AAX76" s="637"/>
      <c r="AAY76" s="637"/>
      <c r="AAZ76" s="637"/>
      <c r="ABA76" s="637"/>
      <c r="ABB76" s="637"/>
      <c r="ABC76" s="637"/>
      <c r="ABD76" s="637"/>
      <c r="ABE76" s="637"/>
      <c r="ABF76" s="637"/>
      <c r="ABG76" s="637"/>
      <c r="ABH76" s="637"/>
      <c r="ABI76" s="637"/>
      <c r="ABJ76" s="637"/>
      <c r="ABK76" s="637"/>
      <c r="ABL76" s="637"/>
      <c r="ABM76" s="637"/>
      <c r="ABN76" s="637"/>
      <c r="ABO76" s="637"/>
      <c r="ABP76" s="637"/>
      <c r="ABQ76" s="637"/>
      <c r="ABR76" s="637"/>
      <c r="ABS76" s="637"/>
      <c r="ABT76" s="637"/>
      <c r="ABU76" s="637"/>
      <c r="ABV76" s="637"/>
      <c r="ABW76" s="637"/>
      <c r="ABX76" s="637"/>
      <c r="ABY76" s="637"/>
      <c r="ABZ76" s="637"/>
      <c r="ACA76" s="637"/>
      <c r="ACB76" s="637"/>
      <c r="ACC76" s="637"/>
      <c r="ACD76" s="637"/>
      <c r="ACE76" s="637"/>
      <c r="ACF76" s="637"/>
      <c r="ACG76" s="637"/>
      <c r="ACH76" s="637"/>
      <c r="ACI76" s="637"/>
      <c r="ACJ76" s="637"/>
      <c r="ACK76" s="637"/>
      <c r="ACL76" s="637"/>
      <c r="ACM76" s="637"/>
      <c r="ACN76" s="637"/>
      <c r="ACO76" s="637"/>
      <c r="ACP76" s="637"/>
      <c r="ACQ76" s="637"/>
      <c r="ACR76" s="637"/>
      <c r="ACS76" s="637"/>
      <c r="ACT76" s="637"/>
      <c r="ACU76" s="637"/>
      <c r="ACV76" s="637"/>
      <c r="ACW76" s="637"/>
      <c r="ACX76" s="637"/>
      <c r="ACY76" s="637"/>
      <c r="ACZ76" s="637"/>
      <c r="ADA76" s="637"/>
      <c r="ADB76" s="637"/>
      <c r="ADC76" s="637"/>
      <c r="ADD76" s="637"/>
      <c r="ADE76" s="637"/>
      <c r="ADF76" s="637"/>
      <c r="ADG76" s="637"/>
      <c r="ADH76" s="637"/>
      <c r="ADI76" s="637"/>
      <c r="ADJ76" s="637"/>
      <c r="ADK76" s="637"/>
      <c r="ADL76" s="637"/>
      <c r="ADM76" s="637"/>
      <c r="ADN76" s="637"/>
      <c r="ADO76" s="637"/>
      <c r="ADP76" s="637"/>
      <c r="ADQ76" s="637"/>
      <c r="ADR76" s="637"/>
      <c r="ADS76" s="637"/>
      <c r="ADT76" s="637"/>
      <c r="ADU76" s="637"/>
      <c r="ADV76" s="637"/>
      <c r="ADW76" s="637"/>
      <c r="ADX76" s="637"/>
      <c r="ADY76" s="637"/>
      <c r="ADZ76" s="637"/>
      <c r="AEA76" s="637"/>
      <c r="AEB76" s="637"/>
      <c r="AEC76" s="637"/>
      <c r="AED76" s="637"/>
      <c r="AEE76" s="637"/>
      <c r="AEF76" s="637"/>
      <c r="AEG76" s="637"/>
      <c r="AEH76" s="637"/>
      <c r="AEI76" s="637"/>
      <c r="AEJ76" s="637"/>
      <c r="AEK76" s="637"/>
      <c r="AEL76" s="637"/>
      <c r="AEM76" s="637"/>
      <c r="AEN76" s="637"/>
      <c r="AEO76" s="637"/>
      <c r="AEP76" s="637"/>
      <c r="AEQ76" s="637"/>
      <c r="AER76" s="637"/>
      <c r="AES76" s="637"/>
      <c r="AET76" s="637"/>
      <c r="AEU76" s="637"/>
      <c r="AEV76" s="637"/>
      <c r="AEW76" s="637"/>
      <c r="AEX76" s="637"/>
      <c r="AEY76" s="637"/>
      <c r="AEZ76" s="637"/>
      <c r="AFA76" s="637"/>
      <c r="AFB76" s="637"/>
      <c r="AFC76" s="637"/>
      <c r="AFD76" s="637"/>
      <c r="AFE76" s="637"/>
      <c r="AFF76" s="637"/>
      <c r="AFG76" s="637"/>
      <c r="AFH76" s="637"/>
      <c r="AFI76" s="637"/>
      <c r="AFJ76" s="637"/>
      <c r="AFK76" s="637"/>
      <c r="AFL76" s="637"/>
      <c r="AFM76" s="637"/>
      <c r="AFN76" s="637"/>
      <c r="AFO76" s="637"/>
      <c r="AFP76" s="637"/>
      <c r="AFQ76" s="637"/>
      <c r="AFR76" s="637"/>
      <c r="AFS76" s="637"/>
      <c r="AFT76" s="637"/>
      <c r="AFU76" s="637"/>
      <c r="AFV76" s="637"/>
      <c r="AFW76" s="637"/>
      <c r="AFX76" s="637"/>
      <c r="AFY76" s="637"/>
      <c r="AFZ76" s="637"/>
      <c r="AGA76" s="637"/>
      <c r="AGB76" s="637"/>
      <c r="AGC76" s="637"/>
      <c r="AGD76" s="637"/>
      <c r="AGE76" s="637"/>
      <c r="AGF76" s="637"/>
      <c r="AGG76" s="637"/>
      <c r="AGH76" s="637"/>
      <c r="AGI76" s="637"/>
      <c r="AGJ76" s="637"/>
      <c r="AGK76" s="637"/>
      <c r="AGL76" s="637"/>
      <c r="AGM76" s="637"/>
      <c r="AGN76" s="637"/>
      <c r="AGO76" s="637"/>
      <c r="AGP76" s="637"/>
      <c r="AGQ76" s="637"/>
      <c r="AGR76" s="637"/>
      <c r="AGS76" s="637"/>
      <c r="AGT76" s="637"/>
      <c r="AGU76" s="637"/>
      <c r="AGV76" s="637"/>
      <c r="AGW76" s="637"/>
      <c r="AGX76" s="637"/>
      <c r="AGY76" s="637"/>
      <c r="AGZ76" s="637"/>
      <c r="AHA76" s="637"/>
      <c r="AHB76" s="637"/>
      <c r="AHC76" s="637"/>
      <c r="AHD76" s="637"/>
      <c r="AHE76" s="637"/>
      <c r="AHF76" s="637"/>
      <c r="AHG76" s="637"/>
      <c r="AHH76" s="637"/>
      <c r="AHI76" s="637"/>
      <c r="AHJ76" s="637"/>
      <c r="AHK76" s="637"/>
      <c r="AHL76" s="637"/>
      <c r="AHM76" s="637"/>
      <c r="AHN76" s="637"/>
      <c r="AHO76" s="637"/>
      <c r="AHP76" s="637"/>
      <c r="AHQ76" s="637"/>
      <c r="AHR76" s="637"/>
      <c r="AHS76" s="637"/>
      <c r="AHT76" s="637"/>
      <c r="AHU76" s="637"/>
      <c r="AHV76" s="637"/>
      <c r="AHW76" s="637"/>
      <c r="AHX76" s="637"/>
      <c r="AHY76" s="637"/>
      <c r="AHZ76" s="637"/>
      <c r="AIA76" s="637"/>
      <c r="AIB76" s="637"/>
      <c r="AIC76" s="637"/>
      <c r="AID76" s="637"/>
      <c r="AIE76" s="637"/>
      <c r="AIF76" s="637"/>
      <c r="AIG76" s="637"/>
      <c r="AIH76" s="637"/>
      <c r="AII76" s="637"/>
      <c r="AIJ76" s="637"/>
      <c r="AIK76" s="637"/>
      <c r="AIL76" s="637"/>
      <c r="AIM76" s="637"/>
      <c r="AIN76" s="637"/>
      <c r="AIO76" s="637"/>
      <c r="AIP76" s="637"/>
      <c r="AIQ76" s="637"/>
      <c r="AIR76" s="637"/>
      <c r="AIS76" s="637"/>
      <c r="AIT76" s="637"/>
      <c r="AIU76" s="637"/>
      <c r="AIV76" s="637"/>
      <c r="AIW76" s="637"/>
      <c r="AIX76" s="637"/>
      <c r="AIY76" s="637"/>
      <c r="AIZ76" s="637"/>
      <c r="AJA76" s="637"/>
      <c r="AJB76" s="637"/>
      <c r="AJC76" s="637"/>
      <c r="AJD76" s="637"/>
      <c r="AJE76" s="637"/>
      <c r="AJF76" s="637"/>
      <c r="AJG76" s="637"/>
      <c r="AJH76" s="637"/>
      <c r="AJI76" s="637"/>
      <c r="AJJ76" s="637"/>
      <c r="AJK76" s="637"/>
      <c r="AJL76" s="637"/>
      <c r="AJM76" s="637"/>
      <c r="AJN76" s="637"/>
      <c r="AJO76" s="637"/>
      <c r="AJP76" s="637"/>
      <c r="AJQ76" s="637"/>
      <c r="AJR76" s="637"/>
      <c r="AJS76" s="637"/>
      <c r="AJT76" s="637"/>
      <c r="AJU76" s="637"/>
      <c r="AJV76" s="637"/>
      <c r="AJW76" s="637"/>
      <c r="AJX76" s="637"/>
      <c r="AJY76" s="637"/>
      <c r="AJZ76" s="637"/>
      <c r="AKA76" s="637"/>
      <c r="AKB76" s="637"/>
      <c r="AKC76" s="637"/>
      <c r="AKD76" s="637"/>
      <c r="AKE76" s="637"/>
      <c r="AKF76" s="637"/>
      <c r="AKG76" s="637"/>
      <c r="AKH76" s="637"/>
      <c r="AKI76" s="637"/>
      <c r="AKJ76" s="637"/>
      <c r="AKK76" s="637"/>
      <c r="AKL76" s="637"/>
      <c r="AKM76" s="637"/>
      <c r="AKN76" s="637"/>
      <c r="AKO76" s="637"/>
      <c r="AKP76" s="637"/>
      <c r="AKQ76" s="637"/>
      <c r="AKR76" s="637"/>
      <c r="AKS76" s="637"/>
      <c r="AKT76" s="637"/>
      <c r="AKU76" s="637"/>
      <c r="AKV76" s="637"/>
      <c r="AKW76" s="637"/>
      <c r="AKX76" s="637"/>
      <c r="AKY76" s="637"/>
      <c r="AKZ76" s="637"/>
      <c r="ALA76" s="637"/>
      <c r="ALB76" s="637"/>
      <c r="ALC76" s="637"/>
      <c r="ALD76" s="637"/>
      <c r="ALE76" s="637"/>
      <c r="ALF76" s="637"/>
      <c r="ALG76" s="637"/>
      <c r="ALH76" s="637"/>
      <c r="ALI76" s="637"/>
      <c r="ALJ76" s="637"/>
      <c r="ALK76" s="637"/>
      <c r="ALL76" s="637"/>
      <c r="ALM76" s="637"/>
      <c r="ALN76" s="637"/>
      <c r="ALO76" s="637"/>
      <c r="ALP76" s="637"/>
      <c r="ALQ76" s="637"/>
      <c r="ALR76" s="637"/>
      <c r="ALS76" s="637"/>
      <c r="ALT76" s="637"/>
      <c r="ALU76" s="637"/>
      <c r="ALV76" s="637"/>
      <c r="ALW76" s="637"/>
      <c r="ALX76" s="637"/>
      <c r="ALY76" s="637"/>
      <c r="ALZ76" s="637"/>
      <c r="AMA76" s="637"/>
      <c r="AMB76" s="637"/>
      <c r="AMC76" s="637"/>
      <c r="AMD76" s="637"/>
      <c r="AME76" s="637"/>
      <c r="AMF76" s="637"/>
      <c r="AMG76" s="637"/>
      <c r="AMH76" s="637"/>
      <c r="AMI76" s="637"/>
      <c r="AMJ76" s="637"/>
    </row>
    <row r="77" spans="1:1024" s="638" customFormat="1" ht="12.75">
      <c r="A77" s="984" t="s">
        <v>120</v>
      </c>
      <c r="B77" s="985" t="s">
        <v>137</v>
      </c>
      <c r="C77" s="986" t="s">
        <v>123</v>
      </c>
      <c r="D77" s="981" t="s">
        <v>4</v>
      </c>
      <c r="E77" s="982">
        <v>20200</v>
      </c>
      <c r="F77" s="982">
        <f t="shared" si="7"/>
        <v>0</v>
      </c>
      <c r="G77" s="983"/>
      <c r="H77" s="983"/>
      <c r="I77" s="983"/>
      <c r="J77" s="983"/>
      <c r="K77" s="983"/>
      <c r="L77" s="983"/>
      <c r="M77" s="983"/>
      <c r="N77" s="983"/>
      <c r="O77" s="983"/>
      <c r="P77" s="983"/>
      <c r="Q77" s="983"/>
      <c r="R77" s="984"/>
      <c r="S77" s="637"/>
      <c r="T77" s="637"/>
      <c r="U77" s="637"/>
      <c r="V77" s="637"/>
      <c r="W77" s="637"/>
      <c r="X77" s="637"/>
      <c r="Y77" s="637"/>
      <c r="Z77" s="637"/>
      <c r="AA77" s="637"/>
      <c r="AB77" s="637"/>
      <c r="AC77" s="637"/>
      <c r="AD77" s="637"/>
      <c r="AE77" s="637"/>
      <c r="AF77" s="637"/>
      <c r="AG77" s="637"/>
      <c r="AH77" s="637"/>
      <c r="AI77" s="637"/>
      <c r="AJ77" s="637"/>
      <c r="AK77" s="637"/>
      <c r="AL77" s="637"/>
      <c r="AM77" s="637"/>
      <c r="AN77" s="637"/>
      <c r="AO77" s="637"/>
      <c r="AP77" s="637"/>
      <c r="AQ77" s="637"/>
      <c r="AR77" s="637"/>
      <c r="AS77" s="637"/>
      <c r="AT77" s="637"/>
      <c r="AU77" s="637"/>
      <c r="AV77" s="637"/>
      <c r="AW77" s="637"/>
      <c r="AX77" s="637"/>
      <c r="AY77" s="637"/>
      <c r="AZ77" s="637"/>
      <c r="BA77" s="637"/>
      <c r="BB77" s="637"/>
      <c r="BC77" s="637"/>
      <c r="BD77" s="637"/>
      <c r="BE77" s="637"/>
      <c r="BF77" s="637"/>
      <c r="BG77" s="637"/>
      <c r="BH77" s="637"/>
      <c r="BI77" s="637"/>
      <c r="BJ77" s="637"/>
      <c r="BK77" s="637"/>
      <c r="BL77" s="637"/>
      <c r="BM77" s="637"/>
      <c r="BN77" s="637"/>
      <c r="BO77" s="637"/>
      <c r="BP77" s="637"/>
      <c r="BQ77" s="637"/>
      <c r="BR77" s="637"/>
      <c r="BS77" s="637"/>
      <c r="BT77" s="637"/>
      <c r="BU77" s="637"/>
      <c r="BV77" s="637"/>
      <c r="BW77" s="637"/>
      <c r="BX77" s="637"/>
      <c r="BY77" s="637"/>
      <c r="BZ77" s="637"/>
      <c r="CA77" s="637"/>
      <c r="CB77" s="637"/>
      <c r="CC77" s="637"/>
      <c r="CD77" s="637"/>
      <c r="CE77" s="637"/>
      <c r="CF77" s="637"/>
      <c r="CG77" s="637"/>
      <c r="CH77" s="637"/>
      <c r="CI77" s="637"/>
      <c r="CJ77" s="637"/>
      <c r="CK77" s="637"/>
      <c r="CL77" s="637"/>
      <c r="CM77" s="637"/>
      <c r="CN77" s="637"/>
      <c r="CO77" s="637"/>
      <c r="CP77" s="637"/>
      <c r="CQ77" s="637"/>
      <c r="CR77" s="637"/>
      <c r="CS77" s="637"/>
      <c r="CT77" s="637"/>
      <c r="CU77" s="637"/>
      <c r="CV77" s="637"/>
      <c r="CW77" s="637"/>
      <c r="CX77" s="637"/>
      <c r="CY77" s="637"/>
      <c r="CZ77" s="637"/>
      <c r="DA77" s="637"/>
      <c r="DB77" s="637"/>
      <c r="DC77" s="637"/>
      <c r="DD77" s="637"/>
      <c r="DE77" s="637"/>
      <c r="DF77" s="637"/>
      <c r="DG77" s="637"/>
      <c r="DH77" s="637"/>
      <c r="DI77" s="637"/>
      <c r="DJ77" s="637"/>
      <c r="DK77" s="637"/>
      <c r="DL77" s="637"/>
      <c r="DM77" s="637"/>
      <c r="DN77" s="637"/>
      <c r="DO77" s="637"/>
      <c r="DP77" s="637"/>
      <c r="DQ77" s="637"/>
      <c r="DR77" s="637"/>
      <c r="DS77" s="637"/>
      <c r="DT77" s="637"/>
      <c r="DU77" s="637"/>
      <c r="DV77" s="637"/>
      <c r="DW77" s="637"/>
      <c r="DX77" s="637"/>
      <c r="DY77" s="637"/>
      <c r="DZ77" s="637"/>
      <c r="EA77" s="637"/>
      <c r="EB77" s="637"/>
      <c r="EC77" s="637"/>
      <c r="ED77" s="637"/>
      <c r="EE77" s="637"/>
      <c r="EF77" s="637"/>
      <c r="EG77" s="637"/>
      <c r="EH77" s="637"/>
      <c r="EI77" s="637"/>
      <c r="EJ77" s="637"/>
      <c r="EK77" s="637"/>
      <c r="EL77" s="637"/>
      <c r="EM77" s="637"/>
      <c r="EN77" s="637"/>
      <c r="EO77" s="637"/>
      <c r="EP77" s="637"/>
      <c r="EQ77" s="637"/>
      <c r="ER77" s="637"/>
      <c r="ES77" s="637"/>
      <c r="ET77" s="637"/>
      <c r="EU77" s="637"/>
      <c r="EV77" s="637"/>
      <c r="EW77" s="637"/>
      <c r="EX77" s="637"/>
      <c r="EY77" s="637"/>
      <c r="EZ77" s="637"/>
      <c r="FA77" s="637"/>
      <c r="FB77" s="637"/>
      <c r="FC77" s="637"/>
      <c r="FD77" s="637"/>
      <c r="FE77" s="637"/>
      <c r="FF77" s="637"/>
      <c r="FG77" s="637"/>
      <c r="FH77" s="637"/>
      <c r="FI77" s="637"/>
      <c r="FJ77" s="637"/>
      <c r="FK77" s="637"/>
      <c r="FL77" s="637"/>
      <c r="FM77" s="637"/>
      <c r="FN77" s="637"/>
      <c r="FO77" s="637"/>
      <c r="FP77" s="637"/>
      <c r="FQ77" s="637"/>
      <c r="FR77" s="637"/>
      <c r="FS77" s="637"/>
      <c r="FT77" s="637"/>
      <c r="FU77" s="637"/>
      <c r="FV77" s="637"/>
      <c r="FW77" s="637"/>
      <c r="FX77" s="637"/>
      <c r="FY77" s="637"/>
      <c r="FZ77" s="637"/>
      <c r="GA77" s="637"/>
      <c r="GB77" s="637"/>
      <c r="GC77" s="637"/>
      <c r="GD77" s="637"/>
      <c r="GE77" s="637"/>
      <c r="GF77" s="637"/>
      <c r="GG77" s="637"/>
      <c r="GH77" s="637"/>
      <c r="GI77" s="637"/>
      <c r="GJ77" s="637"/>
      <c r="GK77" s="637"/>
      <c r="GL77" s="637"/>
      <c r="GM77" s="637"/>
      <c r="GN77" s="637"/>
      <c r="GO77" s="637"/>
      <c r="GP77" s="637"/>
      <c r="GQ77" s="637"/>
      <c r="GR77" s="637"/>
      <c r="GS77" s="637"/>
      <c r="GT77" s="637"/>
      <c r="GU77" s="637"/>
      <c r="GV77" s="637"/>
      <c r="GW77" s="637"/>
      <c r="GX77" s="637"/>
      <c r="GY77" s="637"/>
      <c r="GZ77" s="637"/>
      <c r="HA77" s="637"/>
      <c r="HB77" s="637"/>
      <c r="HC77" s="637"/>
      <c r="HD77" s="637"/>
      <c r="HE77" s="637"/>
      <c r="HF77" s="637"/>
      <c r="HG77" s="637"/>
      <c r="HH77" s="637"/>
      <c r="HI77" s="637"/>
      <c r="HJ77" s="637"/>
      <c r="HK77" s="637"/>
      <c r="HL77" s="637"/>
      <c r="HM77" s="637"/>
      <c r="HN77" s="637"/>
      <c r="HO77" s="637"/>
      <c r="HP77" s="637"/>
      <c r="HQ77" s="637"/>
      <c r="HR77" s="637"/>
      <c r="HS77" s="637"/>
      <c r="HT77" s="637"/>
      <c r="HU77" s="637"/>
      <c r="HV77" s="637"/>
      <c r="HW77" s="637"/>
      <c r="HX77" s="637"/>
      <c r="HY77" s="637"/>
      <c r="HZ77" s="637"/>
      <c r="IA77" s="637"/>
      <c r="IB77" s="637"/>
      <c r="IC77" s="637"/>
      <c r="ID77" s="637"/>
      <c r="IE77" s="637"/>
      <c r="IF77" s="637"/>
      <c r="IG77" s="637"/>
      <c r="IH77" s="637"/>
      <c r="II77" s="637"/>
      <c r="IJ77" s="637"/>
      <c r="IK77" s="637"/>
      <c r="IL77" s="637"/>
      <c r="IM77" s="637"/>
      <c r="IN77" s="637"/>
      <c r="IO77" s="637"/>
      <c r="IP77" s="637"/>
      <c r="IQ77" s="637"/>
      <c r="IR77" s="637"/>
      <c r="IS77" s="637"/>
      <c r="IT77" s="637"/>
      <c r="IU77" s="637"/>
      <c r="IV77" s="637"/>
      <c r="IW77" s="637"/>
      <c r="IX77" s="637"/>
      <c r="IY77" s="637"/>
      <c r="IZ77" s="637"/>
      <c r="JA77" s="637"/>
      <c r="JB77" s="637"/>
      <c r="JC77" s="637"/>
      <c r="JD77" s="637"/>
      <c r="JE77" s="637"/>
      <c r="JF77" s="637"/>
      <c r="JG77" s="637"/>
      <c r="JH77" s="637"/>
      <c r="JI77" s="637"/>
      <c r="JJ77" s="637"/>
      <c r="JK77" s="637"/>
      <c r="JL77" s="637"/>
      <c r="JM77" s="637"/>
      <c r="JN77" s="637"/>
      <c r="JO77" s="637"/>
      <c r="JP77" s="637"/>
      <c r="JQ77" s="637"/>
      <c r="JR77" s="637"/>
      <c r="JS77" s="637"/>
      <c r="JT77" s="637"/>
      <c r="JU77" s="637"/>
      <c r="JV77" s="637"/>
      <c r="JW77" s="637"/>
      <c r="JX77" s="637"/>
      <c r="JY77" s="637"/>
      <c r="JZ77" s="637"/>
      <c r="KA77" s="637"/>
      <c r="KB77" s="637"/>
      <c r="KC77" s="637"/>
      <c r="KD77" s="637"/>
      <c r="KE77" s="637"/>
      <c r="KF77" s="637"/>
      <c r="KG77" s="637"/>
      <c r="KH77" s="637"/>
      <c r="KI77" s="637"/>
      <c r="KJ77" s="637"/>
      <c r="KK77" s="637"/>
      <c r="KL77" s="637"/>
      <c r="KM77" s="637"/>
      <c r="KN77" s="637"/>
      <c r="KO77" s="637"/>
      <c r="KP77" s="637"/>
      <c r="KQ77" s="637"/>
      <c r="KR77" s="637"/>
      <c r="KS77" s="637"/>
      <c r="KT77" s="637"/>
      <c r="KU77" s="637"/>
      <c r="KV77" s="637"/>
      <c r="KW77" s="637"/>
      <c r="KX77" s="637"/>
      <c r="KY77" s="637"/>
      <c r="KZ77" s="637"/>
      <c r="LA77" s="637"/>
      <c r="LB77" s="637"/>
      <c r="LC77" s="637"/>
      <c r="LD77" s="637"/>
      <c r="LE77" s="637"/>
      <c r="LF77" s="637"/>
      <c r="LG77" s="637"/>
      <c r="LH77" s="637"/>
      <c r="LI77" s="637"/>
      <c r="LJ77" s="637"/>
      <c r="LK77" s="637"/>
      <c r="LL77" s="637"/>
      <c r="LM77" s="637"/>
      <c r="LN77" s="637"/>
      <c r="LO77" s="637"/>
      <c r="LP77" s="637"/>
      <c r="LQ77" s="637"/>
      <c r="LR77" s="637"/>
      <c r="LS77" s="637"/>
      <c r="LT77" s="637"/>
      <c r="LU77" s="637"/>
      <c r="LV77" s="637"/>
      <c r="LW77" s="637"/>
      <c r="LX77" s="637"/>
      <c r="LY77" s="637"/>
      <c r="LZ77" s="637"/>
      <c r="MA77" s="637"/>
      <c r="MB77" s="637"/>
      <c r="MC77" s="637"/>
      <c r="MD77" s="637"/>
      <c r="ME77" s="637"/>
      <c r="MF77" s="637"/>
      <c r="MG77" s="637"/>
      <c r="MH77" s="637"/>
      <c r="MI77" s="637"/>
      <c r="MJ77" s="637"/>
      <c r="MK77" s="637"/>
      <c r="ML77" s="637"/>
      <c r="MM77" s="637"/>
      <c r="MN77" s="637"/>
      <c r="MO77" s="637"/>
      <c r="MP77" s="637"/>
      <c r="MQ77" s="637"/>
      <c r="MR77" s="637"/>
      <c r="MS77" s="637"/>
      <c r="MT77" s="637"/>
      <c r="MU77" s="637"/>
      <c r="MV77" s="637"/>
      <c r="MW77" s="637"/>
      <c r="MX77" s="637"/>
      <c r="MY77" s="637"/>
      <c r="MZ77" s="637"/>
      <c r="NA77" s="637"/>
      <c r="NB77" s="637"/>
      <c r="NC77" s="637"/>
      <c r="ND77" s="637"/>
      <c r="NE77" s="637"/>
      <c r="NF77" s="637"/>
      <c r="NG77" s="637"/>
      <c r="NH77" s="637"/>
      <c r="NI77" s="637"/>
      <c r="NJ77" s="637"/>
      <c r="NK77" s="637"/>
      <c r="NL77" s="637"/>
      <c r="NM77" s="637"/>
      <c r="NN77" s="637"/>
      <c r="NO77" s="637"/>
      <c r="NP77" s="637"/>
      <c r="NQ77" s="637"/>
      <c r="NR77" s="637"/>
      <c r="NS77" s="637"/>
      <c r="NT77" s="637"/>
      <c r="NU77" s="637"/>
      <c r="NV77" s="637"/>
      <c r="NW77" s="637"/>
      <c r="NX77" s="637"/>
      <c r="NY77" s="637"/>
      <c r="NZ77" s="637"/>
      <c r="OA77" s="637"/>
      <c r="OB77" s="637"/>
      <c r="OC77" s="637"/>
      <c r="OD77" s="637"/>
      <c r="OE77" s="637"/>
      <c r="OF77" s="637"/>
      <c r="OG77" s="637"/>
      <c r="OH77" s="637"/>
      <c r="OI77" s="637"/>
      <c r="OJ77" s="637"/>
      <c r="OK77" s="637"/>
      <c r="OL77" s="637"/>
      <c r="OM77" s="637"/>
      <c r="ON77" s="637"/>
      <c r="OO77" s="637"/>
      <c r="OP77" s="637"/>
      <c r="OQ77" s="637"/>
      <c r="OR77" s="637"/>
      <c r="OS77" s="637"/>
      <c r="OT77" s="637"/>
      <c r="OU77" s="637"/>
      <c r="OV77" s="637"/>
      <c r="OW77" s="637"/>
      <c r="OX77" s="637"/>
      <c r="OY77" s="637"/>
      <c r="OZ77" s="637"/>
      <c r="PA77" s="637"/>
      <c r="PB77" s="637"/>
      <c r="PC77" s="637"/>
      <c r="PD77" s="637"/>
      <c r="PE77" s="637"/>
      <c r="PF77" s="637"/>
      <c r="PG77" s="637"/>
      <c r="PH77" s="637"/>
      <c r="PI77" s="637"/>
      <c r="PJ77" s="637"/>
      <c r="PK77" s="637"/>
      <c r="PL77" s="637"/>
      <c r="PM77" s="637"/>
      <c r="PN77" s="637"/>
      <c r="PO77" s="637"/>
      <c r="PP77" s="637"/>
      <c r="PQ77" s="637"/>
      <c r="PR77" s="637"/>
      <c r="PS77" s="637"/>
      <c r="PT77" s="637"/>
      <c r="PU77" s="637"/>
      <c r="PV77" s="637"/>
      <c r="PW77" s="637"/>
      <c r="PX77" s="637"/>
      <c r="PY77" s="637"/>
      <c r="PZ77" s="637"/>
      <c r="QA77" s="637"/>
      <c r="QB77" s="637"/>
      <c r="QC77" s="637"/>
      <c r="QD77" s="637"/>
      <c r="QE77" s="637"/>
      <c r="QF77" s="637"/>
      <c r="QG77" s="637"/>
      <c r="QH77" s="637"/>
      <c r="QI77" s="637"/>
      <c r="QJ77" s="637"/>
      <c r="QK77" s="637"/>
      <c r="QL77" s="637"/>
      <c r="QM77" s="637"/>
      <c r="QN77" s="637"/>
      <c r="QO77" s="637"/>
      <c r="QP77" s="637"/>
      <c r="QQ77" s="637"/>
      <c r="QR77" s="637"/>
      <c r="QS77" s="637"/>
      <c r="QT77" s="637"/>
      <c r="QU77" s="637"/>
      <c r="QV77" s="637"/>
      <c r="QW77" s="637"/>
      <c r="QX77" s="637"/>
      <c r="QY77" s="637"/>
      <c r="QZ77" s="637"/>
      <c r="RA77" s="637"/>
      <c r="RB77" s="637"/>
      <c r="RC77" s="637"/>
      <c r="RD77" s="637"/>
      <c r="RE77" s="637"/>
      <c r="RF77" s="637"/>
      <c r="RG77" s="637"/>
      <c r="RH77" s="637"/>
      <c r="RI77" s="637"/>
      <c r="RJ77" s="637"/>
      <c r="RK77" s="637"/>
      <c r="RL77" s="637"/>
      <c r="RM77" s="637"/>
      <c r="RN77" s="637"/>
      <c r="RO77" s="637"/>
      <c r="RP77" s="637"/>
      <c r="RQ77" s="637"/>
      <c r="RR77" s="637"/>
      <c r="RS77" s="637"/>
      <c r="RT77" s="637"/>
      <c r="RU77" s="637"/>
      <c r="RV77" s="637"/>
      <c r="RW77" s="637"/>
      <c r="RX77" s="637"/>
      <c r="RY77" s="637"/>
      <c r="RZ77" s="637"/>
      <c r="SA77" s="637"/>
      <c r="SB77" s="637"/>
      <c r="SC77" s="637"/>
      <c r="SD77" s="637"/>
      <c r="SE77" s="637"/>
      <c r="SF77" s="637"/>
      <c r="SG77" s="637"/>
      <c r="SH77" s="637"/>
      <c r="SI77" s="637"/>
      <c r="SJ77" s="637"/>
      <c r="SK77" s="637"/>
      <c r="SL77" s="637"/>
      <c r="SM77" s="637"/>
      <c r="SN77" s="637"/>
      <c r="SO77" s="637"/>
      <c r="SP77" s="637"/>
      <c r="SQ77" s="637"/>
      <c r="SR77" s="637"/>
      <c r="SS77" s="637"/>
      <c r="ST77" s="637"/>
      <c r="SU77" s="637"/>
      <c r="SV77" s="637"/>
      <c r="SW77" s="637"/>
      <c r="SX77" s="637"/>
      <c r="SY77" s="637"/>
      <c r="SZ77" s="637"/>
      <c r="TA77" s="637"/>
      <c r="TB77" s="637"/>
      <c r="TC77" s="637"/>
      <c r="TD77" s="637"/>
      <c r="TE77" s="637"/>
      <c r="TF77" s="637"/>
      <c r="TG77" s="637"/>
      <c r="TH77" s="637"/>
      <c r="TI77" s="637"/>
      <c r="TJ77" s="637"/>
      <c r="TK77" s="637"/>
      <c r="TL77" s="637"/>
      <c r="TM77" s="637"/>
      <c r="TN77" s="637"/>
      <c r="TO77" s="637"/>
      <c r="TP77" s="637"/>
      <c r="TQ77" s="637"/>
      <c r="TR77" s="637"/>
      <c r="TS77" s="637"/>
      <c r="TT77" s="637"/>
      <c r="TU77" s="637"/>
      <c r="TV77" s="637"/>
      <c r="TW77" s="637"/>
      <c r="TX77" s="637"/>
      <c r="TY77" s="637"/>
      <c r="TZ77" s="637"/>
      <c r="UA77" s="637"/>
      <c r="UB77" s="637"/>
      <c r="UC77" s="637"/>
      <c r="UD77" s="637"/>
      <c r="UE77" s="637"/>
      <c r="UF77" s="637"/>
      <c r="UG77" s="637"/>
      <c r="UH77" s="637"/>
      <c r="UI77" s="637"/>
      <c r="UJ77" s="637"/>
      <c r="UK77" s="637"/>
      <c r="UL77" s="637"/>
      <c r="UM77" s="637"/>
      <c r="UN77" s="637"/>
      <c r="UO77" s="637"/>
      <c r="UP77" s="637"/>
      <c r="UQ77" s="637"/>
      <c r="UR77" s="637"/>
      <c r="US77" s="637"/>
      <c r="UT77" s="637"/>
      <c r="UU77" s="637"/>
      <c r="UV77" s="637"/>
      <c r="UW77" s="637"/>
      <c r="UX77" s="637"/>
      <c r="UY77" s="637"/>
      <c r="UZ77" s="637"/>
      <c r="VA77" s="637"/>
      <c r="VB77" s="637"/>
      <c r="VC77" s="637"/>
      <c r="VD77" s="637"/>
      <c r="VE77" s="637"/>
      <c r="VF77" s="637"/>
      <c r="VG77" s="637"/>
      <c r="VH77" s="637"/>
      <c r="VI77" s="637"/>
      <c r="VJ77" s="637"/>
      <c r="VK77" s="637"/>
      <c r="VL77" s="637"/>
      <c r="VM77" s="637"/>
      <c r="VN77" s="637"/>
      <c r="VO77" s="637"/>
      <c r="VP77" s="637"/>
      <c r="VQ77" s="637"/>
      <c r="VR77" s="637"/>
      <c r="VS77" s="637"/>
      <c r="VT77" s="637"/>
      <c r="VU77" s="637"/>
      <c r="VV77" s="637"/>
      <c r="VW77" s="637"/>
      <c r="VX77" s="637"/>
      <c r="VY77" s="637"/>
      <c r="VZ77" s="637"/>
      <c r="WA77" s="637"/>
      <c r="WB77" s="637"/>
      <c r="WC77" s="637"/>
      <c r="WD77" s="637"/>
      <c r="WE77" s="637"/>
      <c r="WF77" s="637"/>
      <c r="WG77" s="637"/>
      <c r="WH77" s="637"/>
      <c r="WI77" s="637"/>
      <c r="WJ77" s="637"/>
      <c r="WK77" s="637"/>
      <c r="WL77" s="637"/>
      <c r="WM77" s="637"/>
      <c r="WN77" s="637"/>
      <c r="WO77" s="637"/>
      <c r="WP77" s="637"/>
      <c r="WQ77" s="637"/>
      <c r="WR77" s="637"/>
      <c r="WS77" s="637"/>
      <c r="WT77" s="637"/>
      <c r="WU77" s="637"/>
      <c r="WV77" s="637"/>
      <c r="WW77" s="637"/>
      <c r="WX77" s="637"/>
      <c r="WY77" s="637"/>
      <c r="WZ77" s="637"/>
      <c r="XA77" s="637"/>
      <c r="XB77" s="637"/>
      <c r="XC77" s="637"/>
      <c r="XD77" s="637"/>
      <c r="XE77" s="637"/>
      <c r="XF77" s="637"/>
      <c r="XG77" s="637"/>
      <c r="XH77" s="637"/>
      <c r="XI77" s="637"/>
      <c r="XJ77" s="637"/>
      <c r="XK77" s="637"/>
      <c r="XL77" s="637"/>
      <c r="XM77" s="637"/>
      <c r="XN77" s="637"/>
      <c r="XO77" s="637"/>
      <c r="XP77" s="637"/>
      <c r="XQ77" s="637"/>
      <c r="XR77" s="637"/>
      <c r="XS77" s="637"/>
      <c r="XT77" s="637"/>
      <c r="XU77" s="637"/>
      <c r="XV77" s="637"/>
      <c r="XW77" s="637"/>
      <c r="XX77" s="637"/>
      <c r="XY77" s="637"/>
      <c r="XZ77" s="637"/>
      <c r="YA77" s="637"/>
      <c r="YB77" s="637"/>
      <c r="YC77" s="637"/>
      <c r="YD77" s="637"/>
      <c r="YE77" s="637"/>
      <c r="YF77" s="637"/>
      <c r="YG77" s="637"/>
      <c r="YH77" s="637"/>
      <c r="YI77" s="637"/>
      <c r="YJ77" s="637"/>
      <c r="YK77" s="637"/>
      <c r="YL77" s="637"/>
      <c r="YM77" s="637"/>
      <c r="YN77" s="637"/>
      <c r="YO77" s="637"/>
      <c r="YP77" s="637"/>
      <c r="YQ77" s="637"/>
      <c r="YR77" s="637"/>
      <c r="YS77" s="637"/>
      <c r="YT77" s="637"/>
      <c r="YU77" s="637"/>
      <c r="YV77" s="637"/>
      <c r="YW77" s="637"/>
      <c r="YX77" s="637"/>
      <c r="YY77" s="637"/>
      <c r="YZ77" s="637"/>
      <c r="ZA77" s="637"/>
      <c r="ZB77" s="637"/>
      <c r="ZC77" s="637"/>
      <c r="ZD77" s="637"/>
      <c r="ZE77" s="637"/>
      <c r="ZF77" s="637"/>
      <c r="ZG77" s="637"/>
      <c r="ZH77" s="637"/>
      <c r="ZI77" s="637"/>
      <c r="ZJ77" s="637"/>
      <c r="ZK77" s="637"/>
      <c r="ZL77" s="637"/>
      <c r="ZM77" s="637"/>
      <c r="ZN77" s="637"/>
      <c r="ZO77" s="637"/>
      <c r="ZP77" s="637"/>
      <c r="ZQ77" s="637"/>
      <c r="ZR77" s="637"/>
      <c r="ZS77" s="637"/>
      <c r="ZT77" s="637"/>
      <c r="ZU77" s="637"/>
      <c r="ZV77" s="637"/>
      <c r="ZW77" s="637"/>
      <c r="ZX77" s="637"/>
      <c r="ZY77" s="637"/>
      <c r="ZZ77" s="637"/>
      <c r="AAA77" s="637"/>
      <c r="AAB77" s="637"/>
      <c r="AAC77" s="637"/>
      <c r="AAD77" s="637"/>
      <c r="AAE77" s="637"/>
      <c r="AAF77" s="637"/>
      <c r="AAG77" s="637"/>
      <c r="AAH77" s="637"/>
      <c r="AAI77" s="637"/>
      <c r="AAJ77" s="637"/>
      <c r="AAK77" s="637"/>
      <c r="AAL77" s="637"/>
      <c r="AAM77" s="637"/>
      <c r="AAN77" s="637"/>
      <c r="AAO77" s="637"/>
      <c r="AAP77" s="637"/>
      <c r="AAQ77" s="637"/>
      <c r="AAR77" s="637"/>
      <c r="AAS77" s="637"/>
      <c r="AAT77" s="637"/>
      <c r="AAU77" s="637"/>
      <c r="AAV77" s="637"/>
      <c r="AAW77" s="637"/>
      <c r="AAX77" s="637"/>
      <c r="AAY77" s="637"/>
      <c r="AAZ77" s="637"/>
      <c r="ABA77" s="637"/>
      <c r="ABB77" s="637"/>
      <c r="ABC77" s="637"/>
      <c r="ABD77" s="637"/>
      <c r="ABE77" s="637"/>
      <c r="ABF77" s="637"/>
      <c r="ABG77" s="637"/>
      <c r="ABH77" s="637"/>
      <c r="ABI77" s="637"/>
      <c r="ABJ77" s="637"/>
      <c r="ABK77" s="637"/>
      <c r="ABL77" s="637"/>
      <c r="ABM77" s="637"/>
      <c r="ABN77" s="637"/>
      <c r="ABO77" s="637"/>
      <c r="ABP77" s="637"/>
      <c r="ABQ77" s="637"/>
      <c r="ABR77" s="637"/>
      <c r="ABS77" s="637"/>
      <c r="ABT77" s="637"/>
      <c r="ABU77" s="637"/>
      <c r="ABV77" s="637"/>
      <c r="ABW77" s="637"/>
      <c r="ABX77" s="637"/>
      <c r="ABY77" s="637"/>
      <c r="ABZ77" s="637"/>
      <c r="ACA77" s="637"/>
      <c r="ACB77" s="637"/>
      <c r="ACC77" s="637"/>
      <c r="ACD77" s="637"/>
      <c r="ACE77" s="637"/>
      <c r="ACF77" s="637"/>
      <c r="ACG77" s="637"/>
      <c r="ACH77" s="637"/>
      <c r="ACI77" s="637"/>
      <c r="ACJ77" s="637"/>
      <c r="ACK77" s="637"/>
      <c r="ACL77" s="637"/>
      <c r="ACM77" s="637"/>
      <c r="ACN77" s="637"/>
      <c r="ACO77" s="637"/>
      <c r="ACP77" s="637"/>
      <c r="ACQ77" s="637"/>
      <c r="ACR77" s="637"/>
      <c r="ACS77" s="637"/>
      <c r="ACT77" s="637"/>
      <c r="ACU77" s="637"/>
      <c r="ACV77" s="637"/>
      <c r="ACW77" s="637"/>
      <c r="ACX77" s="637"/>
      <c r="ACY77" s="637"/>
      <c r="ACZ77" s="637"/>
      <c r="ADA77" s="637"/>
      <c r="ADB77" s="637"/>
      <c r="ADC77" s="637"/>
      <c r="ADD77" s="637"/>
      <c r="ADE77" s="637"/>
      <c r="ADF77" s="637"/>
      <c r="ADG77" s="637"/>
      <c r="ADH77" s="637"/>
      <c r="ADI77" s="637"/>
      <c r="ADJ77" s="637"/>
      <c r="ADK77" s="637"/>
      <c r="ADL77" s="637"/>
      <c r="ADM77" s="637"/>
      <c r="ADN77" s="637"/>
      <c r="ADO77" s="637"/>
      <c r="ADP77" s="637"/>
      <c r="ADQ77" s="637"/>
      <c r="ADR77" s="637"/>
      <c r="ADS77" s="637"/>
      <c r="ADT77" s="637"/>
      <c r="ADU77" s="637"/>
      <c r="ADV77" s="637"/>
      <c r="ADW77" s="637"/>
      <c r="ADX77" s="637"/>
      <c r="ADY77" s="637"/>
      <c r="ADZ77" s="637"/>
      <c r="AEA77" s="637"/>
      <c r="AEB77" s="637"/>
      <c r="AEC77" s="637"/>
      <c r="AED77" s="637"/>
      <c r="AEE77" s="637"/>
      <c r="AEF77" s="637"/>
      <c r="AEG77" s="637"/>
      <c r="AEH77" s="637"/>
      <c r="AEI77" s="637"/>
      <c r="AEJ77" s="637"/>
      <c r="AEK77" s="637"/>
      <c r="AEL77" s="637"/>
      <c r="AEM77" s="637"/>
      <c r="AEN77" s="637"/>
      <c r="AEO77" s="637"/>
      <c r="AEP77" s="637"/>
      <c r="AEQ77" s="637"/>
      <c r="AER77" s="637"/>
      <c r="AES77" s="637"/>
      <c r="AET77" s="637"/>
      <c r="AEU77" s="637"/>
      <c r="AEV77" s="637"/>
      <c r="AEW77" s="637"/>
      <c r="AEX77" s="637"/>
      <c r="AEY77" s="637"/>
      <c r="AEZ77" s="637"/>
      <c r="AFA77" s="637"/>
      <c r="AFB77" s="637"/>
      <c r="AFC77" s="637"/>
      <c r="AFD77" s="637"/>
      <c r="AFE77" s="637"/>
      <c r="AFF77" s="637"/>
      <c r="AFG77" s="637"/>
      <c r="AFH77" s="637"/>
      <c r="AFI77" s="637"/>
      <c r="AFJ77" s="637"/>
      <c r="AFK77" s="637"/>
      <c r="AFL77" s="637"/>
      <c r="AFM77" s="637"/>
      <c r="AFN77" s="637"/>
      <c r="AFO77" s="637"/>
      <c r="AFP77" s="637"/>
      <c r="AFQ77" s="637"/>
      <c r="AFR77" s="637"/>
      <c r="AFS77" s="637"/>
      <c r="AFT77" s="637"/>
      <c r="AFU77" s="637"/>
      <c r="AFV77" s="637"/>
      <c r="AFW77" s="637"/>
      <c r="AFX77" s="637"/>
      <c r="AFY77" s="637"/>
      <c r="AFZ77" s="637"/>
      <c r="AGA77" s="637"/>
      <c r="AGB77" s="637"/>
      <c r="AGC77" s="637"/>
      <c r="AGD77" s="637"/>
      <c r="AGE77" s="637"/>
      <c r="AGF77" s="637"/>
      <c r="AGG77" s="637"/>
      <c r="AGH77" s="637"/>
      <c r="AGI77" s="637"/>
      <c r="AGJ77" s="637"/>
      <c r="AGK77" s="637"/>
      <c r="AGL77" s="637"/>
      <c r="AGM77" s="637"/>
      <c r="AGN77" s="637"/>
      <c r="AGO77" s="637"/>
      <c r="AGP77" s="637"/>
      <c r="AGQ77" s="637"/>
      <c r="AGR77" s="637"/>
      <c r="AGS77" s="637"/>
      <c r="AGT77" s="637"/>
      <c r="AGU77" s="637"/>
      <c r="AGV77" s="637"/>
      <c r="AGW77" s="637"/>
      <c r="AGX77" s="637"/>
      <c r="AGY77" s="637"/>
      <c r="AGZ77" s="637"/>
      <c r="AHA77" s="637"/>
      <c r="AHB77" s="637"/>
      <c r="AHC77" s="637"/>
      <c r="AHD77" s="637"/>
      <c r="AHE77" s="637"/>
      <c r="AHF77" s="637"/>
      <c r="AHG77" s="637"/>
      <c r="AHH77" s="637"/>
      <c r="AHI77" s="637"/>
      <c r="AHJ77" s="637"/>
      <c r="AHK77" s="637"/>
      <c r="AHL77" s="637"/>
      <c r="AHM77" s="637"/>
      <c r="AHN77" s="637"/>
      <c r="AHO77" s="637"/>
      <c r="AHP77" s="637"/>
      <c r="AHQ77" s="637"/>
      <c r="AHR77" s="637"/>
      <c r="AHS77" s="637"/>
      <c r="AHT77" s="637"/>
      <c r="AHU77" s="637"/>
      <c r="AHV77" s="637"/>
      <c r="AHW77" s="637"/>
      <c r="AHX77" s="637"/>
      <c r="AHY77" s="637"/>
      <c r="AHZ77" s="637"/>
      <c r="AIA77" s="637"/>
      <c r="AIB77" s="637"/>
      <c r="AIC77" s="637"/>
      <c r="AID77" s="637"/>
      <c r="AIE77" s="637"/>
      <c r="AIF77" s="637"/>
      <c r="AIG77" s="637"/>
      <c r="AIH77" s="637"/>
      <c r="AII77" s="637"/>
      <c r="AIJ77" s="637"/>
      <c r="AIK77" s="637"/>
      <c r="AIL77" s="637"/>
      <c r="AIM77" s="637"/>
      <c r="AIN77" s="637"/>
      <c r="AIO77" s="637"/>
      <c r="AIP77" s="637"/>
      <c r="AIQ77" s="637"/>
      <c r="AIR77" s="637"/>
      <c r="AIS77" s="637"/>
      <c r="AIT77" s="637"/>
      <c r="AIU77" s="637"/>
      <c r="AIV77" s="637"/>
      <c r="AIW77" s="637"/>
      <c r="AIX77" s="637"/>
      <c r="AIY77" s="637"/>
      <c r="AIZ77" s="637"/>
      <c r="AJA77" s="637"/>
      <c r="AJB77" s="637"/>
      <c r="AJC77" s="637"/>
      <c r="AJD77" s="637"/>
      <c r="AJE77" s="637"/>
      <c r="AJF77" s="637"/>
      <c r="AJG77" s="637"/>
      <c r="AJH77" s="637"/>
      <c r="AJI77" s="637"/>
      <c r="AJJ77" s="637"/>
      <c r="AJK77" s="637"/>
      <c r="AJL77" s="637"/>
      <c r="AJM77" s="637"/>
      <c r="AJN77" s="637"/>
      <c r="AJO77" s="637"/>
      <c r="AJP77" s="637"/>
      <c r="AJQ77" s="637"/>
      <c r="AJR77" s="637"/>
      <c r="AJS77" s="637"/>
      <c r="AJT77" s="637"/>
      <c r="AJU77" s="637"/>
      <c r="AJV77" s="637"/>
      <c r="AJW77" s="637"/>
      <c r="AJX77" s="637"/>
      <c r="AJY77" s="637"/>
      <c r="AJZ77" s="637"/>
      <c r="AKA77" s="637"/>
      <c r="AKB77" s="637"/>
      <c r="AKC77" s="637"/>
      <c r="AKD77" s="637"/>
      <c r="AKE77" s="637"/>
      <c r="AKF77" s="637"/>
      <c r="AKG77" s="637"/>
      <c r="AKH77" s="637"/>
      <c r="AKI77" s="637"/>
      <c r="AKJ77" s="637"/>
      <c r="AKK77" s="637"/>
      <c r="AKL77" s="637"/>
      <c r="AKM77" s="637"/>
      <c r="AKN77" s="637"/>
      <c r="AKO77" s="637"/>
      <c r="AKP77" s="637"/>
      <c r="AKQ77" s="637"/>
      <c r="AKR77" s="637"/>
      <c r="AKS77" s="637"/>
      <c r="AKT77" s="637"/>
      <c r="AKU77" s="637"/>
      <c r="AKV77" s="637"/>
      <c r="AKW77" s="637"/>
      <c r="AKX77" s="637"/>
      <c r="AKY77" s="637"/>
      <c r="AKZ77" s="637"/>
      <c r="ALA77" s="637"/>
      <c r="ALB77" s="637"/>
      <c r="ALC77" s="637"/>
      <c r="ALD77" s="637"/>
      <c r="ALE77" s="637"/>
      <c r="ALF77" s="637"/>
      <c r="ALG77" s="637"/>
      <c r="ALH77" s="637"/>
      <c r="ALI77" s="637"/>
      <c r="ALJ77" s="637"/>
      <c r="ALK77" s="637"/>
      <c r="ALL77" s="637"/>
      <c r="ALM77" s="637"/>
      <c r="ALN77" s="637"/>
      <c r="ALO77" s="637"/>
      <c r="ALP77" s="637"/>
      <c r="ALQ77" s="637"/>
      <c r="ALR77" s="637"/>
      <c r="ALS77" s="637"/>
      <c r="ALT77" s="637"/>
      <c r="ALU77" s="637"/>
      <c r="ALV77" s="637"/>
      <c r="ALW77" s="637"/>
      <c r="ALX77" s="637"/>
      <c r="ALY77" s="637"/>
      <c r="ALZ77" s="637"/>
      <c r="AMA77" s="637"/>
      <c r="AMB77" s="637"/>
      <c r="AMC77" s="637"/>
      <c r="AMD77" s="637"/>
      <c r="AME77" s="637"/>
      <c r="AMF77" s="637"/>
      <c r="AMG77" s="637"/>
      <c r="AMH77" s="637"/>
      <c r="AMI77" s="637"/>
      <c r="AMJ77" s="637"/>
    </row>
    <row r="78" spans="1:1024" s="638" customFormat="1" ht="12.75">
      <c r="A78" s="984"/>
      <c r="B78" s="985"/>
      <c r="C78" s="986"/>
      <c r="D78" s="981" t="s">
        <v>861</v>
      </c>
      <c r="E78" s="982">
        <v>20354</v>
      </c>
      <c r="F78" s="982">
        <f t="shared" si="7"/>
        <v>0</v>
      </c>
      <c r="G78" s="983"/>
      <c r="H78" s="983"/>
      <c r="I78" s="983"/>
      <c r="J78" s="983"/>
      <c r="K78" s="983"/>
      <c r="L78" s="983"/>
      <c r="M78" s="983"/>
      <c r="N78" s="983"/>
      <c r="O78" s="983"/>
      <c r="P78" s="983"/>
      <c r="Q78" s="983"/>
      <c r="R78" s="984"/>
      <c r="S78" s="637"/>
      <c r="T78" s="637"/>
      <c r="U78" s="637"/>
      <c r="V78" s="637"/>
      <c r="W78" s="637"/>
      <c r="X78" s="637"/>
      <c r="Y78" s="637"/>
      <c r="Z78" s="637"/>
      <c r="AA78" s="637"/>
      <c r="AB78" s="637"/>
      <c r="AC78" s="637"/>
      <c r="AD78" s="637"/>
      <c r="AE78" s="637"/>
      <c r="AF78" s="637"/>
      <c r="AG78" s="637"/>
      <c r="AH78" s="637"/>
      <c r="AI78" s="637"/>
      <c r="AJ78" s="637"/>
      <c r="AK78" s="637"/>
      <c r="AL78" s="637"/>
      <c r="AM78" s="637"/>
      <c r="AN78" s="637"/>
      <c r="AO78" s="637"/>
      <c r="AP78" s="637"/>
      <c r="AQ78" s="637"/>
      <c r="AR78" s="637"/>
      <c r="AS78" s="637"/>
      <c r="AT78" s="637"/>
      <c r="AU78" s="637"/>
      <c r="AV78" s="637"/>
      <c r="AW78" s="637"/>
      <c r="AX78" s="637"/>
      <c r="AY78" s="637"/>
      <c r="AZ78" s="637"/>
      <c r="BA78" s="637"/>
      <c r="BB78" s="637"/>
      <c r="BC78" s="637"/>
      <c r="BD78" s="637"/>
      <c r="BE78" s="637"/>
      <c r="BF78" s="637"/>
      <c r="BG78" s="637"/>
      <c r="BH78" s="637"/>
      <c r="BI78" s="637"/>
      <c r="BJ78" s="637"/>
      <c r="BK78" s="637"/>
      <c r="BL78" s="637"/>
      <c r="BM78" s="637"/>
      <c r="BN78" s="637"/>
      <c r="BO78" s="637"/>
      <c r="BP78" s="637"/>
      <c r="BQ78" s="637"/>
      <c r="BR78" s="637"/>
      <c r="BS78" s="637"/>
      <c r="BT78" s="637"/>
      <c r="BU78" s="637"/>
      <c r="BV78" s="637"/>
      <c r="BW78" s="637"/>
      <c r="BX78" s="637"/>
      <c r="BY78" s="637"/>
      <c r="BZ78" s="637"/>
      <c r="CA78" s="637"/>
      <c r="CB78" s="637"/>
      <c r="CC78" s="637"/>
      <c r="CD78" s="637"/>
      <c r="CE78" s="637"/>
      <c r="CF78" s="637"/>
      <c r="CG78" s="637"/>
      <c r="CH78" s="637"/>
      <c r="CI78" s="637"/>
      <c r="CJ78" s="637"/>
      <c r="CK78" s="637"/>
      <c r="CL78" s="637"/>
      <c r="CM78" s="637"/>
      <c r="CN78" s="637"/>
      <c r="CO78" s="637"/>
      <c r="CP78" s="637"/>
      <c r="CQ78" s="637"/>
      <c r="CR78" s="637"/>
      <c r="CS78" s="637"/>
      <c r="CT78" s="637"/>
      <c r="CU78" s="637"/>
      <c r="CV78" s="637"/>
      <c r="CW78" s="637"/>
      <c r="CX78" s="637"/>
      <c r="CY78" s="637"/>
      <c r="CZ78" s="637"/>
      <c r="DA78" s="637"/>
      <c r="DB78" s="637"/>
      <c r="DC78" s="637"/>
      <c r="DD78" s="637"/>
      <c r="DE78" s="637"/>
      <c r="DF78" s="637"/>
      <c r="DG78" s="637"/>
      <c r="DH78" s="637"/>
      <c r="DI78" s="637"/>
      <c r="DJ78" s="637"/>
      <c r="DK78" s="637"/>
      <c r="DL78" s="637"/>
      <c r="DM78" s="637"/>
      <c r="DN78" s="637"/>
      <c r="DO78" s="637"/>
      <c r="DP78" s="637"/>
      <c r="DQ78" s="637"/>
      <c r="DR78" s="637"/>
      <c r="DS78" s="637"/>
      <c r="DT78" s="637"/>
      <c r="DU78" s="637"/>
      <c r="DV78" s="637"/>
      <c r="DW78" s="637"/>
      <c r="DX78" s="637"/>
      <c r="DY78" s="637"/>
      <c r="DZ78" s="637"/>
      <c r="EA78" s="637"/>
      <c r="EB78" s="637"/>
      <c r="EC78" s="637"/>
      <c r="ED78" s="637"/>
      <c r="EE78" s="637"/>
      <c r="EF78" s="637"/>
      <c r="EG78" s="637"/>
      <c r="EH78" s="637"/>
      <c r="EI78" s="637"/>
      <c r="EJ78" s="637"/>
      <c r="EK78" s="637"/>
      <c r="EL78" s="637"/>
      <c r="EM78" s="637"/>
      <c r="EN78" s="637"/>
      <c r="EO78" s="637"/>
      <c r="EP78" s="637"/>
      <c r="EQ78" s="637"/>
      <c r="ER78" s="637"/>
      <c r="ES78" s="637"/>
      <c r="ET78" s="637"/>
      <c r="EU78" s="637"/>
      <c r="EV78" s="637"/>
      <c r="EW78" s="637"/>
      <c r="EX78" s="637"/>
      <c r="EY78" s="637"/>
      <c r="EZ78" s="637"/>
      <c r="FA78" s="637"/>
      <c r="FB78" s="637"/>
      <c r="FC78" s="637"/>
      <c r="FD78" s="637"/>
      <c r="FE78" s="637"/>
      <c r="FF78" s="637"/>
      <c r="FG78" s="637"/>
      <c r="FH78" s="637"/>
      <c r="FI78" s="637"/>
      <c r="FJ78" s="637"/>
      <c r="FK78" s="637"/>
      <c r="FL78" s="637"/>
      <c r="FM78" s="637"/>
      <c r="FN78" s="637"/>
      <c r="FO78" s="637"/>
      <c r="FP78" s="637"/>
      <c r="FQ78" s="637"/>
      <c r="FR78" s="637"/>
      <c r="FS78" s="637"/>
      <c r="FT78" s="637"/>
      <c r="FU78" s="637"/>
      <c r="FV78" s="637"/>
      <c r="FW78" s="637"/>
      <c r="FX78" s="637"/>
      <c r="FY78" s="637"/>
      <c r="FZ78" s="637"/>
      <c r="GA78" s="637"/>
      <c r="GB78" s="637"/>
      <c r="GC78" s="637"/>
      <c r="GD78" s="637"/>
      <c r="GE78" s="637"/>
      <c r="GF78" s="637"/>
      <c r="GG78" s="637"/>
      <c r="GH78" s="637"/>
      <c r="GI78" s="637"/>
      <c r="GJ78" s="637"/>
      <c r="GK78" s="637"/>
      <c r="GL78" s="637"/>
      <c r="GM78" s="637"/>
      <c r="GN78" s="637"/>
      <c r="GO78" s="637"/>
      <c r="GP78" s="637"/>
      <c r="GQ78" s="637"/>
      <c r="GR78" s="637"/>
      <c r="GS78" s="637"/>
      <c r="GT78" s="637"/>
      <c r="GU78" s="637"/>
      <c r="GV78" s="637"/>
      <c r="GW78" s="637"/>
      <c r="GX78" s="637"/>
      <c r="GY78" s="637"/>
      <c r="GZ78" s="637"/>
      <c r="HA78" s="637"/>
      <c r="HB78" s="637"/>
      <c r="HC78" s="637"/>
      <c r="HD78" s="637"/>
      <c r="HE78" s="637"/>
      <c r="HF78" s="637"/>
      <c r="HG78" s="637"/>
      <c r="HH78" s="637"/>
      <c r="HI78" s="637"/>
      <c r="HJ78" s="637"/>
      <c r="HK78" s="637"/>
      <c r="HL78" s="637"/>
      <c r="HM78" s="637"/>
      <c r="HN78" s="637"/>
      <c r="HO78" s="637"/>
      <c r="HP78" s="637"/>
      <c r="HQ78" s="637"/>
      <c r="HR78" s="637"/>
      <c r="HS78" s="637"/>
      <c r="HT78" s="637"/>
      <c r="HU78" s="637"/>
      <c r="HV78" s="637"/>
      <c r="HW78" s="637"/>
      <c r="HX78" s="637"/>
      <c r="HY78" s="637"/>
      <c r="HZ78" s="637"/>
      <c r="IA78" s="637"/>
      <c r="IB78" s="637"/>
      <c r="IC78" s="637"/>
      <c r="ID78" s="637"/>
      <c r="IE78" s="637"/>
      <c r="IF78" s="637"/>
      <c r="IG78" s="637"/>
      <c r="IH78" s="637"/>
      <c r="II78" s="637"/>
      <c r="IJ78" s="637"/>
      <c r="IK78" s="637"/>
      <c r="IL78" s="637"/>
      <c r="IM78" s="637"/>
      <c r="IN78" s="637"/>
      <c r="IO78" s="637"/>
      <c r="IP78" s="637"/>
      <c r="IQ78" s="637"/>
      <c r="IR78" s="637"/>
      <c r="IS78" s="637"/>
      <c r="IT78" s="637"/>
      <c r="IU78" s="637"/>
      <c r="IV78" s="637"/>
      <c r="IW78" s="637"/>
      <c r="IX78" s="637"/>
      <c r="IY78" s="637"/>
      <c r="IZ78" s="637"/>
      <c r="JA78" s="637"/>
      <c r="JB78" s="637"/>
      <c r="JC78" s="637"/>
      <c r="JD78" s="637"/>
      <c r="JE78" s="637"/>
      <c r="JF78" s="637"/>
      <c r="JG78" s="637"/>
      <c r="JH78" s="637"/>
      <c r="JI78" s="637"/>
      <c r="JJ78" s="637"/>
      <c r="JK78" s="637"/>
      <c r="JL78" s="637"/>
      <c r="JM78" s="637"/>
      <c r="JN78" s="637"/>
      <c r="JO78" s="637"/>
      <c r="JP78" s="637"/>
      <c r="JQ78" s="637"/>
      <c r="JR78" s="637"/>
      <c r="JS78" s="637"/>
      <c r="JT78" s="637"/>
      <c r="JU78" s="637"/>
      <c r="JV78" s="637"/>
      <c r="JW78" s="637"/>
      <c r="JX78" s="637"/>
      <c r="JY78" s="637"/>
      <c r="JZ78" s="637"/>
      <c r="KA78" s="637"/>
      <c r="KB78" s="637"/>
      <c r="KC78" s="637"/>
      <c r="KD78" s="637"/>
      <c r="KE78" s="637"/>
      <c r="KF78" s="637"/>
      <c r="KG78" s="637"/>
      <c r="KH78" s="637"/>
      <c r="KI78" s="637"/>
      <c r="KJ78" s="637"/>
      <c r="KK78" s="637"/>
      <c r="KL78" s="637"/>
      <c r="KM78" s="637"/>
      <c r="KN78" s="637"/>
      <c r="KO78" s="637"/>
      <c r="KP78" s="637"/>
      <c r="KQ78" s="637"/>
      <c r="KR78" s="637"/>
      <c r="KS78" s="637"/>
      <c r="KT78" s="637"/>
      <c r="KU78" s="637"/>
      <c r="KV78" s="637"/>
      <c r="KW78" s="637"/>
      <c r="KX78" s="637"/>
      <c r="KY78" s="637"/>
      <c r="KZ78" s="637"/>
      <c r="LA78" s="637"/>
      <c r="LB78" s="637"/>
      <c r="LC78" s="637"/>
      <c r="LD78" s="637"/>
      <c r="LE78" s="637"/>
      <c r="LF78" s="637"/>
      <c r="LG78" s="637"/>
      <c r="LH78" s="637"/>
      <c r="LI78" s="637"/>
      <c r="LJ78" s="637"/>
      <c r="LK78" s="637"/>
      <c r="LL78" s="637"/>
      <c r="LM78" s="637"/>
      <c r="LN78" s="637"/>
      <c r="LO78" s="637"/>
      <c r="LP78" s="637"/>
      <c r="LQ78" s="637"/>
      <c r="LR78" s="637"/>
      <c r="LS78" s="637"/>
      <c r="LT78" s="637"/>
      <c r="LU78" s="637"/>
      <c r="LV78" s="637"/>
      <c r="LW78" s="637"/>
      <c r="LX78" s="637"/>
      <c r="LY78" s="637"/>
      <c r="LZ78" s="637"/>
      <c r="MA78" s="637"/>
      <c r="MB78" s="637"/>
      <c r="MC78" s="637"/>
      <c r="MD78" s="637"/>
      <c r="ME78" s="637"/>
      <c r="MF78" s="637"/>
      <c r="MG78" s="637"/>
      <c r="MH78" s="637"/>
      <c r="MI78" s="637"/>
      <c r="MJ78" s="637"/>
      <c r="MK78" s="637"/>
      <c r="ML78" s="637"/>
      <c r="MM78" s="637"/>
      <c r="MN78" s="637"/>
      <c r="MO78" s="637"/>
      <c r="MP78" s="637"/>
      <c r="MQ78" s="637"/>
      <c r="MR78" s="637"/>
      <c r="MS78" s="637"/>
      <c r="MT78" s="637"/>
      <c r="MU78" s="637"/>
      <c r="MV78" s="637"/>
      <c r="MW78" s="637"/>
      <c r="MX78" s="637"/>
      <c r="MY78" s="637"/>
      <c r="MZ78" s="637"/>
      <c r="NA78" s="637"/>
      <c r="NB78" s="637"/>
      <c r="NC78" s="637"/>
      <c r="ND78" s="637"/>
      <c r="NE78" s="637"/>
      <c r="NF78" s="637"/>
      <c r="NG78" s="637"/>
      <c r="NH78" s="637"/>
      <c r="NI78" s="637"/>
      <c r="NJ78" s="637"/>
      <c r="NK78" s="637"/>
      <c r="NL78" s="637"/>
      <c r="NM78" s="637"/>
      <c r="NN78" s="637"/>
      <c r="NO78" s="637"/>
      <c r="NP78" s="637"/>
      <c r="NQ78" s="637"/>
      <c r="NR78" s="637"/>
      <c r="NS78" s="637"/>
      <c r="NT78" s="637"/>
      <c r="NU78" s="637"/>
      <c r="NV78" s="637"/>
      <c r="NW78" s="637"/>
      <c r="NX78" s="637"/>
      <c r="NY78" s="637"/>
      <c r="NZ78" s="637"/>
      <c r="OA78" s="637"/>
      <c r="OB78" s="637"/>
      <c r="OC78" s="637"/>
      <c r="OD78" s="637"/>
      <c r="OE78" s="637"/>
      <c r="OF78" s="637"/>
      <c r="OG78" s="637"/>
      <c r="OH78" s="637"/>
      <c r="OI78" s="637"/>
      <c r="OJ78" s="637"/>
      <c r="OK78" s="637"/>
      <c r="OL78" s="637"/>
      <c r="OM78" s="637"/>
      <c r="ON78" s="637"/>
      <c r="OO78" s="637"/>
      <c r="OP78" s="637"/>
      <c r="OQ78" s="637"/>
      <c r="OR78" s="637"/>
      <c r="OS78" s="637"/>
      <c r="OT78" s="637"/>
      <c r="OU78" s="637"/>
      <c r="OV78" s="637"/>
      <c r="OW78" s="637"/>
      <c r="OX78" s="637"/>
      <c r="OY78" s="637"/>
      <c r="OZ78" s="637"/>
      <c r="PA78" s="637"/>
      <c r="PB78" s="637"/>
      <c r="PC78" s="637"/>
      <c r="PD78" s="637"/>
      <c r="PE78" s="637"/>
      <c r="PF78" s="637"/>
      <c r="PG78" s="637"/>
      <c r="PH78" s="637"/>
      <c r="PI78" s="637"/>
      <c r="PJ78" s="637"/>
      <c r="PK78" s="637"/>
      <c r="PL78" s="637"/>
      <c r="PM78" s="637"/>
      <c r="PN78" s="637"/>
      <c r="PO78" s="637"/>
      <c r="PP78" s="637"/>
      <c r="PQ78" s="637"/>
      <c r="PR78" s="637"/>
      <c r="PS78" s="637"/>
      <c r="PT78" s="637"/>
      <c r="PU78" s="637"/>
      <c r="PV78" s="637"/>
      <c r="PW78" s="637"/>
      <c r="PX78" s="637"/>
      <c r="PY78" s="637"/>
      <c r="PZ78" s="637"/>
      <c r="QA78" s="637"/>
      <c r="QB78" s="637"/>
      <c r="QC78" s="637"/>
      <c r="QD78" s="637"/>
      <c r="QE78" s="637"/>
      <c r="QF78" s="637"/>
      <c r="QG78" s="637"/>
      <c r="QH78" s="637"/>
      <c r="QI78" s="637"/>
      <c r="QJ78" s="637"/>
      <c r="QK78" s="637"/>
      <c r="QL78" s="637"/>
      <c r="QM78" s="637"/>
      <c r="QN78" s="637"/>
      <c r="QO78" s="637"/>
      <c r="QP78" s="637"/>
      <c r="QQ78" s="637"/>
      <c r="QR78" s="637"/>
      <c r="QS78" s="637"/>
      <c r="QT78" s="637"/>
      <c r="QU78" s="637"/>
      <c r="QV78" s="637"/>
      <c r="QW78" s="637"/>
      <c r="QX78" s="637"/>
      <c r="QY78" s="637"/>
      <c r="QZ78" s="637"/>
      <c r="RA78" s="637"/>
      <c r="RB78" s="637"/>
      <c r="RC78" s="637"/>
      <c r="RD78" s="637"/>
      <c r="RE78" s="637"/>
      <c r="RF78" s="637"/>
      <c r="RG78" s="637"/>
      <c r="RH78" s="637"/>
      <c r="RI78" s="637"/>
      <c r="RJ78" s="637"/>
      <c r="RK78" s="637"/>
      <c r="RL78" s="637"/>
      <c r="RM78" s="637"/>
      <c r="RN78" s="637"/>
      <c r="RO78" s="637"/>
      <c r="RP78" s="637"/>
      <c r="RQ78" s="637"/>
      <c r="RR78" s="637"/>
      <c r="RS78" s="637"/>
      <c r="RT78" s="637"/>
      <c r="RU78" s="637"/>
      <c r="RV78" s="637"/>
      <c r="RW78" s="637"/>
      <c r="RX78" s="637"/>
      <c r="RY78" s="637"/>
      <c r="RZ78" s="637"/>
      <c r="SA78" s="637"/>
      <c r="SB78" s="637"/>
      <c r="SC78" s="637"/>
      <c r="SD78" s="637"/>
      <c r="SE78" s="637"/>
      <c r="SF78" s="637"/>
      <c r="SG78" s="637"/>
      <c r="SH78" s="637"/>
      <c r="SI78" s="637"/>
      <c r="SJ78" s="637"/>
      <c r="SK78" s="637"/>
      <c r="SL78" s="637"/>
      <c r="SM78" s="637"/>
      <c r="SN78" s="637"/>
      <c r="SO78" s="637"/>
      <c r="SP78" s="637"/>
      <c r="SQ78" s="637"/>
      <c r="SR78" s="637"/>
      <c r="SS78" s="637"/>
      <c r="ST78" s="637"/>
      <c r="SU78" s="637"/>
      <c r="SV78" s="637"/>
      <c r="SW78" s="637"/>
      <c r="SX78" s="637"/>
      <c r="SY78" s="637"/>
      <c r="SZ78" s="637"/>
      <c r="TA78" s="637"/>
      <c r="TB78" s="637"/>
      <c r="TC78" s="637"/>
      <c r="TD78" s="637"/>
      <c r="TE78" s="637"/>
      <c r="TF78" s="637"/>
      <c r="TG78" s="637"/>
      <c r="TH78" s="637"/>
      <c r="TI78" s="637"/>
      <c r="TJ78" s="637"/>
      <c r="TK78" s="637"/>
      <c r="TL78" s="637"/>
      <c r="TM78" s="637"/>
      <c r="TN78" s="637"/>
      <c r="TO78" s="637"/>
      <c r="TP78" s="637"/>
      <c r="TQ78" s="637"/>
      <c r="TR78" s="637"/>
      <c r="TS78" s="637"/>
      <c r="TT78" s="637"/>
      <c r="TU78" s="637"/>
      <c r="TV78" s="637"/>
      <c r="TW78" s="637"/>
      <c r="TX78" s="637"/>
      <c r="TY78" s="637"/>
      <c r="TZ78" s="637"/>
      <c r="UA78" s="637"/>
      <c r="UB78" s="637"/>
      <c r="UC78" s="637"/>
      <c r="UD78" s="637"/>
      <c r="UE78" s="637"/>
      <c r="UF78" s="637"/>
      <c r="UG78" s="637"/>
      <c r="UH78" s="637"/>
      <c r="UI78" s="637"/>
      <c r="UJ78" s="637"/>
      <c r="UK78" s="637"/>
      <c r="UL78" s="637"/>
      <c r="UM78" s="637"/>
      <c r="UN78" s="637"/>
      <c r="UO78" s="637"/>
      <c r="UP78" s="637"/>
      <c r="UQ78" s="637"/>
      <c r="UR78" s="637"/>
      <c r="US78" s="637"/>
      <c r="UT78" s="637"/>
      <c r="UU78" s="637"/>
      <c r="UV78" s="637"/>
      <c r="UW78" s="637"/>
      <c r="UX78" s="637"/>
      <c r="UY78" s="637"/>
      <c r="UZ78" s="637"/>
      <c r="VA78" s="637"/>
      <c r="VB78" s="637"/>
      <c r="VC78" s="637"/>
      <c r="VD78" s="637"/>
      <c r="VE78" s="637"/>
      <c r="VF78" s="637"/>
      <c r="VG78" s="637"/>
      <c r="VH78" s="637"/>
      <c r="VI78" s="637"/>
      <c r="VJ78" s="637"/>
      <c r="VK78" s="637"/>
      <c r="VL78" s="637"/>
      <c r="VM78" s="637"/>
      <c r="VN78" s="637"/>
      <c r="VO78" s="637"/>
      <c r="VP78" s="637"/>
      <c r="VQ78" s="637"/>
      <c r="VR78" s="637"/>
      <c r="VS78" s="637"/>
      <c r="VT78" s="637"/>
      <c r="VU78" s="637"/>
      <c r="VV78" s="637"/>
      <c r="VW78" s="637"/>
      <c r="VX78" s="637"/>
      <c r="VY78" s="637"/>
      <c r="VZ78" s="637"/>
      <c r="WA78" s="637"/>
      <c r="WB78" s="637"/>
      <c r="WC78" s="637"/>
      <c r="WD78" s="637"/>
      <c r="WE78" s="637"/>
      <c r="WF78" s="637"/>
      <c r="WG78" s="637"/>
      <c r="WH78" s="637"/>
      <c r="WI78" s="637"/>
      <c r="WJ78" s="637"/>
      <c r="WK78" s="637"/>
      <c r="WL78" s="637"/>
      <c r="WM78" s="637"/>
      <c r="WN78" s="637"/>
      <c r="WO78" s="637"/>
      <c r="WP78" s="637"/>
      <c r="WQ78" s="637"/>
      <c r="WR78" s="637"/>
      <c r="WS78" s="637"/>
      <c r="WT78" s="637"/>
      <c r="WU78" s="637"/>
      <c r="WV78" s="637"/>
      <c r="WW78" s="637"/>
      <c r="WX78" s="637"/>
      <c r="WY78" s="637"/>
      <c r="WZ78" s="637"/>
      <c r="XA78" s="637"/>
      <c r="XB78" s="637"/>
      <c r="XC78" s="637"/>
      <c r="XD78" s="637"/>
      <c r="XE78" s="637"/>
      <c r="XF78" s="637"/>
      <c r="XG78" s="637"/>
      <c r="XH78" s="637"/>
      <c r="XI78" s="637"/>
      <c r="XJ78" s="637"/>
      <c r="XK78" s="637"/>
      <c r="XL78" s="637"/>
      <c r="XM78" s="637"/>
      <c r="XN78" s="637"/>
      <c r="XO78" s="637"/>
      <c r="XP78" s="637"/>
      <c r="XQ78" s="637"/>
      <c r="XR78" s="637"/>
      <c r="XS78" s="637"/>
      <c r="XT78" s="637"/>
      <c r="XU78" s="637"/>
      <c r="XV78" s="637"/>
      <c r="XW78" s="637"/>
      <c r="XX78" s="637"/>
      <c r="XY78" s="637"/>
      <c r="XZ78" s="637"/>
      <c r="YA78" s="637"/>
      <c r="YB78" s="637"/>
      <c r="YC78" s="637"/>
      <c r="YD78" s="637"/>
      <c r="YE78" s="637"/>
      <c r="YF78" s="637"/>
      <c r="YG78" s="637"/>
      <c r="YH78" s="637"/>
      <c r="YI78" s="637"/>
      <c r="YJ78" s="637"/>
      <c r="YK78" s="637"/>
      <c r="YL78" s="637"/>
      <c r="YM78" s="637"/>
      <c r="YN78" s="637"/>
      <c r="YO78" s="637"/>
      <c r="YP78" s="637"/>
      <c r="YQ78" s="637"/>
      <c r="YR78" s="637"/>
      <c r="YS78" s="637"/>
      <c r="YT78" s="637"/>
      <c r="YU78" s="637"/>
      <c r="YV78" s="637"/>
      <c r="YW78" s="637"/>
      <c r="YX78" s="637"/>
      <c r="YY78" s="637"/>
      <c r="YZ78" s="637"/>
      <c r="ZA78" s="637"/>
      <c r="ZB78" s="637"/>
      <c r="ZC78" s="637"/>
      <c r="ZD78" s="637"/>
      <c r="ZE78" s="637"/>
      <c r="ZF78" s="637"/>
      <c r="ZG78" s="637"/>
      <c r="ZH78" s="637"/>
      <c r="ZI78" s="637"/>
      <c r="ZJ78" s="637"/>
      <c r="ZK78" s="637"/>
      <c r="ZL78" s="637"/>
      <c r="ZM78" s="637"/>
      <c r="ZN78" s="637"/>
      <c r="ZO78" s="637"/>
      <c r="ZP78" s="637"/>
      <c r="ZQ78" s="637"/>
      <c r="ZR78" s="637"/>
      <c r="ZS78" s="637"/>
      <c r="ZT78" s="637"/>
      <c r="ZU78" s="637"/>
      <c r="ZV78" s="637"/>
      <c r="ZW78" s="637"/>
      <c r="ZX78" s="637"/>
      <c r="ZY78" s="637"/>
      <c r="ZZ78" s="637"/>
      <c r="AAA78" s="637"/>
      <c r="AAB78" s="637"/>
      <c r="AAC78" s="637"/>
      <c r="AAD78" s="637"/>
      <c r="AAE78" s="637"/>
      <c r="AAF78" s="637"/>
      <c r="AAG78" s="637"/>
      <c r="AAH78" s="637"/>
      <c r="AAI78" s="637"/>
      <c r="AAJ78" s="637"/>
      <c r="AAK78" s="637"/>
      <c r="AAL78" s="637"/>
      <c r="AAM78" s="637"/>
      <c r="AAN78" s="637"/>
      <c r="AAO78" s="637"/>
      <c r="AAP78" s="637"/>
      <c r="AAQ78" s="637"/>
      <c r="AAR78" s="637"/>
      <c r="AAS78" s="637"/>
      <c r="AAT78" s="637"/>
      <c r="AAU78" s="637"/>
      <c r="AAV78" s="637"/>
      <c r="AAW78" s="637"/>
      <c r="AAX78" s="637"/>
      <c r="AAY78" s="637"/>
      <c r="AAZ78" s="637"/>
      <c r="ABA78" s="637"/>
      <c r="ABB78" s="637"/>
      <c r="ABC78" s="637"/>
      <c r="ABD78" s="637"/>
      <c r="ABE78" s="637"/>
      <c r="ABF78" s="637"/>
      <c r="ABG78" s="637"/>
      <c r="ABH78" s="637"/>
      <c r="ABI78" s="637"/>
      <c r="ABJ78" s="637"/>
      <c r="ABK78" s="637"/>
      <c r="ABL78" s="637"/>
      <c r="ABM78" s="637"/>
      <c r="ABN78" s="637"/>
      <c r="ABO78" s="637"/>
      <c r="ABP78" s="637"/>
      <c r="ABQ78" s="637"/>
      <c r="ABR78" s="637"/>
      <c r="ABS78" s="637"/>
      <c r="ABT78" s="637"/>
      <c r="ABU78" s="637"/>
      <c r="ABV78" s="637"/>
      <c r="ABW78" s="637"/>
      <c r="ABX78" s="637"/>
      <c r="ABY78" s="637"/>
      <c r="ABZ78" s="637"/>
      <c r="ACA78" s="637"/>
      <c r="ACB78" s="637"/>
      <c r="ACC78" s="637"/>
      <c r="ACD78" s="637"/>
      <c r="ACE78" s="637"/>
      <c r="ACF78" s="637"/>
      <c r="ACG78" s="637"/>
      <c r="ACH78" s="637"/>
      <c r="ACI78" s="637"/>
      <c r="ACJ78" s="637"/>
      <c r="ACK78" s="637"/>
      <c r="ACL78" s="637"/>
      <c r="ACM78" s="637"/>
      <c r="ACN78" s="637"/>
      <c r="ACO78" s="637"/>
      <c r="ACP78" s="637"/>
      <c r="ACQ78" s="637"/>
      <c r="ACR78" s="637"/>
      <c r="ACS78" s="637"/>
      <c r="ACT78" s="637"/>
      <c r="ACU78" s="637"/>
      <c r="ACV78" s="637"/>
      <c r="ACW78" s="637"/>
      <c r="ACX78" s="637"/>
      <c r="ACY78" s="637"/>
      <c r="ACZ78" s="637"/>
      <c r="ADA78" s="637"/>
      <c r="ADB78" s="637"/>
      <c r="ADC78" s="637"/>
      <c r="ADD78" s="637"/>
      <c r="ADE78" s="637"/>
      <c r="ADF78" s="637"/>
      <c r="ADG78" s="637"/>
      <c r="ADH78" s="637"/>
      <c r="ADI78" s="637"/>
      <c r="ADJ78" s="637"/>
      <c r="ADK78" s="637"/>
      <c r="ADL78" s="637"/>
      <c r="ADM78" s="637"/>
      <c r="ADN78" s="637"/>
      <c r="ADO78" s="637"/>
      <c r="ADP78" s="637"/>
      <c r="ADQ78" s="637"/>
      <c r="ADR78" s="637"/>
      <c r="ADS78" s="637"/>
      <c r="ADT78" s="637"/>
      <c r="ADU78" s="637"/>
      <c r="ADV78" s="637"/>
      <c r="ADW78" s="637"/>
      <c r="ADX78" s="637"/>
      <c r="ADY78" s="637"/>
      <c r="ADZ78" s="637"/>
      <c r="AEA78" s="637"/>
      <c r="AEB78" s="637"/>
      <c r="AEC78" s="637"/>
      <c r="AED78" s="637"/>
      <c r="AEE78" s="637"/>
      <c r="AEF78" s="637"/>
      <c r="AEG78" s="637"/>
      <c r="AEH78" s="637"/>
      <c r="AEI78" s="637"/>
      <c r="AEJ78" s="637"/>
      <c r="AEK78" s="637"/>
      <c r="AEL78" s="637"/>
      <c r="AEM78" s="637"/>
      <c r="AEN78" s="637"/>
      <c r="AEO78" s="637"/>
      <c r="AEP78" s="637"/>
      <c r="AEQ78" s="637"/>
      <c r="AER78" s="637"/>
      <c r="AES78" s="637"/>
      <c r="AET78" s="637"/>
      <c r="AEU78" s="637"/>
      <c r="AEV78" s="637"/>
      <c r="AEW78" s="637"/>
      <c r="AEX78" s="637"/>
      <c r="AEY78" s="637"/>
      <c r="AEZ78" s="637"/>
      <c r="AFA78" s="637"/>
      <c r="AFB78" s="637"/>
      <c r="AFC78" s="637"/>
      <c r="AFD78" s="637"/>
      <c r="AFE78" s="637"/>
      <c r="AFF78" s="637"/>
      <c r="AFG78" s="637"/>
      <c r="AFH78" s="637"/>
      <c r="AFI78" s="637"/>
      <c r="AFJ78" s="637"/>
      <c r="AFK78" s="637"/>
      <c r="AFL78" s="637"/>
      <c r="AFM78" s="637"/>
      <c r="AFN78" s="637"/>
      <c r="AFO78" s="637"/>
      <c r="AFP78" s="637"/>
      <c r="AFQ78" s="637"/>
      <c r="AFR78" s="637"/>
      <c r="AFS78" s="637"/>
      <c r="AFT78" s="637"/>
      <c r="AFU78" s="637"/>
      <c r="AFV78" s="637"/>
      <c r="AFW78" s="637"/>
      <c r="AFX78" s="637"/>
      <c r="AFY78" s="637"/>
      <c r="AFZ78" s="637"/>
      <c r="AGA78" s="637"/>
      <c r="AGB78" s="637"/>
      <c r="AGC78" s="637"/>
      <c r="AGD78" s="637"/>
      <c r="AGE78" s="637"/>
      <c r="AGF78" s="637"/>
      <c r="AGG78" s="637"/>
      <c r="AGH78" s="637"/>
      <c r="AGI78" s="637"/>
      <c r="AGJ78" s="637"/>
      <c r="AGK78" s="637"/>
      <c r="AGL78" s="637"/>
      <c r="AGM78" s="637"/>
      <c r="AGN78" s="637"/>
      <c r="AGO78" s="637"/>
      <c r="AGP78" s="637"/>
      <c r="AGQ78" s="637"/>
      <c r="AGR78" s="637"/>
      <c r="AGS78" s="637"/>
      <c r="AGT78" s="637"/>
      <c r="AGU78" s="637"/>
      <c r="AGV78" s="637"/>
      <c r="AGW78" s="637"/>
      <c r="AGX78" s="637"/>
      <c r="AGY78" s="637"/>
      <c r="AGZ78" s="637"/>
      <c r="AHA78" s="637"/>
      <c r="AHB78" s="637"/>
      <c r="AHC78" s="637"/>
      <c r="AHD78" s="637"/>
      <c r="AHE78" s="637"/>
      <c r="AHF78" s="637"/>
      <c r="AHG78" s="637"/>
      <c r="AHH78" s="637"/>
      <c r="AHI78" s="637"/>
      <c r="AHJ78" s="637"/>
      <c r="AHK78" s="637"/>
      <c r="AHL78" s="637"/>
      <c r="AHM78" s="637"/>
      <c r="AHN78" s="637"/>
      <c r="AHO78" s="637"/>
      <c r="AHP78" s="637"/>
      <c r="AHQ78" s="637"/>
      <c r="AHR78" s="637"/>
      <c r="AHS78" s="637"/>
      <c r="AHT78" s="637"/>
      <c r="AHU78" s="637"/>
      <c r="AHV78" s="637"/>
      <c r="AHW78" s="637"/>
      <c r="AHX78" s="637"/>
      <c r="AHY78" s="637"/>
      <c r="AHZ78" s="637"/>
      <c r="AIA78" s="637"/>
      <c r="AIB78" s="637"/>
      <c r="AIC78" s="637"/>
      <c r="AID78" s="637"/>
      <c r="AIE78" s="637"/>
      <c r="AIF78" s="637"/>
      <c r="AIG78" s="637"/>
      <c r="AIH78" s="637"/>
      <c r="AII78" s="637"/>
      <c r="AIJ78" s="637"/>
      <c r="AIK78" s="637"/>
      <c r="AIL78" s="637"/>
      <c r="AIM78" s="637"/>
      <c r="AIN78" s="637"/>
      <c r="AIO78" s="637"/>
      <c r="AIP78" s="637"/>
      <c r="AIQ78" s="637"/>
      <c r="AIR78" s="637"/>
      <c r="AIS78" s="637"/>
      <c r="AIT78" s="637"/>
      <c r="AIU78" s="637"/>
      <c r="AIV78" s="637"/>
      <c r="AIW78" s="637"/>
      <c r="AIX78" s="637"/>
      <c r="AIY78" s="637"/>
      <c r="AIZ78" s="637"/>
      <c r="AJA78" s="637"/>
      <c r="AJB78" s="637"/>
      <c r="AJC78" s="637"/>
      <c r="AJD78" s="637"/>
      <c r="AJE78" s="637"/>
      <c r="AJF78" s="637"/>
      <c r="AJG78" s="637"/>
      <c r="AJH78" s="637"/>
      <c r="AJI78" s="637"/>
      <c r="AJJ78" s="637"/>
      <c r="AJK78" s="637"/>
      <c r="AJL78" s="637"/>
      <c r="AJM78" s="637"/>
      <c r="AJN78" s="637"/>
      <c r="AJO78" s="637"/>
      <c r="AJP78" s="637"/>
      <c r="AJQ78" s="637"/>
      <c r="AJR78" s="637"/>
      <c r="AJS78" s="637"/>
      <c r="AJT78" s="637"/>
      <c r="AJU78" s="637"/>
      <c r="AJV78" s="637"/>
      <c r="AJW78" s="637"/>
      <c r="AJX78" s="637"/>
      <c r="AJY78" s="637"/>
      <c r="AJZ78" s="637"/>
      <c r="AKA78" s="637"/>
      <c r="AKB78" s="637"/>
      <c r="AKC78" s="637"/>
      <c r="AKD78" s="637"/>
      <c r="AKE78" s="637"/>
      <c r="AKF78" s="637"/>
      <c r="AKG78" s="637"/>
      <c r="AKH78" s="637"/>
      <c r="AKI78" s="637"/>
      <c r="AKJ78" s="637"/>
      <c r="AKK78" s="637"/>
      <c r="AKL78" s="637"/>
      <c r="AKM78" s="637"/>
      <c r="AKN78" s="637"/>
      <c r="AKO78" s="637"/>
      <c r="AKP78" s="637"/>
      <c r="AKQ78" s="637"/>
      <c r="AKR78" s="637"/>
      <c r="AKS78" s="637"/>
      <c r="AKT78" s="637"/>
      <c r="AKU78" s="637"/>
      <c r="AKV78" s="637"/>
      <c r="AKW78" s="637"/>
      <c r="AKX78" s="637"/>
      <c r="AKY78" s="637"/>
      <c r="AKZ78" s="637"/>
      <c r="ALA78" s="637"/>
      <c r="ALB78" s="637"/>
      <c r="ALC78" s="637"/>
      <c r="ALD78" s="637"/>
      <c r="ALE78" s="637"/>
      <c r="ALF78" s="637"/>
      <c r="ALG78" s="637"/>
      <c r="ALH78" s="637"/>
      <c r="ALI78" s="637"/>
      <c r="ALJ78" s="637"/>
      <c r="ALK78" s="637"/>
      <c r="ALL78" s="637"/>
      <c r="ALM78" s="637"/>
      <c r="ALN78" s="637"/>
      <c r="ALO78" s="637"/>
      <c r="ALP78" s="637"/>
      <c r="ALQ78" s="637"/>
      <c r="ALR78" s="637"/>
      <c r="ALS78" s="637"/>
      <c r="ALT78" s="637"/>
      <c r="ALU78" s="637"/>
      <c r="ALV78" s="637"/>
      <c r="ALW78" s="637"/>
      <c r="ALX78" s="637"/>
      <c r="ALY78" s="637"/>
      <c r="ALZ78" s="637"/>
      <c r="AMA78" s="637"/>
      <c r="AMB78" s="637"/>
      <c r="AMC78" s="637"/>
      <c r="AMD78" s="637"/>
      <c r="AME78" s="637"/>
      <c r="AMF78" s="637"/>
      <c r="AMG78" s="637"/>
      <c r="AMH78" s="637"/>
      <c r="AMI78" s="637"/>
      <c r="AMJ78" s="637"/>
    </row>
    <row r="79" spans="1:1024" s="638" customFormat="1" ht="12.75">
      <c r="A79" s="984"/>
      <c r="B79" s="985"/>
      <c r="C79" s="986"/>
      <c r="D79" s="981" t="s">
        <v>1041</v>
      </c>
      <c r="E79" s="982">
        <v>22243</v>
      </c>
      <c r="F79" s="982">
        <f t="shared" si="7"/>
        <v>0</v>
      </c>
      <c r="G79" s="983"/>
      <c r="H79" s="983"/>
      <c r="I79" s="983"/>
      <c r="J79" s="983"/>
      <c r="K79" s="983"/>
      <c r="L79" s="983"/>
      <c r="M79" s="983"/>
      <c r="N79" s="983"/>
      <c r="O79" s="983"/>
      <c r="P79" s="983"/>
      <c r="Q79" s="983"/>
      <c r="R79" s="984"/>
      <c r="S79" s="637"/>
      <c r="T79" s="637"/>
      <c r="U79" s="637"/>
      <c r="V79" s="637"/>
      <c r="W79" s="637"/>
      <c r="X79" s="637"/>
      <c r="Y79" s="637"/>
      <c r="Z79" s="637"/>
      <c r="AA79" s="637"/>
      <c r="AB79" s="637"/>
      <c r="AC79" s="637"/>
      <c r="AD79" s="637"/>
      <c r="AE79" s="637"/>
      <c r="AF79" s="637"/>
      <c r="AG79" s="637"/>
      <c r="AH79" s="637"/>
      <c r="AI79" s="637"/>
      <c r="AJ79" s="637"/>
      <c r="AK79" s="637"/>
      <c r="AL79" s="637"/>
      <c r="AM79" s="637"/>
      <c r="AN79" s="637"/>
      <c r="AO79" s="637"/>
      <c r="AP79" s="637"/>
      <c r="AQ79" s="637"/>
      <c r="AR79" s="637"/>
      <c r="AS79" s="637"/>
      <c r="AT79" s="637"/>
      <c r="AU79" s="637"/>
      <c r="AV79" s="637"/>
      <c r="AW79" s="637"/>
      <c r="AX79" s="637"/>
      <c r="AY79" s="637"/>
      <c r="AZ79" s="637"/>
      <c r="BA79" s="637"/>
      <c r="BB79" s="637"/>
      <c r="BC79" s="637"/>
      <c r="BD79" s="637"/>
      <c r="BE79" s="637"/>
      <c r="BF79" s="637"/>
      <c r="BG79" s="637"/>
      <c r="BH79" s="637"/>
      <c r="BI79" s="637"/>
      <c r="BJ79" s="637"/>
      <c r="BK79" s="637"/>
      <c r="BL79" s="637"/>
      <c r="BM79" s="637"/>
      <c r="BN79" s="637"/>
      <c r="BO79" s="637"/>
      <c r="BP79" s="637"/>
      <c r="BQ79" s="637"/>
      <c r="BR79" s="637"/>
      <c r="BS79" s="637"/>
      <c r="BT79" s="637"/>
      <c r="BU79" s="637"/>
      <c r="BV79" s="637"/>
      <c r="BW79" s="637"/>
      <c r="BX79" s="637"/>
      <c r="BY79" s="637"/>
      <c r="BZ79" s="637"/>
      <c r="CA79" s="637"/>
      <c r="CB79" s="637"/>
      <c r="CC79" s="637"/>
      <c r="CD79" s="637"/>
      <c r="CE79" s="637"/>
      <c r="CF79" s="637"/>
      <c r="CG79" s="637"/>
      <c r="CH79" s="637"/>
      <c r="CI79" s="637"/>
      <c r="CJ79" s="637"/>
      <c r="CK79" s="637"/>
      <c r="CL79" s="637"/>
      <c r="CM79" s="637"/>
      <c r="CN79" s="637"/>
      <c r="CO79" s="637"/>
      <c r="CP79" s="637"/>
      <c r="CQ79" s="637"/>
      <c r="CR79" s="637"/>
      <c r="CS79" s="637"/>
      <c r="CT79" s="637"/>
      <c r="CU79" s="637"/>
      <c r="CV79" s="637"/>
      <c r="CW79" s="637"/>
      <c r="CX79" s="637"/>
      <c r="CY79" s="637"/>
      <c r="CZ79" s="637"/>
      <c r="DA79" s="637"/>
      <c r="DB79" s="637"/>
      <c r="DC79" s="637"/>
      <c r="DD79" s="637"/>
      <c r="DE79" s="637"/>
      <c r="DF79" s="637"/>
      <c r="DG79" s="637"/>
      <c r="DH79" s="637"/>
      <c r="DI79" s="637"/>
      <c r="DJ79" s="637"/>
      <c r="DK79" s="637"/>
      <c r="DL79" s="637"/>
      <c r="DM79" s="637"/>
      <c r="DN79" s="637"/>
      <c r="DO79" s="637"/>
      <c r="DP79" s="637"/>
      <c r="DQ79" s="637"/>
      <c r="DR79" s="637"/>
      <c r="DS79" s="637"/>
      <c r="DT79" s="637"/>
      <c r="DU79" s="637"/>
      <c r="DV79" s="637"/>
      <c r="DW79" s="637"/>
      <c r="DX79" s="637"/>
      <c r="DY79" s="637"/>
      <c r="DZ79" s="637"/>
      <c r="EA79" s="637"/>
      <c r="EB79" s="637"/>
      <c r="EC79" s="637"/>
      <c r="ED79" s="637"/>
      <c r="EE79" s="637"/>
      <c r="EF79" s="637"/>
      <c r="EG79" s="637"/>
      <c r="EH79" s="637"/>
      <c r="EI79" s="637"/>
      <c r="EJ79" s="637"/>
      <c r="EK79" s="637"/>
      <c r="EL79" s="637"/>
      <c r="EM79" s="637"/>
      <c r="EN79" s="637"/>
      <c r="EO79" s="637"/>
      <c r="EP79" s="637"/>
      <c r="EQ79" s="637"/>
      <c r="ER79" s="637"/>
      <c r="ES79" s="637"/>
      <c r="ET79" s="637"/>
      <c r="EU79" s="637"/>
      <c r="EV79" s="637"/>
      <c r="EW79" s="637"/>
      <c r="EX79" s="637"/>
      <c r="EY79" s="637"/>
      <c r="EZ79" s="637"/>
      <c r="FA79" s="637"/>
      <c r="FB79" s="637"/>
      <c r="FC79" s="637"/>
      <c r="FD79" s="637"/>
      <c r="FE79" s="637"/>
      <c r="FF79" s="637"/>
      <c r="FG79" s="637"/>
      <c r="FH79" s="637"/>
      <c r="FI79" s="637"/>
      <c r="FJ79" s="637"/>
      <c r="FK79" s="637"/>
      <c r="FL79" s="637"/>
      <c r="FM79" s="637"/>
      <c r="FN79" s="637"/>
      <c r="FO79" s="637"/>
      <c r="FP79" s="637"/>
      <c r="FQ79" s="637"/>
      <c r="FR79" s="637"/>
      <c r="FS79" s="637"/>
      <c r="FT79" s="637"/>
      <c r="FU79" s="637"/>
      <c r="FV79" s="637"/>
      <c r="FW79" s="637"/>
      <c r="FX79" s="637"/>
      <c r="FY79" s="637"/>
      <c r="FZ79" s="637"/>
      <c r="GA79" s="637"/>
      <c r="GB79" s="637"/>
      <c r="GC79" s="637"/>
      <c r="GD79" s="637"/>
      <c r="GE79" s="637"/>
      <c r="GF79" s="637"/>
      <c r="GG79" s="637"/>
      <c r="GH79" s="637"/>
      <c r="GI79" s="637"/>
      <c r="GJ79" s="637"/>
      <c r="GK79" s="637"/>
      <c r="GL79" s="637"/>
      <c r="GM79" s="637"/>
      <c r="GN79" s="637"/>
      <c r="GO79" s="637"/>
      <c r="GP79" s="637"/>
      <c r="GQ79" s="637"/>
      <c r="GR79" s="637"/>
      <c r="GS79" s="637"/>
      <c r="GT79" s="637"/>
      <c r="GU79" s="637"/>
      <c r="GV79" s="637"/>
      <c r="GW79" s="637"/>
      <c r="GX79" s="637"/>
      <c r="GY79" s="637"/>
      <c r="GZ79" s="637"/>
      <c r="HA79" s="637"/>
      <c r="HB79" s="637"/>
      <c r="HC79" s="637"/>
      <c r="HD79" s="637"/>
      <c r="HE79" s="637"/>
      <c r="HF79" s="637"/>
      <c r="HG79" s="637"/>
      <c r="HH79" s="637"/>
      <c r="HI79" s="637"/>
      <c r="HJ79" s="637"/>
      <c r="HK79" s="637"/>
      <c r="HL79" s="637"/>
      <c r="HM79" s="637"/>
      <c r="HN79" s="637"/>
      <c r="HO79" s="637"/>
      <c r="HP79" s="637"/>
      <c r="HQ79" s="637"/>
      <c r="HR79" s="637"/>
      <c r="HS79" s="637"/>
      <c r="HT79" s="637"/>
      <c r="HU79" s="637"/>
      <c r="HV79" s="637"/>
      <c r="HW79" s="637"/>
      <c r="HX79" s="637"/>
      <c r="HY79" s="637"/>
      <c r="HZ79" s="637"/>
      <c r="IA79" s="637"/>
      <c r="IB79" s="637"/>
      <c r="IC79" s="637"/>
      <c r="ID79" s="637"/>
      <c r="IE79" s="637"/>
      <c r="IF79" s="637"/>
      <c r="IG79" s="637"/>
      <c r="IH79" s="637"/>
      <c r="II79" s="637"/>
      <c r="IJ79" s="637"/>
      <c r="IK79" s="637"/>
      <c r="IL79" s="637"/>
      <c r="IM79" s="637"/>
      <c r="IN79" s="637"/>
      <c r="IO79" s="637"/>
      <c r="IP79" s="637"/>
      <c r="IQ79" s="637"/>
      <c r="IR79" s="637"/>
      <c r="IS79" s="637"/>
      <c r="IT79" s="637"/>
      <c r="IU79" s="637"/>
      <c r="IV79" s="637"/>
      <c r="IW79" s="637"/>
      <c r="IX79" s="637"/>
      <c r="IY79" s="637"/>
      <c r="IZ79" s="637"/>
      <c r="JA79" s="637"/>
      <c r="JB79" s="637"/>
      <c r="JC79" s="637"/>
      <c r="JD79" s="637"/>
      <c r="JE79" s="637"/>
      <c r="JF79" s="637"/>
      <c r="JG79" s="637"/>
      <c r="JH79" s="637"/>
      <c r="JI79" s="637"/>
      <c r="JJ79" s="637"/>
      <c r="JK79" s="637"/>
      <c r="JL79" s="637"/>
      <c r="JM79" s="637"/>
      <c r="JN79" s="637"/>
      <c r="JO79" s="637"/>
      <c r="JP79" s="637"/>
      <c r="JQ79" s="637"/>
      <c r="JR79" s="637"/>
      <c r="JS79" s="637"/>
      <c r="JT79" s="637"/>
      <c r="JU79" s="637"/>
      <c r="JV79" s="637"/>
      <c r="JW79" s="637"/>
      <c r="JX79" s="637"/>
      <c r="JY79" s="637"/>
      <c r="JZ79" s="637"/>
      <c r="KA79" s="637"/>
      <c r="KB79" s="637"/>
      <c r="KC79" s="637"/>
      <c r="KD79" s="637"/>
      <c r="KE79" s="637"/>
      <c r="KF79" s="637"/>
      <c r="KG79" s="637"/>
      <c r="KH79" s="637"/>
      <c r="KI79" s="637"/>
      <c r="KJ79" s="637"/>
      <c r="KK79" s="637"/>
      <c r="KL79" s="637"/>
      <c r="KM79" s="637"/>
      <c r="KN79" s="637"/>
      <c r="KO79" s="637"/>
      <c r="KP79" s="637"/>
      <c r="KQ79" s="637"/>
      <c r="KR79" s="637"/>
      <c r="KS79" s="637"/>
      <c r="KT79" s="637"/>
      <c r="KU79" s="637"/>
      <c r="KV79" s="637"/>
      <c r="KW79" s="637"/>
      <c r="KX79" s="637"/>
      <c r="KY79" s="637"/>
      <c r="KZ79" s="637"/>
      <c r="LA79" s="637"/>
      <c r="LB79" s="637"/>
      <c r="LC79" s="637"/>
      <c r="LD79" s="637"/>
      <c r="LE79" s="637"/>
      <c r="LF79" s="637"/>
      <c r="LG79" s="637"/>
      <c r="LH79" s="637"/>
      <c r="LI79" s="637"/>
      <c r="LJ79" s="637"/>
      <c r="LK79" s="637"/>
      <c r="LL79" s="637"/>
      <c r="LM79" s="637"/>
      <c r="LN79" s="637"/>
      <c r="LO79" s="637"/>
      <c r="LP79" s="637"/>
      <c r="LQ79" s="637"/>
      <c r="LR79" s="637"/>
      <c r="LS79" s="637"/>
      <c r="LT79" s="637"/>
      <c r="LU79" s="637"/>
      <c r="LV79" s="637"/>
      <c r="LW79" s="637"/>
      <c r="LX79" s="637"/>
      <c r="LY79" s="637"/>
      <c r="LZ79" s="637"/>
      <c r="MA79" s="637"/>
      <c r="MB79" s="637"/>
      <c r="MC79" s="637"/>
      <c r="MD79" s="637"/>
      <c r="ME79" s="637"/>
      <c r="MF79" s="637"/>
      <c r="MG79" s="637"/>
      <c r="MH79" s="637"/>
      <c r="MI79" s="637"/>
      <c r="MJ79" s="637"/>
      <c r="MK79" s="637"/>
      <c r="ML79" s="637"/>
      <c r="MM79" s="637"/>
      <c r="MN79" s="637"/>
      <c r="MO79" s="637"/>
      <c r="MP79" s="637"/>
      <c r="MQ79" s="637"/>
      <c r="MR79" s="637"/>
      <c r="MS79" s="637"/>
      <c r="MT79" s="637"/>
      <c r="MU79" s="637"/>
      <c r="MV79" s="637"/>
      <c r="MW79" s="637"/>
      <c r="MX79" s="637"/>
      <c r="MY79" s="637"/>
      <c r="MZ79" s="637"/>
      <c r="NA79" s="637"/>
      <c r="NB79" s="637"/>
      <c r="NC79" s="637"/>
      <c r="ND79" s="637"/>
      <c r="NE79" s="637"/>
      <c r="NF79" s="637"/>
      <c r="NG79" s="637"/>
      <c r="NH79" s="637"/>
      <c r="NI79" s="637"/>
      <c r="NJ79" s="637"/>
      <c r="NK79" s="637"/>
      <c r="NL79" s="637"/>
      <c r="NM79" s="637"/>
      <c r="NN79" s="637"/>
      <c r="NO79" s="637"/>
      <c r="NP79" s="637"/>
      <c r="NQ79" s="637"/>
      <c r="NR79" s="637"/>
      <c r="NS79" s="637"/>
      <c r="NT79" s="637"/>
      <c r="NU79" s="637"/>
      <c r="NV79" s="637"/>
      <c r="NW79" s="637"/>
      <c r="NX79" s="637"/>
      <c r="NY79" s="637"/>
      <c r="NZ79" s="637"/>
      <c r="OA79" s="637"/>
      <c r="OB79" s="637"/>
      <c r="OC79" s="637"/>
      <c r="OD79" s="637"/>
      <c r="OE79" s="637"/>
      <c r="OF79" s="637"/>
      <c r="OG79" s="637"/>
      <c r="OH79" s="637"/>
      <c r="OI79" s="637"/>
      <c r="OJ79" s="637"/>
      <c r="OK79" s="637"/>
      <c r="OL79" s="637"/>
      <c r="OM79" s="637"/>
      <c r="ON79" s="637"/>
      <c r="OO79" s="637"/>
      <c r="OP79" s="637"/>
      <c r="OQ79" s="637"/>
      <c r="OR79" s="637"/>
      <c r="OS79" s="637"/>
      <c r="OT79" s="637"/>
      <c r="OU79" s="637"/>
      <c r="OV79" s="637"/>
      <c r="OW79" s="637"/>
      <c r="OX79" s="637"/>
      <c r="OY79" s="637"/>
      <c r="OZ79" s="637"/>
      <c r="PA79" s="637"/>
      <c r="PB79" s="637"/>
      <c r="PC79" s="637"/>
      <c r="PD79" s="637"/>
      <c r="PE79" s="637"/>
      <c r="PF79" s="637"/>
      <c r="PG79" s="637"/>
      <c r="PH79" s="637"/>
      <c r="PI79" s="637"/>
      <c r="PJ79" s="637"/>
      <c r="PK79" s="637"/>
      <c r="PL79" s="637"/>
      <c r="PM79" s="637"/>
      <c r="PN79" s="637"/>
      <c r="PO79" s="637"/>
      <c r="PP79" s="637"/>
      <c r="PQ79" s="637"/>
      <c r="PR79" s="637"/>
      <c r="PS79" s="637"/>
      <c r="PT79" s="637"/>
      <c r="PU79" s="637"/>
      <c r="PV79" s="637"/>
      <c r="PW79" s="637"/>
      <c r="PX79" s="637"/>
      <c r="PY79" s="637"/>
      <c r="PZ79" s="637"/>
      <c r="QA79" s="637"/>
      <c r="QB79" s="637"/>
      <c r="QC79" s="637"/>
      <c r="QD79" s="637"/>
      <c r="QE79" s="637"/>
      <c r="QF79" s="637"/>
      <c r="QG79" s="637"/>
      <c r="QH79" s="637"/>
      <c r="QI79" s="637"/>
      <c r="QJ79" s="637"/>
      <c r="QK79" s="637"/>
      <c r="QL79" s="637"/>
      <c r="QM79" s="637"/>
      <c r="QN79" s="637"/>
      <c r="QO79" s="637"/>
      <c r="QP79" s="637"/>
      <c r="QQ79" s="637"/>
      <c r="QR79" s="637"/>
      <c r="QS79" s="637"/>
      <c r="QT79" s="637"/>
      <c r="QU79" s="637"/>
      <c r="QV79" s="637"/>
      <c r="QW79" s="637"/>
      <c r="QX79" s="637"/>
      <c r="QY79" s="637"/>
      <c r="QZ79" s="637"/>
      <c r="RA79" s="637"/>
      <c r="RB79" s="637"/>
      <c r="RC79" s="637"/>
      <c r="RD79" s="637"/>
      <c r="RE79" s="637"/>
      <c r="RF79" s="637"/>
      <c r="RG79" s="637"/>
      <c r="RH79" s="637"/>
      <c r="RI79" s="637"/>
      <c r="RJ79" s="637"/>
      <c r="RK79" s="637"/>
      <c r="RL79" s="637"/>
      <c r="RM79" s="637"/>
      <c r="RN79" s="637"/>
      <c r="RO79" s="637"/>
      <c r="RP79" s="637"/>
      <c r="RQ79" s="637"/>
      <c r="RR79" s="637"/>
      <c r="RS79" s="637"/>
      <c r="RT79" s="637"/>
      <c r="RU79" s="637"/>
      <c r="RV79" s="637"/>
      <c r="RW79" s="637"/>
      <c r="RX79" s="637"/>
      <c r="RY79" s="637"/>
      <c r="RZ79" s="637"/>
      <c r="SA79" s="637"/>
      <c r="SB79" s="637"/>
      <c r="SC79" s="637"/>
      <c r="SD79" s="637"/>
      <c r="SE79" s="637"/>
      <c r="SF79" s="637"/>
      <c r="SG79" s="637"/>
      <c r="SH79" s="637"/>
      <c r="SI79" s="637"/>
      <c r="SJ79" s="637"/>
      <c r="SK79" s="637"/>
      <c r="SL79" s="637"/>
      <c r="SM79" s="637"/>
      <c r="SN79" s="637"/>
      <c r="SO79" s="637"/>
      <c r="SP79" s="637"/>
      <c r="SQ79" s="637"/>
      <c r="SR79" s="637"/>
      <c r="SS79" s="637"/>
      <c r="ST79" s="637"/>
      <c r="SU79" s="637"/>
      <c r="SV79" s="637"/>
      <c r="SW79" s="637"/>
      <c r="SX79" s="637"/>
      <c r="SY79" s="637"/>
      <c r="SZ79" s="637"/>
      <c r="TA79" s="637"/>
      <c r="TB79" s="637"/>
      <c r="TC79" s="637"/>
      <c r="TD79" s="637"/>
      <c r="TE79" s="637"/>
      <c r="TF79" s="637"/>
      <c r="TG79" s="637"/>
      <c r="TH79" s="637"/>
      <c r="TI79" s="637"/>
      <c r="TJ79" s="637"/>
      <c r="TK79" s="637"/>
      <c r="TL79" s="637"/>
      <c r="TM79" s="637"/>
      <c r="TN79" s="637"/>
      <c r="TO79" s="637"/>
      <c r="TP79" s="637"/>
      <c r="TQ79" s="637"/>
      <c r="TR79" s="637"/>
      <c r="TS79" s="637"/>
      <c r="TT79" s="637"/>
      <c r="TU79" s="637"/>
      <c r="TV79" s="637"/>
      <c r="TW79" s="637"/>
      <c r="TX79" s="637"/>
      <c r="TY79" s="637"/>
      <c r="TZ79" s="637"/>
      <c r="UA79" s="637"/>
      <c r="UB79" s="637"/>
      <c r="UC79" s="637"/>
      <c r="UD79" s="637"/>
      <c r="UE79" s="637"/>
      <c r="UF79" s="637"/>
      <c r="UG79" s="637"/>
      <c r="UH79" s="637"/>
      <c r="UI79" s="637"/>
      <c r="UJ79" s="637"/>
      <c r="UK79" s="637"/>
      <c r="UL79" s="637"/>
      <c r="UM79" s="637"/>
      <c r="UN79" s="637"/>
      <c r="UO79" s="637"/>
      <c r="UP79" s="637"/>
      <c r="UQ79" s="637"/>
      <c r="UR79" s="637"/>
      <c r="US79" s="637"/>
      <c r="UT79" s="637"/>
      <c r="UU79" s="637"/>
      <c r="UV79" s="637"/>
      <c r="UW79" s="637"/>
      <c r="UX79" s="637"/>
      <c r="UY79" s="637"/>
      <c r="UZ79" s="637"/>
      <c r="VA79" s="637"/>
      <c r="VB79" s="637"/>
      <c r="VC79" s="637"/>
      <c r="VD79" s="637"/>
      <c r="VE79" s="637"/>
      <c r="VF79" s="637"/>
      <c r="VG79" s="637"/>
      <c r="VH79" s="637"/>
      <c r="VI79" s="637"/>
      <c r="VJ79" s="637"/>
      <c r="VK79" s="637"/>
      <c r="VL79" s="637"/>
      <c r="VM79" s="637"/>
      <c r="VN79" s="637"/>
      <c r="VO79" s="637"/>
      <c r="VP79" s="637"/>
      <c r="VQ79" s="637"/>
      <c r="VR79" s="637"/>
      <c r="VS79" s="637"/>
      <c r="VT79" s="637"/>
      <c r="VU79" s="637"/>
      <c r="VV79" s="637"/>
      <c r="VW79" s="637"/>
      <c r="VX79" s="637"/>
      <c r="VY79" s="637"/>
      <c r="VZ79" s="637"/>
      <c r="WA79" s="637"/>
      <c r="WB79" s="637"/>
      <c r="WC79" s="637"/>
      <c r="WD79" s="637"/>
      <c r="WE79" s="637"/>
      <c r="WF79" s="637"/>
      <c r="WG79" s="637"/>
      <c r="WH79" s="637"/>
      <c r="WI79" s="637"/>
      <c r="WJ79" s="637"/>
      <c r="WK79" s="637"/>
      <c r="WL79" s="637"/>
      <c r="WM79" s="637"/>
      <c r="WN79" s="637"/>
      <c r="WO79" s="637"/>
      <c r="WP79" s="637"/>
      <c r="WQ79" s="637"/>
      <c r="WR79" s="637"/>
      <c r="WS79" s="637"/>
      <c r="WT79" s="637"/>
      <c r="WU79" s="637"/>
      <c r="WV79" s="637"/>
      <c r="WW79" s="637"/>
      <c r="WX79" s="637"/>
      <c r="WY79" s="637"/>
      <c r="WZ79" s="637"/>
      <c r="XA79" s="637"/>
      <c r="XB79" s="637"/>
      <c r="XC79" s="637"/>
      <c r="XD79" s="637"/>
      <c r="XE79" s="637"/>
      <c r="XF79" s="637"/>
      <c r="XG79" s="637"/>
      <c r="XH79" s="637"/>
      <c r="XI79" s="637"/>
      <c r="XJ79" s="637"/>
      <c r="XK79" s="637"/>
      <c r="XL79" s="637"/>
      <c r="XM79" s="637"/>
      <c r="XN79" s="637"/>
      <c r="XO79" s="637"/>
      <c r="XP79" s="637"/>
      <c r="XQ79" s="637"/>
      <c r="XR79" s="637"/>
      <c r="XS79" s="637"/>
      <c r="XT79" s="637"/>
      <c r="XU79" s="637"/>
      <c r="XV79" s="637"/>
      <c r="XW79" s="637"/>
      <c r="XX79" s="637"/>
      <c r="XY79" s="637"/>
      <c r="XZ79" s="637"/>
      <c r="YA79" s="637"/>
      <c r="YB79" s="637"/>
      <c r="YC79" s="637"/>
      <c r="YD79" s="637"/>
      <c r="YE79" s="637"/>
      <c r="YF79" s="637"/>
      <c r="YG79" s="637"/>
      <c r="YH79" s="637"/>
      <c r="YI79" s="637"/>
      <c r="YJ79" s="637"/>
      <c r="YK79" s="637"/>
      <c r="YL79" s="637"/>
      <c r="YM79" s="637"/>
      <c r="YN79" s="637"/>
      <c r="YO79" s="637"/>
      <c r="YP79" s="637"/>
      <c r="YQ79" s="637"/>
      <c r="YR79" s="637"/>
      <c r="YS79" s="637"/>
      <c r="YT79" s="637"/>
      <c r="YU79" s="637"/>
      <c r="YV79" s="637"/>
      <c r="YW79" s="637"/>
      <c r="YX79" s="637"/>
      <c r="YY79" s="637"/>
      <c r="YZ79" s="637"/>
      <c r="ZA79" s="637"/>
      <c r="ZB79" s="637"/>
      <c r="ZC79" s="637"/>
      <c r="ZD79" s="637"/>
      <c r="ZE79" s="637"/>
      <c r="ZF79" s="637"/>
      <c r="ZG79" s="637"/>
      <c r="ZH79" s="637"/>
      <c r="ZI79" s="637"/>
      <c r="ZJ79" s="637"/>
      <c r="ZK79" s="637"/>
      <c r="ZL79" s="637"/>
      <c r="ZM79" s="637"/>
      <c r="ZN79" s="637"/>
      <c r="ZO79" s="637"/>
      <c r="ZP79" s="637"/>
      <c r="ZQ79" s="637"/>
      <c r="ZR79" s="637"/>
      <c r="ZS79" s="637"/>
      <c r="ZT79" s="637"/>
      <c r="ZU79" s="637"/>
      <c r="ZV79" s="637"/>
      <c r="ZW79" s="637"/>
      <c r="ZX79" s="637"/>
      <c r="ZY79" s="637"/>
      <c r="ZZ79" s="637"/>
      <c r="AAA79" s="637"/>
      <c r="AAB79" s="637"/>
      <c r="AAC79" s="637"/>
      <c r="AAD79" s="637"/>
      <c r="AAE79" s="637"/>
      <c r="AAF79" s="637"/>
      <c r="AAG79" s="637"/>
      <c r="AAH79" s="637"/>
      <c r="AAI79" s="637"/>
      <c r="AAJ79" s="637"/>
      <c r="AAK79" s="637"/>
      <c r="AAL79" s="637"/>
      <c r="AAM79" s="637"/>
      <c r="AAN79" s="637"/>
      <c r="AAO79" s="637"/>
      <c r="AAP79" s="637"/>
      <c r="AAQ79" s="637"/>
      <c r="AAR79" s="637"/>
      <c r="AAS79" s="637"/>
      <c r="AAT79" s="637"/>
      <c r="AAU79" s="637"/>
      <c r="AAV79" s="637"/>
      <c r="AAW79" s="637"/>
      <c r="AAX79" s="637"/>
      <c r="AAY79" s="637"/>
      <c r="AAZ79" s="637"/>
      <c r="ABA79" s="637"/>
      <c r="ABB79" s="637"/>
      <c r="ABC79" s="637"/>
      <c r="ABD79" s="637"/>
      <c r="ABE79" s="637"/>
      <c r="ABF79" s="637"/>
      <c r="ABG79" s="637"/>
      <c r="ABH79" s="637"/>
      <c r="ABI79" s="637"/>
      <c r="ABJ79" s="637"/>
      <c r="ABK79" s="637"/>
      <c r="ABL79" s="637"/>
      <c r="ABM79" s="637"/>
      <c r="ABN79" s="637"/>
      <c r="ABO79" s="637"/>
      <c r="ABP79" s="637"/>
      <c r="ABQ79" s="637"/>
      <c r="ABR79" s="637"/>
      <c r="ABS79" s="637"/>
      <c r="ABT79" s="637"/>
      <c r="ABU79" s="637"/>
      <c r="ABV79" s="637"/>
      <c r="ABW79" s="637"/>
      <c r="ABX79" s="637"/>
      <c r="ABY79" s="637"/>
      <c r="ABZ79" s="637"/>
      <c r="ACA79" s="637"/>
      <c r="ACB79" s="637"/>
      <c r="ACC79" s="637"/>
      <c r="ACD79" s="637"/>
      <c r="ACE79" s="637"/>
      <c r="ACF79" s="637"/>
      <c r="ACG79" s="637"/>
      <c r="ACH79" s="637"/>
      <c r="ACI79" s="637"/>
      <c r="ACJ79" s="637"/>
      <c r="ACK79" s="637"/>
      <c r="ACL79" s="637"/>
      <c r="ACM79" s="637"/>
      <c r="ACN79" s="637"/>
      <c r="ACO79" s="637"/>
      <c r="ACP79" s="637"/>
      <c r="ACQ79" s="637"/>
      <c r="ACR79" s="637"/>
      <c r="ACS79" s="637"/>
      <c r="ACT79" s="637"/>
      <c r="ACU79" s="637"/>
      <c r="ACV79" s="637"/>
      <c r="ACW79" s="637"/>
      <c r="ACX79" s="637"/>
      <c r="ACY79" s="637"/>
      <c r="ACZ79" s="637"/>
      <c r="ADA79" s="637"/>
      <c r="ADB79" s="637"/>
      <c r="ADC79" s="637"/>
      <c r="ADD79" s="637"/>
      <c r="ADE79" s="637"/>
      <c r="ADF79" s="637"/>
      <c r="ADG79" s="637"/>
      <c r="ADH79" s="637"/>
      <c r="ADI79" s="637"/>
      <c r="ADJ79" s="637"/>
      <c r="ADK79" s="637"/>
      <c r="ADL79" s="637"/>
      <c r="ADM79" s="637"/>
      <c r="ADN79" s="637"/>
      <c r="ADO79" s="637"/>
      <c r="ADP79" s="637"/>
      <c r="ADQ79" s="637"/>
      <c r="ADR79" s="637"/>
      <c r="ADS79" s="637"/>
      <c r="ADT79" s="637"/>
      <c r="ADU79" s="637"/>
      <c r="ADV79" s="637"/>
      <c r="ADW79" s="637"/>
      <c r="ADX79" s="637"/>
      <c r="ADY79" s="637"/>
      <c r="ADZ79" s="637"/>
      <c r="AEA79" s="637"/>
      <c r="AEB79" s="637"/>
      <c r="AEC79" s="637"/>
      <c r="AED79" s="637"/>
      <c r="AEE79" s="637"/>
      <c r="AEF79" s="637"/>
      <c r="AEG79" s="637"/>
      <c r="AEH79" s="637"/>
      <c r="AEI79" s="637"/>
      <c r="AEJ79" s="637"/>
      <c r="AEK79" s="637"/>
      <c r="AEL79" s="637"/>
      <c r="AEM79" s="637"/>
      <c r="AEN79" s="637"/>
      <c r="AEO79" s="637"/>
      <c r="AEP79" s="637"/>
      <c r="AEQ79" s="637"/>
      <c r="AER79" s="637"/>
      <c r="AES79" s="637"/>
      <c r="AET79" s="637"/>
      <c r="AEU79" s="637"/>
      <c r="AEV79" s="637"/>
      <c r="AEW79" s="637"/>
      <c r="AEX79" s="637"/>
      <c r="AEY79" s="637"/>
      <c r="AEZ79" s="637"/>
      <c r="AFA79" s="637"/>
      <c r="AFB79" s="637"/>
      <c r="AFC79" s="637"/>
      <c r="AFD79" s="637"/>
      <c r="AFE79" s="637"/>
      <c r="AFF79" s="637"/>
      <c r="AFG79" s="637"/>
      <c r="AFH79" s="637"/>
      <c r="AFI79" s="637"/>
      <c r="AFJ79" s="637"/>
      <c r="AFK79" s="637"/>
      <c r="AFL79" s="637"/>
      <c r="AFM79" s="637"/>
      <c r="AFN79" s="637"/>
      <c r="AFO79" s="637"/>
      <c r="AFP79" s="637"/>
      <c r="AFQ79" s="637"/>
      <c r="AFR79" s="637"/>
      <c r="AFS79" s="637"/>
      <c r="AFT79" s="637"/>
      <c r="AFU79" s="637"/>
      <c r="AFV79" s="637"/>
      <c r="AFW79" s="637"/>
      <c r="AFX79" s="637"/>
      <c r="AFY79" s="637"/>
      <c r="AFZ79" s="637"/>
      <c r="AGA79" s="637"/>
      <c r="AGB79" s="637"/>
      <c r="AGC79" s="637"/>
      <c r="AGD79" s="637"/>
      <c r="AGE79" s="637"/>
      <c r="AGF79" s="637"/>
      <c r="AGG79" s="637"/>
      <c r="AGH79" s="637"/>
      <c r="AGI79" s="637"/>
      <c r="AGJ79" s="637"/>
      <c r="AGK79" s="637"/>
      <c r="AGL79" s="637"/>
      <c r="AGM79" s="637"/>
      <c r="AGN79" s="637"/>
      <c r="AGO79" s="637"/>
      <c r="AGP79" s="637"/>
      <c r="AGQ79" s="637"/>
      <c r="AGR79" s="637"/>
      <c r="AGS79" s="637"/>
      <c r="AGT79" s="637"/>
      <c r="AGU79" s="637"/>
      <c r="AGV79" s="637"/>
      <c r="AGW79" s="637"/>
      <c r="AGX79" s="637"/>
      <c r="AGY79" s="637"/>
      <c r="AGZ79" s="637"/>
      <c r="AHA79" s="637"/>
      <c r="AHB79" s="637"/>
      <c r="AHC79" s="637"/>
      <c r="AHD79" s="637"/>
      <c r="AHE79" s="637"/>
      <c r="AHF79" s="637"/>
      <c r="AHG79" s="637"/>
      <c r="AHH79" s="637"/>
      <c r="AHI79" s="637"/>
      <c r="AHJ79" s="637"/>
      <c r="AHK79" s="637"/>
      <c r="AHL79" s="637"/>
      <c r="AHM79" s="637"/>
      <c r="AHN79" s="637"/>
      <c r="AHO79" s="637"/>
      <c r="AHP79" s="637"/>
      <c r="AHQ79" s="637"/>
      <c r="AHR79" s="637"/>
      <c r="AHS79" s="637"/>
      <c r="AHT79" s="637"/>
      <c r="AHU79" s="637"/>
      <c r="AHV79" s="637"/>
      <c r="AHW79" s="637"/>
      <c r="AHX79" s="637"/>
      <c r="AHY79" s="637"/>
      <c r="AHZ79" s="637"/>
      <c r="AIA79" s="637"/>
      <c r="AIB79" s="637"/>
      <c r="AIC79" s="637"/>
      <c r="AID79" s="637"/>
      <c r="AIE79" s="637"/>
      <c r="AIF79" s="637"/>
      <c r="AIG79" s="637"/>
      <c r="AIH79" s="637"/>
      <c r="AII79" s="637"/>
      <c r="AIJ79" s="637"/>
      <c r="AIK79" s="637"/>
      <c r="AIL79" s="637"/>
      <c r="AIM79" s="637"/>
      <c r="AIN79" s="637"/>
      <c r="AIO79" s="637"/>
      <c r="AIP79" s="637"/>
      <c r="AIQ79" s="637"/>
      <c r="AIR79" s="637"/>
      <c r="AIS79" s="637"/>
      <c r="AIT79" s="637"/>
      <c r="AIU79" s="637"/>
      <c r="AIV79" s="637"/>
      <c r="AIW79" s="637"/>
      <c r="AIX79" s="637"/>
      <c r="AIY79" s="637"/>
      <c r="AIZ79" s="637"/>
      <c r="AJA79" s="637"/>
      <c r="AJB79" s="637"/>
      <c r="AJC79" s="637"/>
      <c r="AJD79" s="637"/>
      <c r="AJE79" s="637"/>
      <c r="AJF79" s="637"/>
      <c r="AJG79" s="637"/>
      <c r="AJH79" s="637"/>
      <c r="AJI79" s="637"/>
      <c r="AJJ79" s="637"/>
      <c r="AJK79" s="637"/>
      <c r="AJL79" s="637"/>
      <c r="AJM79" s="637"/>
      <c r="AJN79" s="637"/>
      <c r="AJO79" s="637"/>
      <c r="AJP79" s="637"/>
      <c r="AJQ79" s="637"/>
      <c r="AJR79" s="637"/>
      <c r="AJS79" s="637"/>
      <c r="AJT79" s="637"/>
      <c r="AJU79" s="637"/>
      <c r="AJV79" s="637"/>
      <c r="AJW79" s="637"/>
      <c r="AJX79" s="637"/>
      <c r="AJY79" s="637"/>
      <c r="AJZ79" s="637"/>
      <c r="AKA79" s="637"/>
      <c r="AKB79" s="637"/>
      <c r="AKC79" s="637"/>
      <c r="AKD79" s="637"/>
      <c r="AKE79" s="637"/>
      <c r="AKF79" s="637"/>
      <c r="AKG79" s="637"/>
      <c r="AKH79" s="637"/>
      <c r="AKI79" s="637"/>
      <c r="AKJ79" s="637"/>
      <c r="AKK79" s="637"/>
      <c r="AKL79" s="637"/>
      <c r="AKM79" s="637"/>
      <c r="AKN79" s="637"/>
      <c r="AKO79" s="637"/>
      <c r="AKP79" s="637"/>
      <c r="AKQ79" s="637"/>
      <c r="AKR79" s="637"/>
      <c r="AKS79" s="637"/>
      <c r="AKT79" s="637"/>
      <c r="AKU79" s="637"/>
      <c r="AKV79" s="637"/>
      <c r="AKW79" s="637"/>
      <c r="AKX79" s="637"/>
      <c r="AKY79" s="637"/>
      <c r="AKZ79" s="637"/>
      <c r="ALA79" s="637"/>
      <c r="ALB79" s="637"/>
      <c r="ALC79" s="637"/>
      <c r="ALD79" s="637"/>
      <c r="ALE79" s="637"/>
      <c r="ALF79" s="637"/>
      <c r="ALG79" s="637"/>
      <c r="ALH79" s="637"/>
      <c r="ALI79" s="637"/>
      <c r="ALJ79" s="637"/>
      <c r="ALK79" s="637"/>
      <c r="ALL79" s="637"/>
      <c r="ALM79" s="637"/>
      <c r="ALN79" s="637"/>
      <c r="ALO79" s="637"/>
      <c r="ALP79" s="637"/>
      <c r="ALQ79" s="637"/>
      <c r="ALR79" s="637"/>
      <c r="ALS79" s="637"/>
      <c r="ALT79" s="637"/>
      <c r="ALU79" s="637"/>
      <c r="ALV79" s="637"/>
      <c r="ALW79" s="637"/>
      <c r="ALX79" s="637"/>
      <c r="ALY79" s="637"/>
      <c r="ALZ79" s="637"/>
      <c r="AMA79" s="637"/>
      <c r="AMB79" s="637"/>
      <c r="AMC79" s="637"/>
      <c r="AMD79" s="637"/>
      <c r="AME79" s="637"/>
      <c r="AMF79" s="637"/>
      <c r="AMG79" s="637"/>
      <c r="AMH79" s="637"/>
      <c r="AMI79" s="637"/>
      <c r="AMJ79" s="637"/>
    </row>
    <row r="80" spans="1:1024" s="638" customFormat="1" ht="12.75" hidden="1">
      <c r="A80" s="984"/>
      <c r="B80" s="985"/>
      <c r="C80" s="986"/>
      <c r="D80" s="1001"/>
      <c r="E80" s="1002">
        <v>20354</v>
      </c>
      <c r="F80" s="1002"/>
      <c r="G80" s="1004"/>
      <c r="H80" s="1004"/>
      <c r="I80" s="1004"/>
      <c r="J80" s="1004"/>
      <c r="K80" s="1004"/>
      <c r="L80" s="1004"/>
      <c r="M80" s="1004"/>
      <c r="N80" s="1004"/>
      <c r="O80" s="1004"/>
      <c r="P80" s="1004"/>
      <c r="Q80" s="1004"/>
      <c r="R80" s="1005"/>
      <c r="S80" s="637"/>
      <c r="T80" s="637"/>
      <c r="U80" s="637"/>
      <c r="V80" s="637"/>
      <c r="W80" s="637"/>
      <c r="X80" s="637"/>
      <c r="Y80" s="637"/>
      <c r="Z80" s="637"/>
      <c r="AA80" s="637"/>
      <c r="AB80" s="637"/>
      <c r="AC80" s="637"/>
      <c r="AD80" s="637"/>
      <c r="AE80" s="637"/>
      <c r="AF80" s="637"/>
      <c r="AG80" s="637"/>
      <c r="AH80" s="637"/>
      <c r="AI80" s="637"/>
      <c r="AJ80" s="637"/>
      <c r="AK80" s="637"/>
      <c r="AL80" s="637"/>
      <c r="AM80" s="637"/>
      <c r="AN80" s="637"/>
      <c r="AO80" s="637"/>
      <c r="AP80" s="637"/>
      <c r="AQ80" s="637"/>
      <c r="AR80" s="637"/>
      <c r="AS80" s="637"/>
      <c r="AT80" s="637"/>
      <c r="AU80" s="637"/>
      <c r="AV80" s="637"/>
      <c r="AW80" s="637"/>
      <c r="AX80" s="637"/>
      <c r="AY80" s="637"/>
      <c r="AZ80" s="637"/>
      <c r="BA80" s="637"/>
      <c r="BB80" s="637"/>
      <c r="BC80" s="637"/>
      <c r="BD80" s="637"/>
      <c r="BE80" s="637"/>
      <c r="BF80" s="637"/>
      <c r="BG80" s="637"/>
      <c r="BH80" s="637"/>
      <c r="BI80" s="637"/>
      <c r="BJ80" s="637"/>
      <c r="BK80" s="637"/>
      <c r="BL80" s="637"/>
      <c r="BM80" s="637"/>
      <c r="BN80" s="637"/>
      <c r="BO80" s="637"/>
      <c r="BP80" s="637"/>
      <c r="BQ80" s="637"/>
      <c r="BR80" s="637"/>
      <c r="BS80" s="637"/>
      <c r="BT80" s="637"/>
      <c r="BU80" s="637"/>
      <c r="BV80" s="637"/>
      <c r="BW80" s="637"/>
      <c r="BX80" s="637"/>
      <c r="BY80" s="637"/>
      <c r="BZ80" s="637"/>
      <c r="CA80" s="637"/>
      <c r="CB80" s="637"/>
      <c r="CC80" s="637"/>
      <c r="CD80" s="637"/>
      <c r="CE80" s="637"/>
      <c r="CF80" s="637"/>
      <c r="CG80" s="637"/>
      <c r="CH80" s="637"/>
      <c r="CI80" s="637"/>
      <c r="CJ80" s="637"/>
      <c r="CK80" s="637"/>
      <c r="CL80" s="637"/>
      <c r="CM80" s="637"/>
      <c r="CN80" s="637"/>
      <c r="CO80" s="637"/>
      <c r="CP80" s="637"/>
      <c r="CQ80" s="637"/>
      <c r="CR80" s="637"/>
      <c r="CS80" s="637"/>
      <c r="CT80" s="637"/>
      <c r="CU80" s="637"/>
      <c r="CV80" s="637"/>
      <c r="CW80" s="637"/>
      <c r="CX80" s="637"/>
      <c r="CY80" s="637"/>
      <c r="CZ80" s="637"/>
      <c r="DA80" s="637"/>
      <c r="DB80" s="637"/>
      <c r="DC80" s="637"/>
      <c r="DD80" s="637"/>
      <c r="DE80" s="637"/>
      <c r="DF80" s="637"/>
      <c r="DG80" s="637"/>
      <c r="DH80" s="637"/>
      <c r="DI80" s="637"/>
      <c r="DJ80" s="637"/>
      <c r="DK80" s="637"/>
      <c r="DL80" s="637"/>
      <c r="DM80" s="637"/>
      <c r="DN80" s="637"/>
      <c r="DO80" s="637"/>
      <c r="DP80" s="637"/>
      <c r="DQ80" s="637"/>
      <c r="DR80" s="637"/>
      <c r="DS80" s="637"/>
      <c r="DT80" s="637"/>
      <c r="DU80" s="637"/>
      <c r="DV80" s="637"/>
      <c r="DW80" s="637"/>
      <c r="DX80" s="637"/>
      <c r="DY80" s="637"/>
      <c r="DZ80" s="637"/>
      <c r="EA80" s="637"/>
      <c r="EB80" s="637"/>
      <c r="EC80" s="637"/>
      <c r="ED80" s="637"/>
      <c r="EE80" s="637"/>
      <c r="EF80" s="637"/>
      <c r="EG80" s="637"/>
      <c r="EH80" s="637"/>
      <c r="EI80" s="637"/>
      <c r="EJ80" s="637"/>
      <c r="EK80" s="637"/>
      <c r="EL80" s="637"/>
      <c r="EM80" s="637"/>
      <c r="EN80" s="637"/>
      <c r="EO80" s="637"/>
      <c r="EP80" s="637"/>
      <c r="EQ80" s="637"/>
      <c r="ER80" s="637"/>
      <c r="ES80" s="637"/>
      <c r="ET80" s="637"/>
      <c r="EU80" s="637"/>
      <c r="EV80" s="637"/>
      <c r="EW80" s="637"/>
      <c r="EX80" s="637"/>
      <c r="EY80" s="637"/>
      <c r="EZ80" s="637"/>
      <c r="FA80" s="637"/>
      <c r="FB80" s="637"/>
      <c r="FC80" s="637"/>
      <c r="FD80" s="637"/>
      <c r="FE80" s="637"/>
      <c r="FF80" s="637"/>
      <c r="FG80" s="637"/>
      <c r="FH80" s="637"/>
      <c r="FI80" s="637"/>
      <c r="FJ80" s="637"/>
      <c r="FK80" s="637"/>
      <c r="FL80" s="637"/>
      <c r="FM80" s="637"/>
      <c r="FN80" s="637"/>
      <c r="FO80" s="637"/>
      <c r="FP80" s="637"/>
      <c r="FQ80" s="637"/>
      <c r="FR80" s="637"/>
      <c r="FS80" s="637"/>
      <c r="FT80" s="637"/>
      <c r="FU80" s="637"/>
      <c r="FV80" s="637"/>
      <c r="FW80" s="637"/>
      <c r="FX80" s="637"/>
      <c r="FY80" s="637"/>
      <c r="FZ80" s="637"/>
      <c r="GA80" s="637"/>
      <c r="GB80" s="637"/>
      <c r="GC80" s="637"/>
      <c r="GD80" s="637"/>
      <c r="GE80" s="637"/>
      <c r="GF80" s="637"/>
      <c r="GG80" s="637"/>
      <c r="GH80" s="637"/>
      <c r="GI80" s="637"/>
      <c r="GJ80" s="637"/>
      <c r="GK80" s="637"/>
      <c r="GL80" s="637"/>
      <c r="GM80" s="637"/>
      <c r="GN80" s="637"/>
      <c r="GO80" s="637"/>
      <c r="GP80" s="637"/>
      <c r="GQ80" s="637"/>
      <c r="GR80" s="637"/>
      <c r="GS80" s="637"/>
      <c r="GT80" s="637"/>
      <c r="GU80" s="637"/>
      <c r="GV80" s="637"/>
      <c r="GW80" s="637"/>
      <c r="GX80" s="637"/>
      <c r="GY80" s="637"/>
      <c r="GZ80" s="637"/>
      <c r="HA80" s="637"/>
      <c r="HB80" s="637"/>
      <c r="HC80" s="637"/>
      <c r="HD80" s="637"/>
      <c r="HE80" s="637"/>
      <c r="HF80" s="637"/>
      <c r="HG80" s="637"/>
      <c r="HH80" s="637"/>
      <c r="HI80" s="637"/>
      <c r="HJ80" s="637"/>
      <c r="HK80" s="637"/>
      <c r="HL80" s="637"/>
      <c r="HM80" s="637"/>
      <c r="HN80" s="637"/>
      <c r="HO80" s="637"/>
      <c r="HP80" s="637"/>
      <c r="HQ80" s="637"/>
      <c r="HR80" s="637"/>
      <c r="HS80" s="637"/>
      <c r="HT80" s="637"/>
      <c r="HU80" s="637"/>
      <c r="HV80" s="637"/>
      <c r="HW80" s="637"/>
      <c r="HX80" s="637"/>
      <c r="HY80" s="637"/>
      <c r="HZ80" s="637"/>
      <c r="IA80" s="637"/>
      <c r="IB80" s="637"/>
      <c r="IC80" s="637"/>
      <c r="ID80" s="637"/>
      <c r="IE80" s="637"/>
      <c r="IF80" s="637"/>
      <c r="IG80" s="637"/>
      <c r="IH80" s="637"/>
      <c r="II80" s="637"/>
      <c r="IJ80" s="637"/>
      <c r="IK80" s="637"/>
      <c r="IL80" s="637"/>
      <c r="IM80" s="637"/>
      <c r="IN80" s="637"/>
      <c r="IO80" s="637"/>
      <c r="IP80" s="637"/>
      <c r="IQ80" s="637"/>
      <c r="IR80" s="637"/>
      <c r="IS80" s="637"/>
      <c r="IT80" s="637"/>
      <c r="IU80" s="637"/>
      <c r="IV80" s="637"/>
      <c r="IW80" s="637"/>
      <c r="IX80" s="637"/>
      <c r="IY80" s="637"/>
      <c r="IZ80" s="637"/>
      <c r="JA80" s="637"/>
      <c r="JB80" s="637"/>
      <c r="JC80" s="637"/>
      <c r="JD80" s="637"/>
      <c r="JE80" s="637"/>
      <c r="JF80" s="637"/>
      <c r="JG80" s="637"/>
      <c r="JH80" s="637"/>
      <c r="JI80" s="637"/>
      <c r="JJ80" s="637"/>
      <c r="JK80" s="637"/>
      <c r="JL80" s="637"/>
      <c r="JM80" s="637"/>
      <c r="JN80" s="637"/>
      <c r="JO80" s="637"/>
      <c r="JP80" s="637"/>
      <c r="JQ80" s="637"/>
      <c r="JR80" s="637"/>
      <c r="JS80" s="637"/>
      <c r="JT80" s="637"/>
      <c r="JU80" s="637"/>
      <c r="JV80" s="637"/>
      <c r="JW80" s="637"/>
      <c r="JX80" s="637"/>
      <c r="JY80" s="637"/>
      <c r="JZ80" s="637"/>
      <c r="KA80" s="637"/>
      <c r="KB80" s="637"/>
      <c r="KC80" s="637"/>
      <c r="KD80" s="637"/>
      <c r="KE80" s="637"/>
      <c r="KF80" s="637"/>
      <c r="KG80" s="637"/>
      <c r="KH80" s="637"/>
      <c r="KI80" s="637"/>
      <c r="KJ80" s="637"/>
      <c r="KK80" s="637"/>
      <c r="KL80" s="637"/>
      <c r="KM80" s="637"/>
      <c r="KN80" s="637"/>
      <c r="KO80" s="637"/>
      <c r="KP80" s="637"/>
      <c r="KQ80" s="637"/>
      <c r="KR80" s="637"/>
      <c r="KS80" s="637"/>
      <c r="KT80" s="637"/>
      <c r="KU80" s="637"/>
      <c r="KV80" s="637"/>
      <c r="KW80" s="637"/>
      <c r="KX80" s="637"/>
      <c r="KY80" s="637"/>
      <c r="KZ80" s="637"/>
      <c r="LA80" s="637"/>
      <c r="LB80" s="637"/>
      <c r="LC80" s="637"/>
      <c r="LD80" s="637"/>
      <c r="LE80" s="637"/>
      <c r="LF80" s="637"/>
      <c r="LG80" s="637"/>
      <c r="LH80" s="637"/>
      <c r="LI80" s="637"/>
      <c r="LJ80" s="637"/>
      <c r="LK80" s="637"/>
      <c r="LL80" s="637"/>
      <c r="LM80" s="637"/>
      <c r="LN80" s="637"/>
      <c r="LO80" s="637"/>
      <c r="LP80" s="637"/>
      <c r="LQ80" s="637"/>
      <c r="LR80" s="637"/>
      <c r="LS80" s="637"/>
      <c r="LT80" s="637"/>
      <c r="LU80" s="637"/>
      <c r="LV80" s="637"/>
      <c r="LW80" s="637"/>
      <c r="LX80" s="637"/>
      <c r="LY80" s="637"/>
      <c r="LZ80" s="637"/>
      <c r="MA80" s="637"/>
      <c r="MB80" s="637"/>
      <c r="MC80" s="637"/>
      <c r="MD80" s="637"/>
      <c r="ME80" s="637"/>
      <c r="MF80" s="637"/>
      <c r="MG80" s="637"/>
      <c r="MH80" s="637"/>
      <c r="MI80" s="637"/>
      <c r="MJ80" s="637"/>
      <c r="MK80" s="637"/>
      <c r="ML80" s="637"/>
      <c r="MM80" s="637"/>
      <c r="MN80" s="637"/>
      <c r="MO80" s="637"/>
      <c r="MP80" s="637"/>
      <c r="MQ80" s="637"/>
      <c r="MR80" s="637"/>
      <c r="MS80" s="637"/>
      <c r="MT80" s="637"/>
      <c r="MU80" s="637"/>
      <c r="MV80" s="637"/>
      <c r="MW80" s="637"/>
      <c r="MX80" s="637"/>
      <c r="MY80" s="637"/>
      <c r="MZ80" s="637"/>
      <c r="NA80" s="637"/>
      <c r="NB80" s="637"/>
      <c r="NC80" s="637"/>
      <c r="ND80" s="637"/>
      <c r="NE80" s="637"/>
      <c r="NF80" s="637"/>
      <c r="NG80" s="637"/>
      <c r="NH80" s="637"/>
      <c r="NI80" s="637"/>
      <c r="NJ80" s="637"/>
      <c r="NK80" s="637"/>
      <c r="NL80" s="637"/>
      <c r="NM80" s="637"/>
      <c r="NN80" s="637"/>
      <c r="NO80" s="637"/>
      <c r="NP80" s="637"/>
      <c r="NQ80" s="637"/>
      <c r="NR80" s="637"/>
      <c r="NS80" s="637"/>
      <c r="NT80" s="637"/>
      <c r="NU80" s="637"/>
      <c r="NV80" s="637"/>
      <c r="NW80" s="637"/>
      <c r="NX80" s="637"/>
      <c r="NY80" s="637"/>
      <c r="NZ80" s="637"/>
      <c r="OA80" s="637"/>
      <c r="OB80" s="637"/>
      <c r="OC80" s="637"/>
      <c r="OD80" s="637"/>
      <c r="OE80" s="637"/>
      <c r="OF80" s="637"/>
      <c r="OG80" s="637"/>
      <c r="OH80" s="637"/>
      <c r="OI80" s="637"/>
      <c r="OJ80" s="637"/>
      <c r="OK80" s="637"/>
      <c r="OL80" s="637"/>
      <c r="OM80" s="637"/>
      <c r="ON80" s="637"/>
      <c r="OO80" s="637"/>
      <c r="OP80" s="637"/>
      <c r="OQ80" s="637"/>
      <c r="OR80" s="637"/>
      <c r="OS80" s="637"/>
      <c r="OT80" s="637"/>
      <c r="OU80" s="637"/>
      <c r="OV80" s="637"/>
      <c r="OW80" s="637"/>
      <c r="OX80" s="637"/>
      <c r="OY80" s="637"/>
      <c r="OZ80" s="637"/>
      <c r="PA80" s="637"/>
      <c r="PB80" s="637"/>
      <c r="PC80" s="637"/>
      <c r="PD80" s="637"/>
      <c r="PE80" s="637"/>
      <c r="PF80" s="637"/>
      <c r="PG80" s="637"/>
      <c r="PH80" s="637"/>
      <c r="PI80" s="637"/>
      <c r="PJ80" s="637"/>
      <c r="PK80" s="637"/>
      <c r="PL80" s="637"/>
      <c r="PM80" s="637"/>
      <c r="PN80" s="637"/>
      <c r="PO80" s="637"/>
      <c r="PP80" s="637"/>
      <c r="PQ80" s="637"/>
      <c r="PR80" s="637"/>
      <c r="PS80" s="637"/>
      <c r="PT80" s="637"/>
      <c r="PU80" s="637"/>
      <c r="PV80" s="637"/>
      <c r="PW80" s="637"/>
      <c r="PX80" s="637"/>
      <c r="PY80" s="637"/>
      <c r="PZ80" s="637"/>
      <c r="QA80" s="637"/>
      <c r="QB80" s="637"/>
      <c r="QC80" s="637"/>
      <c r="QD80" s="637"/>
      <c r="QE80" s="637"/>
      <c r="QF80" s="637"/>
      <c r="QG80" s="637"/>
      <c r="QH80" s="637"/>
      <c r="QI80" s="637"/>
      <c r="QJ80" s="637"/>
      <c r="QK80" s="637"/>
      <c r="QL80" s="637"/>
      <c r="QM80" s="637"/>
      <c r="QN80" s="637"/>
      <c r="QO80" s="637"/>
      <c r="QP80" s="637"/>
      <c r="QQ80" s="637"/>
      <c r="QR80" s="637"/>
      <c r="QS80" s="637"/>
      <c r="QT80" s="637"/>
      <c r="QU80" s="637"/>
      <c r="QV80" s="637"/>
      <c r="QW80" s="637"/>
      <c r="QX80" s="637"/>
      <c r="QY80" s="637"/>
      <c r="QZ80" s="637"/>
      <c r="RA80" s="637"/>
      <c r="RB80" s="637"/>
      <c r="RC80" s="637"/>
      <c r="RD80" s="637"/>
      <c r="RE80" s="637"/>
      <c r="RF80" s="637"/>
      <c r="RG80" s="637"/>
      <c r="RH80" s="637"/>
      <c r="RI80" s="637"/>
      <c r="RJ80" s="637"/>
      <c r="RK80" s="637"/>
      <c r="RL80" s="637"/>
      <c r="RM80" s="637"/>
      <c r="RN80" s="637"/>
      <c r="RO80" s="637"/>
      <c r="RP80" s="637"/>
      <c r="RQ80" s="637"/>
      <c r="RR80" s="637"/>
      <c r="RS80" s="637"/>
      <c r="RT80" s="637"/>
      <c r="RU80" s="637"/>
      <c r="RV80" s="637"/>
      <c r="RW80" s="637"/>
      <c r="RX80" s="637"/>
      <c r="RY80" s="637"/>
      <c r="RZ80" s="637"/>
      <c r="SA80" s="637"/>
      <c r="SB80" s="637"/>
      <c r="SC80" s="637"/>
      <c r="SD80" s="637"/>
      <c r="SE80" s="637"/>
      <c r="SF80" s="637"/>
      <c r="SG80" s="637"/>
      <c r="SH80" s="637"/>
      <c r="SI80" s="637"/>
      <c r="SJ80" s="637"/>
      <c r="SK80" s="637"/>
      <c r="SL80" s="637"/>
      <c r="SM80" s="637"/>
      <c r="SN80" s="637"/>
      <c r="SO80" s="637"/>
      <c r="SP80" s="637"/>
      <c r="SQ80" s="637"/>
      <c r="SR80" s="637"/>
      <c r="SS80" s="637"/>
      <c r="ST80" s="637"/>
      <c r="SU80" s="637"/>
      <c r="SV80" s="637"/>
      <c r="SW80" s="637"/>
      <c r="SX80" s="637"/>
      <c r="SY80" s="637"/>
      <c r="SZ80" s="637"/>
      <c r="TA80" s="637"/>
      <c r="TB80" s="637"/>
      <c r="TC80" s="637"/>
      <c r="TD80" s="637"/>
      <c r="TE80" s="637"/>
      <c r="TF80" s="637"/>
      <c r="TG80" s="637"/>
      <c r="TH80" s="637"/>
      <c r="TI80" s="637"/>
      <c r="TJ80" s="637"/>
      <c r="TK80" s="637"/>
      <c r="TL80" s="637"/>
      <c r="TM80" s="637"/>
      <c r="TN80" s="637"/>
      <c r="TO80" s="637"/>
      <c r="TP80" s="637"/>
      <c r="TQ80" s="637"/>
      <c r="TR80" s="637"/>
      <c r="TS80" s="637"/>
      <c r="TT80" s="637"/>
      <c r="TU80" s="637"/>
      <c r="TV80" s="637"/>
      <c r="TW80" s="637"/>
      <c r="TX80" s="637"/>
      <c r="TY80" s="637"/>
      <c r="TZ80" s="637"/>
      <c r="UA80" s="637"/>
      <c r="UB80" s="637"/>
      <c r="UC80" s="637"/>
      <c r="UD80" s="637"/>
      <c r="UE80" s="637"/>
      <c r="UF80" s="637"/>
      <c r="UG80" s="637"/>
      <c r="UH80" s="637"/>
      <c r="UI80" s="637"/>
      <c r="UJ80" s="637"/>
      <c r="UK80" s="637"/>
      <c r="UL80" s="637"/>
      <c r="UM80" s="637"/>
      <c r="UN80" s="637"/>
      <c r="UO80" s="637"/>
      <c r="UP80" s="637"/>
      <c r="UQ80" s="637"/>
      <c r="UR80" s="637"/>
      <c r="US80" s="637"/>
      <c r="UT80" s="637"/>
      <c r="UU80" s="637"/>
      <c r="UV80" s="637"/>
      <c r="UW80" s="637"/>
      <c r="UX80" s="637"/>
      <c r="UY80" s="637"/>
      <c r="UZ80" s="637"/>
      <c r="VA80" s="637"/>
      <c r="VB80" s="637"/>
      <c r="VC80" s="637"/>
      <c r="VD80" s="637"/>
      <c r="VE80" s="637"/>
      <c r="VF80" s="637"/>
      <c r="VG80" s="637"/>
      <c r="VH80" s="637"/>
      <c r="VI80" s="637"/>
      <c r="VJ80" s="637"/>
      <c r="VK80" s="637"/>
      <c r="VL80" s="637"/>
      <c r="VM80" s="637"/>
      <c r="VN80" s="637"/>
      <c r="VO80" s="637"/>
      <c r="VP80" s="637"/>
      <c r="VQ80" s="637"/>
      <c r="VR80" s="637"/>
      <c r="VS80" s="637"/>
      <c r="VT80" s="637"/>
      <c r="VU80" s="637"/>
      <c r="VV80" s="637"/>
      <c r="VW80" s="637"/>
      <c r="VX80" s="637"/>
      <c r="VY80" s="637"/>
      <c r="VZ80" s="637"/>
      <c r="WA80" s="637"/>
      <c r="WB80" s="637"/>
      <c r="WC80" s="637"/>
      <c r="WD80" s="637"/>
      <c r="WE80" s="637"/>
      <c r="WF80" s="637"/>
      <c r="WG80" s="637"/>
      <c r="WH80" s="637"/>
      <c r="WI80" s="637"/>
      <c r="WJ80" s="637"/>
      <c r="WK80" s="637"/>
      <c r="WL80" s="637"/>
      <c r="WM80" s="637"/>
      <c r="WN80" s="637"/>
      <c r="WO80" s="637"/>
      <c r="WP80" s="637"/>
      <c r="WQ80" s="637"/>
      <c r="WR80" s="637"/>
      <c r="WS80" s="637"/>
      <c r="WT80" s="637"/>
      <c r="WU80" s="637"/>
      <c r="WV80" s="637"/>
      <c r="WW80" s="637"/>
      <c r="WX80" s="637"/>
      <c r="WY80" s="637"/>
      <c r="WZ80" s="637"/>
      <c r="XA80" s="637"/>
      <c r="XB80" s="637"/>
      <c r="XC80" s="637"/>
      <c r="XD80" s="637"/>
      <c r="XE80" s="637"/>
      <c r="XF80" s="637"/>
      <c r="XG80" s="637"/>
      <c r="XH80" s="637"/>
      <c r="XI80" s="637"/>
      <c r="XJ80" s="637"/>
      <c r="XK80" s="637"/>
      <c r="XL80" s="637"/>
      <c r="XM80" s="637"/>
      <c r="XN80" s="637"/>
      <c r="XO80" s="637"/>
      <c r="XP80" s="637"/>
      <c r="XQ80" s="637"/>
      <c r="XR80" s="637"/>
      <c r="XS80" s="637"/>
      <c r="XT80" s="637"/>
      <c r="XU80" s="637"/>
      <c r="XV80" s="637"/>
      <c r="XW80" s="637"/>
      <c r="XX80" s="637"/>
      <c r="XY80" s="637"/>
      <c r="XZ80" s="637"/>
      <c r="YA80" s="637"/>
      <c r="YB80" s="637"/>
      <c r="YC80" s="637"/>
      <c r="YD80" s="637"/>
      <c r="YE80" s="637"/>
      <c r="YF80" s="637"/>
      <c r="YG80" s="637"/>
      <c r="YH80" s="637"/>
      <c r="YI80" s="637"/>
      <c r="YJ80" s="637"/>
      <c r="YK80" s="637"/>
      <c r="YL80" s="637"/>
      <c r="YM80" s="637"/>
      <c r="YN80" s="637"/>
      <c r="YO80" s="637"/>
      <c r="YP80" s="637"/>
      <c r="YQ80" s="637"/>
      <c r="YR80" s="637"/>
      <c r="YS80" s="637"/>
      <c r="YT80" s="637"/>
      <c r="YU80" s="637"/>
      <c r="YV80" s="637"/>
      <c r="YW80" s="637"/>
      <c r="YX80" s="637"/>
      <c r="YY80" s="637"/>
      <c r="YZ80" s="637"/>
      <c r="ZA80" s="637"/>
      <c r="ZB80" s="637"/>
      <c r="ZC80" s="637"/>
      <c r="ZD80" s="637"/>
      <c r="ZE80" s="637"/>
      <c r="ZF80" s="637"/>
      <c r="ZG80" s="637"/>
      <c r="ZH80" s="637"/>
      <c r="ZI80" s="637"/>
      <c r="ZJ80" s="637"/>
      <c r="ZK80" s="637"/>
      <c r="ZL80" s="637"/>
      <c r="ZM80" s="637"/>
      <c r="ZN80" s="637"/>
      <c r="ZO80" s="637"/>
      <c r="ZP80" s="637"/>
      <c r="ZQ80" s="637"/>
      <c r="ZR80" s="637"/>
      <c r="ZS80" s="637"/>
      <c r="ZT80" s="637"/>
      <c r="ZU80" s="637"/>
      <c r="ZV80" s="637"/>
      <c r="ZW80" s="637"/>
      <c r="ZX80" s="637"/>
      <c r="ZY80" s="637"/>
      <c r="ZZ80" s="637"/>
      <c r="AAA80" s="637"/>
      <c r="AAB80" s="637"/>
      <c r="AAC80" s="637"/>
      <c r="AAD80" s="637"/>
      <c r="AAE80" s="637"/>
      <c r="AAF80" s="637"/>
      <c r="AAG80" s="637"/>
      <c r="AAH80" s="637"/>
      <c r="AAI80" s="637"/>
      <c r="AAJ80" s="637"/>
      <c r="AAK80" s="637"/>
      <c r="AAL80" s="637"/>
      <c r="AAM80" s="637"/>
      <c r="AAN80" s="637"/>
      <c r="AAO80" s="637"/>
      <c r="AAP80" s="637"/>
      <c r="AAQ80" s="637"/>
      <c r="AAR80" s="637"/>
      <c r="AAS80" s="637"/>
      <c r="AAT80" s="637"/>
      <c r="AAU80" s="637"/>
      <c r="AAV80" s="637"/>
      <c r="AAW80" s="637"/>
      <c r="AAX80" s="637"/>
      <c r="AAY80" s="637"/>
      <c r="AAZ80" s="637"/>
      <c r="ABA80" s="637"/>
      <c r="ABB80" s="637"/>
      <c r="ABC80" s="637"/>
      <c r="ABD80" s="637"/>
      <c r="ABE80" s="637"/>
      <c r="ABF80" s="637"/>
      <c r="ABG80" s="637"/>
      <c r="ABH80" s="637"/>
      <c r="ABI80" s="637"/>
      <c r="ABJ80" s="637"/>
      <c r="ABK80" s="637"/>
      <c r="ABL80" s="637"/>
      <c r="ABM80" s="637"/>
      <c r="ABN80" s="637"/>
      <c r="ABO80" s="637"/>
      <c r="ABP80" s="637"/>
      <c r="ABQ80" s="637"/>
      <c r="ABR80" s="637"/>
      <c r="ABS80" s="637"/>
      <c r="ABT80" s="637"/>
      <c r="ABU80" s="637"/>
      <c r="ABV80" s="637"/>
      <c r="ABW80" s="637"/>
      <c r="ABX80" s="637"/>
      <c r="ABY80" s="637"/>
      <c r="ABZ80" s="637"/>
      <c r="ACA80" s="637"/>
      <c r="ACB80" s="637"/>
      <c r="ACC80" s="637"/>
      <c r="ACD80" s="637"/>
      <c r="ACE80" s="637"/>
      <c r="ACF80" s="637"/>
      <c r="ACG80" s="637"/>
      <c r="ACH80" s="637"/>
      <c r="ACI80" s="637"/>
      <c r="ACJ80" s="637"/>
      <c r="ACK80" s="637"/>
      <c r="ACL80" s="637"/>
      <c r="ACM80" s="637"/>
      <c r="ACN80" s="637"/>
      <c r="ACO80" s="637"/>
      <c r="ACP80" s="637"/>
      <c r="ACQ80" s="637"/>
      <c r="ACR80" s="637"/>
      <c r="ACS80" s="637"/>
      <c r="ACT80" s="637"/>
      <c r="ACU80" s="637"/>
      <c r="ACV80" s="637"/>
      <c r="ACW80" s="637"/>
      <c r="ACX80" s="637"/>
      <c r="ACY80" s="637"/>
      <c r="ACZ80" s="637"/>
      <c r="ADA80" s="637"/>
      <c r="ADB80" s="637"/>
      <c r="ADC80" s="637"/>
      <c r="ADD80" s="637"/>
      <c r="ADE80" s="637"/>
      <c r="ADF80" s="637"/>
      <c r="ADG80" s="637"/>
      <c r="ADH80" s="637"/>
      <c r="ADI80" s="637"/>
      <c r="ADJ80" s="637"/>
      <c r="ADK80" s="637"/>
      <c r="ADL80" s="637"/>
      <c r="ADM80" s="637"/>
      <c r="ADN80" s="637"/>
      <c r="ADO80" s="637"/>
      <c r="ADP80" s="637"/>
      <c r="ADQ80" s="637"/>
      <c r="ADR80" s="637"/>
      <c r="ADS80" s="637"/>
      <c r="ADT80" s="637"/>
      <c r="ADU80" s="637"/>
      <c r="ADV80" s="637"/>
      <c r="ADW80" s="637"/>
      <c r="ADX80" s="637"/>
      <c r="ADY80" s="637"/>
      <c r="ADZ80" s="637"/>
      <c r="AEA80" s="637"/>
      <c r="AEB80" s="637"/>
      <c r="AEC80" s="637"/>
      <c r="AED80" s="637"/>
      <c r="AEE80" s="637"/>
      <c r="AEF80" s="637"/>
      <c r="AEG80" s="637"/>
      <c r="AEH80" s="637"/>
      <c r="AEI80" s="637"/>
      <c r="AEJ80" s="637"/>
      <c r="AEK80" s="637"/>
      <c r="AEL80" s="637"/>
      <c r="AEM80" s="637"/>
      <c r="AEN80" s="637"/>
      <c r="AEO80" s="637"/>
      <c r="AEP80" s="637"/>
      <c r="AEQ80" s="637"/>
      <c r="AER80" s="637"/>
      <c r="AES80" s="637"/>
      <c r="AET80" s="637"/>
      <c r="AEU80" s="637"/>
      <c r="AEV80" s="637"/>
      <c r="AEW80" s="637"/>
      <c r="AEX80" s="637"/>
      <c r="AEY80" s="637"/>
      <c r="AEZ80" s="637"/>
      <c r="AFA80" s="637"/>
      <c r="AFB80" s="637"/>
      <c r="AFC80" s="637"/>
      <c r="AFD80" s="637"/>
      <c r="AFE80" s="637"/>
      <c r="AFF80" s="637"/>
      <c r="AFG80" s="637"/>
      <c r="AFH80" s="637"/>
      <c r="AFI80" s="637"/>
      <c r="AFJ80" s="637"/>
      <c r="AFK80" s="637"/>
      <c r="AFL80" s="637"/>
      <c r="AFM80" s="637"/>
      <c r="AFN80" s="637"/>
      <c r="AFO80" s="637"/>
      <c r="AFP80" s="637"/>
      <c r="AFQ80" s="637"/>
      <c r="AFR80" s="637"/>
      <c r="AFS80" s="637"/>
      <c r="AFT80" s="637"/>
      <c r="AFU80" s="637"/>
      <c r="AFV80" s="637"/>
      <c r="AFW80" s="637"/>
      <c r="AFX80" s="637"/>
      <c r="AFY80" s="637"/>
      <c r="AFZ80" s="637"/>
      <c r="AGA80" s="637"/>
      <c r="AGB80" s="637"/>
      <c r="AGC80" s="637"/>
      <c r="AGD80" s="637"/>
      <c r="AGE80" s="637"/>
      <c r="AGF80" s="637"/>
      <c r="AGG80" s="637"/>
      <c r="AGH80" s="637"/>
      <c r="AGI80" s="637"/>
      <c r="AGJ80" s="637"/>
      <c r="AGK80" s="637"/>
      <c r="AGL80" s="637"/>
      <c r="AGM80" s="637"/>
      <c r="AGN80" s="637"/>
      <c r="AGO80" s="637"/>
      <c r="AGP80" s="637"/>
      <c r="AGQ80" s="637"/>
      <c r="AGR80" s="637"/>
      <c r="AGS80" s="637"/>
      <c r="AGT80" s="637"/>
      <c r="AGU80" s="637"/>
      <c r="AGV80" s="637"/>
      <c r="AGW80" s="637"/>
      <c r="AGX80" s="637"/>
      <c r="AGY80" s="637"/>
      <c r="AGZ80" s="637"/>
      <c r="AHA80" s="637"/>
      <c r="AHB80" s="637"/>
      <c r="AHC80" s="637"/>
      <c r="AHD80" s="637"/>
      <c r="AHE80" s="637"/>
      <c r="AHF80" s="637"/>
      <c r="AHG80" s="637"/>
      <c r="AHH80" s="637"/>
      <c r="AHI80" s="637"/>
      <c r="AHJ80" s="637"/>
      <c r="AHK80" s="637"/>
      <c r="AHL80" s="637"/>
      <c r="AHM80" s="637"/>
      <c r="AHN80" s="637"/>
      <c r="AHO80" s="637"/>
      <c r="AHP80" s="637"/>
      <c r="AHQ80" s="637"/>
      <c r="AHR80" s="637"/>
      <c r="AHS80" s="637"/>
      <c r="AHT80" s="637"/>
      <c r="AHU80" s="637"/>
      <c r="AHV80" s="637"/>
      <c r="AHW80" s="637"/>
      <c r="AHX80" s="637"/>
      <c r="AHY80" s="637"/>
      <c r="AHZ80" s="637"/>
      <c r="AIA80" s="637"/>
      <c r="AIB80" s="637"/>
      <c r="AIC80" s="637"/>
      <c r="AID80" s="637"/>
      <c r="AIE80" s="637"/>
      <c r="AIF80" s="637"/>
      <c r="AIG80" s="637"/>
      <c r="AIH80" s="637"/>
      <c r="AII80" s="637"/>
      <c r="AIJ80" s="637"/>
      <c r="AIK80" s="637"/>
      <c r="AIL80" s="637"/>
      <c r="AIM80" s="637"/>
      <c r="AIN80" s="637"/>
      <c r="AIO80" s="637"/>
      <c r="AIP80" s="637"/>
      <c r="AIQ80" s="637"/>
      <c r="AIR80" s="637"/>
      <c r="AIS80" s="637"/>
      <c r="AIT80" s="637"/>
      <c r="AIU80" s="637"/>
      <c r="AIV80" s="637"/>
      <c r="AIW80" s="637"/>
      <c r="AIX80" s="637"/>
      <c r="AIY80" s="637"/>
      <c r="AIZ80" s="637"/>
      <c r="AJA80" s="637"/>
      <c r="AJB80" s="637"/>
      <c r="AJC80" s="637"/>
      <c r="AJD80" s="637"/>
      <c r="AJE80" s="637"/>
      <c r="AJF80" s="637"/>
      <c r="AJG80" s="637"/>
      <c r="AJH80" s="637"/>
      <c r="AJI80" s="637"/>
      <c r="AJJ80" s="637"/>
      <c r="AJK80" s="637"/>
      <c r="AJL80" s="637"/>
      <c r="AJM80" s="637"/>
      <c r="AJN80" s="637"/>
      <c r="AJO80" s="637"/>
      <c r="AJP80" s="637"/>
      <c r="AJQ80" s="637"/>
      <c r="AJR80" s="637"/>
      <c r="AJS80" s="637"/>
      <c r="AJT80" s="637"/>
      <c r="AJU80" s="637"/>
      <c r="AJV80" s="637"/>
      <c r="AJW80" s="637"/>
      <c r="AJX80" s="637"/>
      <c r="AJY80" s="637"/>
      <c r="AJZ80" s="637"/>
      <c r="AKA80" s="637"/>
      <c r="AKB80" s="637"/>
      <c r="AKC80" s="637"/>
      <c r="AKD80" s="637"/>
      <c r="AKE80" s="637"/>
      <c r="AKF80" s="637"/>
      <c r="AKG80" s="637"/>
      <c r="AKH80" s="637"/>
      <c r="AKI80" s="637"/>
      <c r="AKJ80" s="637"/>
      <c r="AKK80" s="637"/>
      <c r="AKL80" s="637"/>
      <c r="AKM80" s="637"/>
      <c r="AKN80" s="637"/>
      <c r="AKO80" s="637"/>
      <c r="AKP80" s="637"/>
      <c r="AKQ80" s="637"/>
      <c r="AKR80" s="637"/>
      <c r="AKS80" s="637"/>
      <c r="AKT80" s="637"/>
      <c r="AKU80" s="637"/>
      <c r="AKV80" s="637"/>
      <c r="AKW80" s="637"/>
      <c r="AKX80" s="637"/>
      <c r="AKY80" s="637"/>
      <c r="AKZ80" s="637"/>
      <c r="ALA80" s="637"/>
      <c r="ALB80" s="637"/>
      <c r="ALC80" s="637"/>
      <c r="ALD80" s="637"/>
      <c r="ALE80" s="637"/>
      <c r="ALF80" s="637"/>
      <c r="ALG80" s="637"/>
      <c r="ALH80" s="637"/>
      <c r="ALI80" s="637"/>
      <c r="ALJ80" s="637"/>
      <c r="ALK80" s="637"/>
      <c r="ALL80" s="637"/>
      <c r="ALM80" s="637"/>
      <c r="ALN80" s="637"/>
      <c r="ALO80" s="637"/>
      <c r="ALP80" s="637"/>
      <c r="ALQ80" s="637"/>
      <c r="ALR80" s="637"/>
      <c r="ALS80" s="637"/>
      <c r="ALT80" s="637"/>
      <c r="ALU80" s="637"/>
      <c r="ALV80" s="637"/>
      <c r="ALW80" s="637"/>
      <c r="ALX80" s="637"/>
      <c r="ALY80" s="637"/>
      <c r="ALZ80" s="637"/>
      <c r="AMA80" s="637"/>
      <c r="AMB80" s="637"/>
      <c r="AMC80" s="637"/>
      <c r="AMD80" s="637"/>
      <c r="AME80" s="637"/>
      <c r="AMF80" s="637"/>
      <c r="AMG80" s="637"/>
      <c r="AMH80" s="637"/>
      <c r="AMI80" s="637"/>
      <c r="AMJ80" s="637"/>
    </row>
    <row r="81" spans="1:1024" s="638" customFormat="1" ht="12.75">
      <c r="A81" s="1094" t="s">
        <v>154</v>
      </c>
      <c r="B81" s="1094"/>
      <c r="C81" s="1094"/>
      <c r="D81" s="981" t="s">
        <v>4</v>
      </c>
      <c r="E81" s="982">
        <f aca="true" t="shared" si="8" ref="E81:R83">E69+E73+E77</f>
        <v>28328</v>
      </c>
      <c r="F81" s="982">
        <f t="shared" si="8"/>
        <v>28328</v>
      </c>
      <c r="G81" s="982">
        <f t="shared" si="8"/>
        <v>20725</v>
      </c>
      <c r="H81" s="982">
        <f t="shared" si="8"/>
        <v>5245</v>
      </c>
      <c r="I81" s="982">
        <f t="shared" si="8"/>
        <v>2358</v>
      </c>
      <c r="J81" s="982">
        <f t="shared" si="8"/>
        <v>0</v>
      </c>
      <c r="K81" s="982">
        <f t="shared" si="8"/>
        <v>0</v>
      </c>
      <c r="L81" s="982">
        <f t="shared" si="8"/>
        <v>0</v>
      </c>
      <c r="M81" s="982">
        <f t="shared" si="8"/>
        <v>0</v>
      </c>
      <c r="N81" s="982">
        <f t="shared" si="8"/>
        <v>0</v>
      </c>
      <c r="O81" s="982">
        <f t="shared" si="8"/>
        <v>0</v>
      </c>
      <c r="P81" s="982">
        <f t="shared" si="8"/>
        <v>0</v>
      </c>
      <c r="Q81" s="982">
        <f t="shared" si="8"/>
        <v>0</v>
      </c>
      <c r="R81" s="982">
        <f t="shared" si="8"/>
        <v>0</v>
      </c>
      <c r="S81" s="637"/>
      <c r="T81" s="637"/>
      <c r="U81" s="637"/>
      <c r="V81" s="637"/>
      <c r="W81" s="637"/>
      <c r="X81" s="637"/>
      <c r="Y81" s="637"/>
      <c r="Z81" s="637"/>
      <c r="AA81" s="637"/>
      <c r="AB81" s="637"/>
      <c r="AC81" s="637"/>
      <c r="AD81" s="637"/>
      <c r="AE81" s="637"/>
      <c r="AF81" s="637"/>
      <c r="AG81" s="637"/>
      <c r="AH81" s="637"/>
      <c r="AI81" s="637"/>
      <c r="AJ81" s="637"/>
      <c r="AK81" s="637"/>
      <c r="AL81" s="637"/>
      <c r="AM81" s="637"/>
      <c r="AN81" s="637"/>
      <c r="AO81" s="637"/>
      <c r="AP81" s="637"/>
      <c r="AQ81" s="637"/>
      <c r="AR81" s="637"/>
      <c r="AS81" s="637"/>
      <c r="AT81" s="637"/>
      <c r="AU81" s="637"/>
      <c r="AV81" s="637"/>
      <c r="AW81" s="637"/>
      <c r="AX81" s="637"/>
      <c r="AY81" s="637"/>
      <c r="AZ81" s="637"/>
      <c r="BA81" s="637"/>
      <c r="BB81" s="637"/>
      <c r="BC81" s="637"/>
      <c r="BD81" s="637"/>
      <c r="BE81" s="637"/>
      <c r="BF81" s="637"/>
      <c r="BG81" s="637"/>
      <c r="BH81" s="637"/>
      <c r="BI81" s="637"/>
      <c r="BJ81" s="637"/>
      <c r="BK81" s="637"/>
      <c r="BL81" s="637"/>
      <c r="BM81" s="637"/>
      <c r="BN81" s="637"/>
      <c r="BO81" s="637"/>
      <c r="BP81" s="637"/>
      <c r="BQ81" s="637"/>
      <c r="BR81" s="637"/>
      <c r="BS81" s="637"/>
      <c r="BT81" s="637"/>
      <c r="BU81" s="637"/>
      <c r="BV81" s="637"/>
      <c r="BW81" s="637"/>
      <c r="BX81" s="637"/>
      <c r="BY81" s="637"/>
      <c r="BZ81" s="637"/>
      <c r="CA81" s="637"/>
      <c r="CB81" s="637"/>
      <c r="CC81" s="637"/>
      <c r="CD81" s="637"/>
      <c r="CE81" s="637"/>
      <c r="CF81" s="637"/>
      <c r="CG81" s="637"/>
      <c r="CH81" s="637"/>
      <c r="CI81" s="637"/>
      <c r="CJ81" s="637"/>
      <c r="CK81" s="637"/>
      <c r="CL81" s="637"/>
      <c r="CM81" s="637"/>
      <c r="CN81" s="637"/>
      <c r="CO81" s="637"/>
      <c r="CP81" s="637"/>
      <c r="CQ81" s="637"/>
      <c r="CR81" s="637"/>
      <c r="CS81" s="637"/>
      <c r="CT81" s="637"/>
      <c r="CU81" s="637"/>
      <c r="CV81" s="637"/>
      <c r="CW81" s="637"/>
      <c r="CX81" s="637"/>
      <c r="CY81" s="637"/>
      <c r="CZ81" s="637"/>
      <c r="DA81" s="637"/>
      <c r="DB81" s="637"/>
      <c r="DC81" s="637"/>
      <c r="DD81" s="637"/>
      <c r="DE81" s="637"/>
      <c r="DF81" s="637"/>
      <c r="DG81" s="637"/>
      <c r="DH81" s="637"/>
      <c r="DI81" s="637"/>
      <c r="DJ81" s="637"/>
      <c r="DK81" s="637"/>
      <c r="DL81" s="637"/>
      <c r="DM81" s="637"/>
      <c r="DN81" s="637"/>
      <c r="DO81" s="637"/>
      <c r="DP81" s="637"/>
      <c r="DQ81" s="637"/>
      <c r="DR81" s="637"/>
      <c r="DS81" s="637"/>
      <c r="DT81" s="637"/>
      <c r="DU81" s="637"/>
      <c r="DV81" s="637"/>
      <c r="DW81" s="637"/>
      <c r="DX81" s="637"/>
      <c r="DY81" s="637"/>
      <c r="DZ81" s="637"/>
      <c r="EA81" s="637"/>
      <c r="EB81" s="637"/>
      <c r="EC81" s="637"/>
      <c r="ED81" s="637"/>
      <c r="EE81" s="637"/>
      <c r="EF81" s="637"/>
      <c r="EG81" s="637"/>
      <c r="EH81" s="637"/>
      <c r="EI81" s="637"/>
      <c r="EJ81" s="637"/>
      <c r="EK81" s="637"/>
      <c r="EL81" s="637"/>
      <c r="EM81" s="637"/>
      <c r="EN81" s="637"/>
      <c r="EO81" s="637"/>
      <c r="EP81" s="637"/>
      <c r="EQ81" s="637"/>
      <c r="ER81" s="637"/>
      <c r="ES81" s="637"/>
      <c r="ET81" s="637"/>
      <c r="EU81" s="637"/>
      <c r="EV81" s="637"/>
      <c r="EW81" s="637"/>
      <c r="EX81" s="637"/>
      <c r="EY81" s="637"/>
      <c r="EZ81" s="637"/>
      <c r="FA81" s="637"/>
      <c r="FB81" s="637"/>
      <c r="FC81" s="637"/>
      <c r="FD81" s="637"/>
      <c r="FE81" s="637"/>
      <c r="FF81" s="637"/>
      <c r="FG81" s="637"/>
      <c r="FH81" s="637"/>
      <c r="FI81" s="637"/>
      <c r="FJ81" s="637"/>
      <c r="FK81" s="637"/>
      <c r="FL81" s="637"/>
      <c r="FM81" s="637"/>
      <c r="FN81" s="637"/>
      <c r="FO81" s="637"/>
      <c r="FP81" s="637"/>
      <c r="FQ81" s="637"/>
      <c r="FR81" s="637"/>
      <c r="FS81" s="637"/>
      <c r="FT81" s="637"/>
      <c r="FU81" s="637"/>
      <c r="FV81" s="637"/>
      <c r="FW81" s="637"/>
      <c r="FX81" s="637"/>
      <c r="FY81" s="637"/>
      <c r="FZ81" s="637"/>
      <c r="GA81" s="637"/>
      <c r="GB81" s="637"/>
      <c r="GC81" s="637"/>
      <c r="GD81" s="637"/>
      <c r="GE81" s="637"/>
      <c r="GF81" s="637"/>
      <c r="GG81" s="637"/>
      <c r="GH81" s="637"/>
      <c r="GI81" s="637"/>
      <c r="GJ81" s="637"/>
      <c r="GK81" s="637"/>
      <c r="GL81" s="637"/>
      <c r="GM81" s="637"/>
      <c r="GN81" s="637"/>
      <c r="GO81" s="637"/>
      <c r="GP81" s="637"/>
      <c r="GQ81" s="637"/>
      <c r="GR81" s="637"/>
      <c r="GS81" s="637"/>
      <c r="GT81" s="637"/>
      <c r="GU81" s="637"/>
      <c r="GV81" s="637"/>
      <c r="GW81" s="637"/>
      <c r="GX81" s="637"/>
      <c r="GY81" s="637"/>
      <c r="GZ81" s="637"/>
      <c r="HA81" s="637"/>
      <c r="HB81" s="637"/>
      <c r="HC81" s="637"/>
      <c r="HD81" s="637"/>
      <c r="HE81" s="637"/>
      <c r="HF81" s="637"/>
      <c r="HG81" s="637"/>
      <c r="HH81" s="637"/>
      <c r="HI81" s="637"/>
      <c r="HJ81" s="637"/>
      <c r="HK81" s="637"/>
      <c r="HL81" s="637"/>
      <c r="HM81" s="637"/>
      <c r="HN81" s="637"/>
      <c r="HO81" s="637"/>
      <c r="HP81" s="637"/>
      <c r="HQ81" s="637"/>
      <c r="HR81" s="637"/>
      <c r="HS81" s="637"/>
      <c r="HT81" s="637"/>
      <c r="HU81" s="637"/>
      <c r="HV81" s="637"/>
      <c r="HW81" s="637"/>
      <c r="HX81" s="637"/>
      <c r="HY81" s="637"/>
      <c r="HZ81" s="637"/>
      <c r="IA81" s="637"/>
      <c r="IB81" s="637"/>
      <c r="IC81" s="637"/>
      <c r="ID81" s="637"/>
      <c r="IE81" s="637"/>
      <c r="IF81" s="637"/>
      <c r="IG81" s="637"/>
      <c r="IH81" s="637"/>
      <c r="II81" s="637"/>
      <c r="IJ81" s="637"/>
      <c r="IK81" s="637"/>
      <c r="IL81" s="637"/>
      <c r="IM81" s="637"/>
      <c r="IN81" s="637"/>
      <c r="IO81" s="637"/>
      <c r="IP81" s="637"/>
      <c r="IQ81" s="637"/>
      <c r="IR81" s="637"/>
      <c r="IS81" s="637"/>
      <c r="IT81" s="637"/>
      <c r="IU81" s="637"/>
      <c r="IV81" s="637"/>
      <c r="IW81" s="637"/>
      <c r="IX81" s="637"/>
      <c r="IY81" s="637"/>
      <c r="IZ81" s="637"/>
      <c r="JA81" s="637"/>
      <c r="JB81" s="637"/>
      <c r="JC81" s="637"/>
      <c r="JD81" s="637"/>
      <c r="JE81" s="637"/>
      <c r="JF81" s="637"/>
      <c r="JG81" s="637"/>
      <c r="JH81" s="637"/>
      <c r="JI81" s="637"/>
      <c r="JJ81" s="637"/>
      <c r="JK81" s="637"/>
      <c r="JL81" s="637"/>
      <c r="JM81" s="637"/>
      <c r="JN81" s="637"/>
      <c r="JO81" s="637"/>
      <c r="JP81" s="637"/>
      <c r="JQ81" s="637"/>
      <c r="JR81" s="637"/>
      <c r="JS81" s="637"/>
      <c r="JT81" s="637"/>
      <c r="JU81" s="637"/>
      <c r="JV81" s="637"/>
      <c r="JW81" s="637"/>
      <c r="JX81" s="637"/>
      <c r="JY81" s="637"/>
      <c r="JZ81" s="637"/>
      <c r="KA81" s="637"/>
      <c r="KB81" s="637"/>
      <c r="KC81" s="637"/>
      <c r="KD81" s="637"/>
      <c r="KE81" s="637"/>
      <c r="KF81" s="637"/>
      <c r="KG81" s="637"/>
      <c r="KH81" s="637"/>
      <c r="KI81" s="637"/>
      <c r="KJ81" s="637"/>
      <c r="KK81" s="637"/>
      <c r="KL81" s="637"/>
      <c r="KM81" s="637"/>
      <c r="KN81" s="637"/>
      <c r="KO81" s="637"/>
      <c r="KP81" s="637"/>
      <c r="KQ81" s="637"/>
      <c r="KR81" s="637"/>
      <c r="KS81" s="637"/>
      <c r="KT81" s="637"/>
      <c r="KU81" s="637"/>
      <c r="KV81" s="637"/>
      <c r="KW81" s="637"/>
      <c r="KX81" s="637"/>
      <c r="KY81" s="637"/>
      <c r="KZ81" s="637"/>
      <c r="LA81" s="637"/>
      <c r="LB81" s="637"/>
      <c r="LC81" s="637"/>
      <c r="LD81" s="637"/>
      <c r="LE81" s="637"/>
      <c r="LF81" s="637"/>
      <c r="LG81" s="637"/>
      <c r="LH81" s="637"/>
      <c r="LI81" s="637"/>
      <c r="LJ81" s="637"/>
      <c r="LK81" s="637"/>
      <c r="LL81" s="637"/>
      <c r="LM81" s="637"/>
      <c r="LN81" s="637"/>
      <c r="LO81" s="637"/>
      <c r="LP81" s="637"/>
      <c r="LQ81" s="637"/>
      <c r="LR81" s="637"/>
      <c r="LS81" s="637"/>
      <c r="LT81" s="637"/>
      <c r="LU81" s="637"/>
      <c r="LV81" s="637"/>
      <c r="LW81" s="637"/>
      <c r="LX81" s="637"/>
      <c r="LY81" s="637"/>
      <c r="LZ81" s="637"/>
      <c r="MA81" s="637"/>
      <c r="MB81" s="637"/>
      <c r="MC81" s="637"/>
      <c r="MD81" s="637"/>
      <c r="ME81" s="637"/>
      <c r="MF81" s="637"/>
      <c r="MG81" s="637"/>
      <c r="MH81" s="637"/>
      <c r="MI81" s="637"/>
      <c r="MJ81" s="637"/>
      <c r="MK81" s="637"/>
      <c r="ML81" s="637"/>
      <c r="MM81" s="637"/>
      <c r="MN81" s="637"/>
      <c r="MO81" s="637"/>
      <c r="MP81" s="637"/>
      <c r="MQ81" s="637"/>
      <c r="MR81" s="637"/>
      <c r="MS81" s="637"/>
      <c r="MT81" s="637"/>
      <c r="MU81" s="637"/>
      <c r="MV81" s="637"/>
      <c r="MW81" s="637"/>
      <c r="MX81" s="637"/>
      <c r="MY81" s="637"/>
      <c r="MZ81" s="637"/>
      <c r="NA81" s="637"/>
      <c r="NB81" s="637"/>
      <c r="NC81" s="637"/>
      <c r="ND81" s="637"/>
      <c r="NE81" s="637"/>
      <c r="NF81" s="637"/>
      <c r="NG81" s="637"/>
      <c r="NH81" s="637"/>
      <c r="NI81" s="637"/>
      <c r="NJ81" s="637"/>
      <c r="NK81" s="637"/>
      <c r="NL81" s="637"/>
      <c r="NM81" s="637"/>
      <c r="NN81" s="637"/>
      <c r="NO81" s="637"/>
      <c r="NP81" s="637"/>
      <c r="NQ81" s="637"/>
      <c r="NR81" s="637"/>
      <c r="NS81" s="637"/>
      <c r="NT81" s="637"/>
      <c r="NU81" s="637"/>
      <c r="NV81" s="637"/>
      <c r="NW81" s="637"/>
      <c r="NX81" s="637"/>
      <c r="NY81" s="637"/>
      <c r="NZ81" s="637"/>
      <c r="OA81" s="637"/>
      <c r="OB81" s="637"/>
      <c r="OC81" s="637"/>
      <c r="OD81" s="637"/>
      <c r="OE81" s="637"/>
      <c r="OF81" s="637"/>
      <c r="OG81" s="637"/>
      <c r="OH81" s="637"/>
      <c r="OI81" s="637"/>
      <c r="OJ81" s="637"/>
      <c r="OK81" s="637"/>
      <c r="OL81" s="637"/>
      <c r="OM81" s="637"/>
      <c r="ON81" s="637"/>
      <c r="OO81" s="637"/>
      <c r="OP81" s="637"/>
      <c r="OQ81" s="637"/>
      <c r="OR81" s="637"/>
      <c r="OS81" s="637"/>
      <c r="OT81" s="637"/>
      <c r="OU81" s="637"/>
      <c r="OV81" s="637"/>
      <c r="OW81" s="637"/>
      <c r="OX81" s="637"/>
      <c r="OY81" s="637"/>
      <c r="OZ81" s="637"/>
      <c r="PA81" s="637"/>
      <c r="PB81" s="637"/>
      <c r="PC81" s="637"/>
      <c r="PD81" s="637"/>
      <c r="PE81" s="637"/>
      <c r="PF81" s="637"/>
      <c r="PG81" s="637"/>
      <c r="PH81" s="637"/>
      <c r="PI81" s="637"/>
      <c r="PJ81" s="637"/>
      <c r="PK81" s="637"/>
      <c r="PL81" s="637"/>
      <c r="PM81" s="637"/>
      <c r="PN81" s="637"/>
      <c r="PO81" s="637"/>
      <c r="PP81" s="637"/>
      <c r="PQ81" s="637"/>
      <c r="PR81" s="637"/>
      <c r="PS81" s="637"/>
      <c r="PT81" s="637"/>
      <c r="PU81" s="637"/>
      <c r="PV81" s="637"/>
      <c r="PW81" s="637"/>
      <c r="PX81" s="637"/>
      <c r="PY81" s="637"/>
      <c r="PZ81" s="637"/>
      <c r="QA81" s="637"/>
      <c r="QB81" s="637"/>
      <c r="QC81" s="637"/>
      <c r="QD81" s="637"/>
      <c r="QE81" s="637"/>
      <c r="QF81" s="637"/>
      <c r="QG81" s="637"/>
      <c r="QH81" s="637"/>
      <c r="QI81" s="637"/>
      <c r="QJ81" s="637"/>
      <c r="QK81" s="637"/>
      <c r="QL81" s="637"/>
      <c r="QM81" s="637"/>
      <c r="QN81" s="637"/>
      <c r="QO81" s="637"/>
      <c r="QP81" s="637"/>
      <c r="QQ81" s="637"/>
      <c r="QR81" s="637"/>
      <c r="QS81" s="637"/>
      <c r="QT81" s="637"/>
      <c r="QU81" s="637"/>
      <c r="QV81" s="637"/>
      <c r="QW81" s="637"/>
      <c r="QX81" s="637"/>
      <c r="QY81" s="637"/>
      <c r="QZ81" s="637"/>
      <c r="RA81" s="637"/>
      <c r="RB81" s="637"/>
      <c r="RC81" s="637"/>
      <c r="RD81" s="637"/>
      <c r="RE81" s="637"/>
      <c r="RF81" s="637"/>
      <c r="RG81" s="637"/>
      <c r="RH81" s="637"/>
      <c r="RI81" s="637"/>
      <c r="RJ81" s="637"/>
      <c r="RK81" s="637"/>
      <c r="RL81" s="637"/>
      <c r="RM81" s="637"/>
      <c r="RN81" s="637"/>
      <c r="RO81" s="637"/>
      <c r="RP81" s="637"/>
      <c r="RQ81" s="637"/>
      <c r="RR81" s="637"/>
      <c r="RS81" s="637"/>
      <c r="RT81" s="637"/>
      <c r="RU81" s="637"/>
      <c r="RV81" s="637"/>
      <c r="RW81" s="637"/>
      <c r="RX81" s="637"/>
      <c r="RY81" s="637"/>
      <c r="RZ81" s="637"/>
      <c r="SA81" s="637"/>
      <c r="SB81" s="637"/>
      <c r="SC81" s="637"/>
      <c r="SD81" s="637"/>
      <c r="SE81" s="637"/>
      <c r="SF81" s="637"/>
      <c r="SG81" s="637"/>
      <c r="SH81" s="637"/>
      <c r="SI81" s="637"/>
      <c r="SJ81" s="637"/>
      <c r="SK81" s="637"/>
      <c r="SL81" s="637"/>
      <c r="SM81" s="637"/>
      <c r="SN81" s="637"/>
      <c r="SO81" s="637"/>
      <c r="SP81" s="637"/>
      <c r="SQ81" s="637"/>
      <c r="SR81" s="637"/>
      <c r="SS81" s="637"/>
      <c r="ST81" s="637"/>
      <c r="SU81" s="637"/>
      <c r="SV81" s="637"/>
      <c r="SW81" s="637"/>
      <c r="SX81" s="637"/>
      <c r="SY81" s="637"/>
      <c r="SZ81" s="637"/>
      <c r="TA81" s="637"/>
      <c r="TB81" s="637"/>
      <c r="TC81" s="637"/>
      <c r="TD81" s="637"/>
      <c r="TE81" s="637"/>
      <c r="TF81" s="637"/>
      <c r="TG81" s="637"/>
      <c r="TH81" s="637"/>
      <c r="TI81" s="637"/>
      <c r="TJ81" s="637"/>
      <c r="TK81" s="637"/>
      <c r="TL81" s="637"/>
      <c r="TM81" s="637"/>
      <c r="TN81" s="637"/>
      <c r="TO81" s="637"/>
      <c r="TP81" s="637"/>
      <c r="TQ81" s="637"/>
      <c r="TR81" s="637"/>
      <c r="TS81" s="637"/>
      <c r="TT81" s="637"/>
      <c r="TU81" s="637"/>
      <c r="TV81" s="637"/>
      <c r="TW81" s="637"/>
      <c r="TX81" s="637"/>
      <c r="TY81" s="637"/>
      <c r="TZ81" s="637"/>
      <c r="UA81" s="637"/>
      <c r="UB81" s="637"/>
      <c r="UC81" s="637"/>
      <c r="UD81" s="637"/>
      <c r="UE81" s="637"/>
      <c r="UF81" s="637"/>
      <c r="UG81" s="637"/>
      <c r="UH81" s="637"/>
      <c r="UI81" s="637"/>
      <c r="UJ81" s="637"/>
      <c r="UK81" s="637"/>
      <c r="UL81" s="637"/>
      <c r="UM81" s="637"/>
      <c r="UN81" s="637"/>
      <c r="UO81" s="637"/>
      <c r="UP81" s="637"/>
      <c r="UQ81" s="637"/>
      <c r="UR81" s="637"/>
      <c r="US81" s="637"/>
      <c r="UT81" s="637"/>
      <c r="UU81" s="637"/>
      <c r="UV81" s="637"/>
      <c r="UW81" s="637"/>
      <c r="UX81" s="637"/>
      <c r="UY81" s="637"/>
      <c r="UZ81" s="637"/>
      <c r="VA81" s="637"/>
      <c r="VB81" s="637"/>
      <c r="VC81" s="637"/>
      <c r="VD81" s="637"/>
      <c r="VE81" s="637"/>
      <c r="VF81" s="637"/>
      <c r="VG81" s="637"/>
      <c r="VH81" s="637"/>
      <c r="VI81" s="637"/>
      <c r="VJ81" s="637"/>
      <c r="VK81" s="637"/>
      <c r="VL81" s="637"/>
      <c r="VM81" s="637"/>
      <c r="VN81" s="637"/>
      <c r="VO81" s="637"/>
      <c r="VP81" s="637"/>
      <c r="VQ81" s="637"/>
      <c r="VR81" s="637"/>
      <c r="VS81" s="637"/>
      <c r="VT81" s="637"/>
      <c r="VU81" s="637"/>
      <c r="VV81" s="637"/>
      <c r="VW81" s="637"/>
      <c r="VX81" s="637"/>
      <c r="VY81" s="637"/>
      <c r="VZ81" s="637"/>
      <c r="WA81" s="637"/>
      <c r="WB81" s="637"/>
      <c r="WC81" s="637"/>
      <c r="WD81" s="637"/>
      <c r="WE81" s="637"/>
      <c r="WF81" s="637"/>
      <c r="WG81" s="637"/>
      <c r="WH81" s="637"/>
      <c r="WI81" s="637"/>
      <c r="WJ81" s="637"/>
      <c r="WK81" s="637"/>
      <c r="WL81" s="637"/>
      <c r="WM81" s="637"/>
      <c r="WN81" s="637"/>
      <c r="WO81" s="637"/>
      <c r="WP81" s="637"/>
      <c r="WQ81" s="637"/>
      <c r="WR81" s="637"/>
      <c r="WS81" s="637"/>
      <c r="WT81" s="637"/>
      <c r="WU81" s="637"/>
      <c r="WV81" s="637"/>
      <c r="WW81" s="637"/>
      <c r="WX81" s="637"/>
      <c r="WY81" s="637"/>
      <c r="WZ81" s="637"/>
      <c r="XA81" s="637"/>
      <c r="XB81" s="637"/>
      <c r="XC81" s="637"/>
      <c r="XD81" s="637"/>
      <c r="XE81" s="637"/>
      <c r="XF81" s="637"/>
      <c r="XG81" s="637"/>
      <c r="XH81" s="637"/>
      <c r="XI81" s="637"/>
      <c r="XJ81" s="637"/>
      <c r="XK81" s="637"/>
      <c r="XL81" s="637"/>
      <c r="XM81" s="637"/>
      <c r="XN81" s="637"/>
      <c r="XO81" s="637"/>
      <c r="XP81" s="637"/>
      <c r="XQ81" s="637"/>
      <c r="XR81" s="637"/>
      <c r="XS81" s="637"/>
      <c r="XT81" s="637"/>
      <c r="XU81" s="637"/>
      <c r="XV81" s="637"/>
      <c r="XW81" s="637"/>
      <c r="XX81" s="637"/>
      <c r="XY81" s="637"/>
      <c r="XZ81" s="637"/>
      <c r="YA81" s="637"/>
      <c r="YB81" s="637"/>
      <c r="YC81" s="637"/>
      <c r="YD81" s="637"/>
      <c r="YE81" s="637"/>
      <c r="YF81" s="637"/>
      <c r="YG81" s="637"/>
      <c r="YH81" s="637"/>
      <c r="YI81" s="637"/>
      <c r="YJ81" s="637"/>
      <c r="YK81" s="637"/>
      <c r="YL81" s="637"/>
      <c r="YM81" s="637"/>
      <c r="YN81" s="637"/>
      <c r="YO81" s="637"/>
      <c r="YP81" s="637"/>
      <c r="YQ81" s="637"/>
      <c r="YR81" s="637"/>
      <c r="YS81" s="637"/>
      <c r="YT81" s="637"/>
      <c r="YU81" s="637"/>
      <c r="YV81" s="637"/>
      <c r="YW81" s="637"/>
      <c r="YX81" s="637"/>
      <c r="YY81" s="637"/>
      <c r="YZ81" s="637"/>
      <c r="ZA81" s="637"/>
      <c r="ZB81" s="637"/>
      <c r="ZC81" s="637"/>
      <c r="ZD81" s="637"/>
      <c r="ZE81" s="637"/>
      <c r="ZF81" s="637"/>
      <c r="ZG81" s="637"/>
      <c r="ZH81" s="637"/>
      <c r="ZI81" s="637"/>
      <c r="ZJ81" s="637"/>
      <c r="ZK81" s="637"/>
      <c r="ZL81" s="637"/>
      <c r="ZM81" s="637"/>
      <c r="ZN81" s="637"/>
      <c r="ZO81" s="637"/>
      <c r="ZP81" s="637"/>
      <c r="ZQ81" s="637"/>
      <c r="ZR81" s="637"/>
      <c r="ZS81" s="637"/>
      <c r="ZT81" s="637"/>
      <c r="ZU81" s="637"/>
      <c r="ZV81" s="637"/>
      <c r="ZW81" s="637"/>
      <c r="ZX81" s="637"/>
      <c r="ZY81" s="637"/>
      <c r="ZZ81" s="637"/>
      <c r="AAA81" s="637"/>
      <c r="AAB81" s="637"/>
      <c r="AAC81" s="637"/>
      <c r="AAD81" s="637"/>
      <c r="AAE81" s="637"/>
      <c r="AAF81" s="637"/>
      <c r="AAG81" s="637"/>
      <c r="AAH81" s="637"/>
      <c r="AAI81" s="637"/>
      <c r="AAJ81" s="637"/>
      <c r="AAK81" s="637"/>
      <c r="AAL81" s="637"/>
      <c r="AAM81" s="637"/>
      <c r="AAN81" s="637"/>
      <c r="AAO81" s="637"/>
      <c r="AAP81" s="637"/>
      <c r="AAQ81" s="637"/>
      <c r="AAR81" s="637"/>
      <c r="AAS81" s="637"/>
      <c r="AAT81" s="637"/>
      <c r="AAU81" s="637"/>
      <c r="AAV81" s="637"/>
      <c r="AAW81" s="637"/>
      <c r="AAX81" s="637"/>
      <c r="AAY81" s="637"/>
      <c r="AAZ81" s="637"/>
      <c r="ABA81" s="637"/>
      <c r="ABB81" s="637"/>
      <c r="ABC81" s="637"/>
      <c r="ABD81" s="637"/>
      <c r="ABE81" s="637"/>
      <c r="ABF81" s="637"/>
      <c r="ABG81" s="637"/>
      <c r="ABH81" s="637"/>
      <c r="ABI81" s="637"/>
      <c r="ABJ81" s="637"/>
      <c r="ABK81" s="637"/>
      <c r="ABL81" s="637"/>
      <c r="ABM81" s="637"/>
      <c r="ABN81" s="637"/>
      <c r="ABO81" s="637"/>
      <c r="ABP81" s="637"/>
      <c r="ABQ81" s="637"/>
      <c r="ABR81" s="637"/>
      <c r="ABS81" s="637"/>
      <c r="ABT81" s="637"/>
      <c r="ABU81" s="637"/>
      <c r="ABV81" s="637"/>
      <c r="ABW81" s="637"/>
      <c r="ABX81" s="637"/>
      <c r="ABY81" s="637"/>
      <c r="ABZ81" s="637"/>
      <c r="ACA81" s="637"/>
      <c r="ACB81" s="637"/>
      <c r="ACC81" s="637"/>
      <c r="ACD81" s="637"/>
      <c r="ACE81" s="637"/>
      <c r="ACF81" s="637"/>
      <c r="ACG81" s="637"/>
      <c r="ACH81" s="637"/>
      <c r="ACI81" s="637"/>
      <c r="ACJ81" s="637"/>
      <c r="ACK81" s="637"/>
      <c r="ACL81" s="637"/>
      <c r="ACM81" s="637"/>
      <c r="ACN81" s="637"/>
      <c r="ACO81" s="637"/>
      <c r="ACP81" s="637"/>
      <c r="ACQ81" s="637"/>
      <c r="ACR81" s="637"/>
      <c r="ACS81" s="637"/>
      <c r="ACT81" s="637"/>
      <c r="ACU81" s="637"/>
      <c r="ACV81" s="637"/>
      <c r="ACW81" s="637"/>
      <c r="ACX81" s="637"/>
      <c r="ACY81" s="637"/>
      <c r="ACZ81" s="637"/>
      <c r="ADA81" s="637"/>
      <c r="ADB81" s="637"/>
      <c r="ADC81" s="637"/>
      <c r="ADD81" s="637"/>
      <c r="ADE81" s="637"/>
      <c r="ADF81" s="637"/>
      <c r="ADG81" s="637"/>
      <c r="ADH81" s="637"/>
      <c r="ADI81" s="637"/>
      <c r="ADJ81" s="637"/>
      <c r="ADK81" s="637"/>
      <c r="ADL81" s="637"/>
      <c r="ADM81" s="637"/>
      <c r="ADN81" s="637"/>
      <c r="ADO81" s="637"/>
      <c r="ADP81" s="637"/>
      <c r="ADQ81" s="637"/>
      <c r="ADR81" s="637"/>
      <c r="ADS81" s="637"/>
      <c r="ADT81" s="637"/>
      <c r="ADU81" s="637"/>
      <c r="ADV81" s="637"/>
      <c r="ADW81" s="637"/>
      <c r="ADX81" s="637"/>
      <c r="ADY81" s="637"/>
      <c r="ADZ81" s="637"/>
      <c r="AEA81" s="637"/>
      <c r="AEB81" s="637"/>
      <c r="AEC81" s="637"/>
      <c r="AED81" s="637"/>
      <c r="AEE81" s="637"/>
      <c r="AEF81" s="637"/>
      <c r="AEG81" s="637"/>
      <c r="AEH81" s="637"/>
      <c r="AEI81" s="637"/>
      <c r="AEJ81" s="637"/>
      <c r="AEK81" s="637"/>
      <c r="AEL81" s="637"/>
      <c r="AEM81" s="637"/>
      <c r="AEN81" s="637"/>
      <c r="AEO81" s="637"/>
      <c r="AEP81" s="637"/>
      <c r="AEQ81" s="637"/>
      <c r="AER81" s="637"/>
      <c r="AES81" s="637"/>
      <c r="AET81" s="637"/>
      <c r="AEU81" s="637"/>
      <c r="AEV81" s="637"/>
      <c r="AEW81" s="637"/>
      <c r="AEX81" s="637"/>
      <c r="AEY81" s="637"/>
      <c r="AEZ81" s="637"/>
      <c r="AFA81" s="637"/>
      <c r="AFB81" s="637"/>
      <c r="AFC81" s="637"/>
      <c r="AFD81" s="637"/>
      <c r="AFE81" s="637"/>
      <c r="AFF81" s="637"/>
      <c r="AFG81" s="637"/>
      <c r="AFH81" s="637"/>
      <c r="AFI81" s="637"/>
      <c r="AFJ81" s="637"/>
      <c r="AFK81" s="637"/>
      <c r="AFL81" s="637"/>
      <c r="AFM81" s="637"/>
      <c r="AFN81" s="637"/>
      <c r="AFO81" s="637"/>
      <c r="AFP81" s="637"/>
      <c r="AFQ81" s="637"/>
      <c r="AFR81" s="637"/>
      <c r="AFS81" s="637"/>
      <c r="AFT81" s="637"/>
      <c r="AFU81" s="637"/>
      <c r="AFV81" s="637"/>
      <c r="AFW81" s="637"/>
      <c r="AFX81" s="637"/>
      <c r="AFY81" s="637"/>
      <c r="AFZ81" s="637"/>
      <c r="AGA81" s="637"/>
      <c r="AGB81" s="637"/>
      <c r="AGC81" s="637"/>
      <c r="AGD81" s="637"/>
      <c r="AGE81" s="637"/>
      <c r="AGF81" s="637"/>
      <c r="AGG81" s="637"/>
      <c r="AGH81" s="637"/>
      <c r="AGI81" s="637"/>
      <c r="AGJ81" s="637"/>
      <c r="AGK81" s="637"/>
      <c r="AGL81" s="637"/>
      <c r="AGM81" s="637"/>
      <c r="AGN81" s="637"/>
      <c r="AGO81" s="637"/>
      <c r="AGP81" s="637"/>
      <c r="AGQ81" s="637"/>
      <c r="AGR81" s="637"/>
      <c r="AGS81" s="637"/>
      <c r="AGT81" s="637"/>
      <c r="AGU81" s="637"/>
      <c r="AGV81" s="637"/>
      <c r="AGW81" s="637"/>
      <c r="AGX81" s="637"/>
      <c r="AGY81" s="637"/>
      <c r="AGZ81" s="637"/>
      <c r="AHA81" s="637"/>
      <c r="AHB81" s="637"/>
      <c r="AHC81" s="637"/>
      <c r="AHD81" s="637"/>
      <c r="AHE81" s="637"/>
      <c r="AHF81" s="637"/>
      <c r="AHG81" s="637"/>
      <c r="AHH81" s="637"/>
      <c r="AHI81" s="637"/>
      <c r="AHJ81" s="637"/>
      <c r="AHK81" s="637"/>
      <c r="AHL81" s="637"/>
      <c r="AHM81" s="637"/>
      <c r="AHN81" s="637"/>
      <c r="AHO81" s="637"/>
      <c r="AHP81" s="637"/>
      <c r="AHQ81" s="637"/>
      <c r="AHR81" s="637"/>
      <c r="AHS81" s="637"/>
      <c r="AHT81" s="637"/>
      <c r="AHU81" s="637"/>
      <c r="AHV81" s="637"/>
      <c r="AHW81" s="637"/>
      <c r="AHX81" s="637"/>
      <c r="AHY81" s="637"/>
      <c r="AHZ81" s="637"/>
      <c r="AIA81" s="637"/>
      <c r="AIB81" s="637"/>
      <c r="AIC81" s="637"/>
      <c r="AID81" s="637"/>
      <c r="AIE81" s="637"/>
      <c r="AIF81" s="637"/>
      <c r="AIG81" s="637"/>
      <c r="AIH81" s="637"/>
      <c r="AII81" s="637"/>
      <c r="AIJ81" s="637"/>
      <c r="AIK81" s="637"/>
      <c r="AIL81" s="637"/>
      <c r="AIM81" s="637"/>
      <c r="AIN81" s="637"/>
      <c r="AIO81" s="637"/>
      <c r="AIP81" s="637"/>
      <c r="AIQ81" s="637"/>
      <c r="AIR81" s="637"/>
      <c r="AIS81" s="637"/>
      <c r="AIT81" s="637"/>
      <c r="AIU81" s="637"/>
      <c r="AIV81" s="637"/>
      <c r="AIW81" s="637"/>
      <c r="AIX81" s="637"/>
      <c r="AIY81" s="637"/>
      <c r="AIZ81" s="637"/>
      <c r="AJA81" s="637"/>
      <c r="AJB81" s="637"/>
      <c r="AJC81" s="637"/>
      <c r="AJD81" s="637"/>
      <c r="AJE81" s="637"/>
      <c r="AJF81" s="637"/>
      <c r="AJG81" s="637"/>
      <c r="AJH81" s="637"/>
      <c r="AJI81" s="637"/>
      <c r="AJJ81" s="637"/>
      <c r="AJK81" s="637"/>
      <c r="AJL81" s="637"/>
      <c r="AJM81" s="637"/>
      <c r="AJN81" s="637"/>
      <c r="AJO81" s="637"/>
      <c r="AJP81" s="637"/>
      <c r="AJQ81" s="637"/>
      <c r="AJR81" s="637"/>
      <c r="AJS81" s="637"/>
      <c r="AJT81" s="637"/>
      <c r="AJU81" s="637"/>
      <c r="AJV81" s="637"/>
      <c r="AJW81" s="637"/>
      <c r="AJX81" s="637"/>
      <c r="AJY81" s="637"/>
      <c r="AJZ81" s="637"/>
      <c r="AKA81" s="637"/>
      <c r="AKB81" s="637"/>
      <c r="AKC81" s="637"/>
      <c r="AKD81" s="637"/>
      <c r="AKE81" s="637"/>
      <c r="AKF81" s="637"/>
      <c r="AKG81" s="637"/>
      <c r="AKH81" s="637"/>
      <c r="AKI81" s="637"/>
      <c r="AKJ81" s="637"/>
      <c r="AKK81" s="637"/>
      <c r="AKL81" s="637"/>
      <c r="AKM81" s="637"/>
      <c r="AKN81" s="637"/>
      <c r="AKO81" s="637"/>
      <c r="AKP81" s="637"/>
      <c r="AKQ81" s="637"/>
      <c r="AKR81" s="637"/>
      <c r="AKS81" s="637"/>
      <c r="AKT81" s="637"/>
      <c r="AKU81" s="637"/>
      <c r="AKV81" s="637"/>
      <c r="AKW81" s="637"/>
      <c r="AKX81" s="637"/>
      <c r="AKY81" s="637"/>
      <c r="AKZ81" s="637"/>
      <c r="ALA81" s="637"/>
      <c r="ALB81" s="637"/>
      <c r="ALC81" s="637"/>
      <c r="ALD81" s="637"/>
      <c r="ALE81" s="637"/>
      <c r="ALF81" s="637"/>
      <c r="ALG81" s="637"/>
      <c r="ALH81" s="637"/>
      <c r="ALI81" s="637"/>
      <c r="ALJ81" s="637"/>
      <c r="ALK81" s="637"/>
      <c r="ALL81" s="637"/>
      <c r="ALM81" s="637"/>
      <c r="ALN81" s="637"/>
      <c r="ALO81" s="637"/>
      <c r="ALP81" s="637"/>
      <c r="ALQ81" s="637"/>
      <c r="ALR81" s="637"/>
      <c r="ALS81" s="637"/>
      <c r="ALT81" s="637"/>
      <c r="ALU81" s="637"/>
      <c r="ALV81" s="637"/>
      <c r="ALW81" s="637"/>
      <c r="ALX81" s="637"/>
      <c r="ALY81" s="637"/>
      <c r="ALZ81" s="637"/>
      <c r="AMA81" s="637"/>
      <c r="AMB81" s="637"/>
      <c r="AMC81" s="637"/>
      <c r="AMD81" s="637"/>
      <c r="AME81" s="637"/>
      <c r="AMF81" s="637"/>
      <c r="AMG81" s="637"/>
      <c r="AMH81" s="637"/>
      <c r="AMI81" s="637"/>
      <c r="AMJ81" s="637"/>
    </row>
    <row r="82" spans="1:1024" s="638" customFormat="1" ht="12.75">
      <c r="A82" s="945"/>
      <c r="B82" s="945"/>
      <c r="C82" s="639"/>
      <c r="D82" s="981" t="s">
        <v>861</v>
      </c>
      <c r="E82" s="982">
        <f t="shared" si="8"/>
        <v>28798</v>
      </c>
      <c r="F82" s="982">
        <f t="shared" si="8"/>
        <v>28798</v>
      </c>
      <c r="G82" s="982">
        <f t="shared" si="8"/>
        <v>19116</v>
      </c>
      <c r="H82" s="982">
        <f t="shared" si="8"/>
        <v>4758</v>
      </c>
      <c r="I82" s="982">
        <f t="shared" si="8"/>
        <v>4924</v>
      </c>
      <c r="J82" s="982">
        <f t="shared" si="8"/>
        <v>0</v>
      </c>
      <c r="K82" s="982">
        <f t="shared" si="8"/>
        <v>0</v>
      </c>
      <c r="L82" s="982">
        <f t="shared" si="8"/>
        <v>0</v>
      </c>
      <c r="M82" s="982">
        <f t="shared" si="8"/>
        <v>0</v>
      </c>
      <c r="N82" s="982">
        <f t="shared" si="8"/>
        <v>0</v>
      </c>
      <c r="O82" s="982">
        <f t="shared" si="8"/>
        <v>0</v>
      </c>
      <c r="P82" s="982">
        <f t="shared" si="8"/>
        <v>0</v>
      </c>
      <c r="Q82" s="982">
        <f t="shared" si="8"/>
        <v>0</v>
      </c>
      <c r="R82" s="982">
        <f t="shared" si="8"/>
        <v>0</v>
      </c>
      <c r="S82" s="637"/>
      <c r="T82" s="637"/>
      <c r="U82" s="637"/>
      <c r="V82" s="637"/>
      <c r="W82" s="637"/>
      <c r="X82" s="637"/>
      <c r="Y82" s="637"/>
      <c r="Z82" s="637"/>
      <c r="AA82" s="637"/>
      <c r="AB82" s="637"/>
      <c r="AC82" s="637"/>
      <c r="AD82" s="637"/>
      <c r="AE82" s="637"/>
      <c r="AF82" s="637"/>
      <c r="AG82" s="637"/>
      <c r="AH82" s="637"/>
      <c r="AI82" s="637"/>
      <c r="AJ82" s="637"/>
      <c r="AK82" s="637"/>
      <c r="AL82" s="637"/>
      <c r="AM82" s="637"/>
      <c r="AN82" s="637"/>
      <c r="AO82" s="637"/>
      <c r="AP82" s="637"/>
      <c r="AQ82" s="637"/>
      <c r="AR82" s="637"/>
      <c r="AS82" s="637"/>
      <c r="AT82" s="637"/>
      <c r="AU82" s="637"/>
      <c r="AV82" s="637"/>
      <c r="AW82" s="637"/>
      <c r="AX82" s="637"/>
      <c r="AY82" s="637"/>
      <c r="AZ82" s="637"/>
      <c r="BA82" s="637"/>
      <c r="BB82" s="637"/>
      <c r="BC82" s="637"/>
      <c r="BD82" s="637"/>
      <c r="BE82" s="637"/>
      <c r="BF82" s="637"/>
      <c r="BG82" s="637"/>
      <c r="BH82" s="637"/>
      <c r="BI82" s="637"/>
      <c r="BJ82" s="637"/>
      <c r="BK82" s="637"/>
      <c r="BL82" s="637"/>
      <c r="BM82" s="637"/>
      <c r="BN82" s="637"/>
      <c r="BO82" s="637"/>
      <c r="BP82" s="637"/>
      <c r="BQ82" s="637"/>
      <c r="BR82" s="637"/>
      <c r="BS82" s="637"/>
      <c r="BT82" s="637"/>
      <c r="BU82" s="637"/>
      <c r="BV82" s="637"/>
      <c r="BW82" s="637"/>
      <c r="BX82" s="637"/>
      <c r="BY82" s="637"/>
      <c r="BZ82" s="637"/>
      <c r="CA82" s="637"/>
      <c r="CB82" s="637"/>
      <c r="CC82" s="637"/>
      <c r="CD82" s="637"/>
      <c r="CE82" s="637"/>
      <c r="CF82" s="637"/>
      <c r="CG82" s="637"/>
      <c r="CH82" s="637"/>
      <c r="CI82" s="637"/>
      <c r="CJ82" s="637"/>
      <c r="CK82" s="637"/>
      <c r="CL82" s="637"/>
      <c r="CM82" s="637"/>
      <c r="CN82" s="637"/>
      <c r="CO82" s="637"/>
      <c r="CP82" s="637"/>
      <c r="CQ82" s="637"/>
      <c r="CR82" s="637"/>
      <c r="CS82" s="637"/>
      <c r="CT82" s="637"/>
      <c r="CU82" s="637"/>
      <c r="CV82" s="637"/>
      <c r="CW82" s="637"/>
      <c r="CX82" s="637"/>
      <c r="CY82" s="637"/>
      <c r="CZ82" s="637"/>
      <c r="DA82" s="637"/>
      <c r="DB82" s="637"/>
      <c r="DC82" s="637"/>
      <c r="DD82" s="637"/>
      <c r="DE82" s="637"/>
      <c r="DF82" s="637"/>
      <c r="DG82" s="637"/>
      <c r="DH82" s="637"/>
      <c r="DI82" s="637"/>
      <c r="DJ82" s="637"/>
      <c r="DK82" s="637"/>
      <c r="DL82" s="637"/>
      <c r="DM82" s="637"/>
      <c r="DN82" s="637"/>
      <c r="DO82" s="637"/>
      <c r="DP82" s="637"/>
      <c r="DQ82" s="637"/>
      <c r="DR82" s="637"/>
      <c r="DS82" s="637"/>
      <c r="DT82" s="637"/>
      <c r="DU82" s="637"/>
      <c r="DV82" s="637"/>
      <c r="DW82" s="637"/>
      <c r="DX82" s="637"/>
      <c r="DY82" s="637"/>
      <c r="DZ82" s="637"/>
      <c r="EA82" s="637"/>
      <c r="EB82" s="637"/>
      <c r="EC82" s="637"/>
      <c r="ED82" s="637"/>
      <c r="EE82" s="637"/>
      <c r="EF82" s="637"/>
      <c r="EG82" s="637"/>
      <c r="EH82" s="637"/>
      <c r="EI82" s="637"/>
      <c r="EJ82" s="637"/>
      <c r="EK82" s="637"/>
      <c r="EL82" s="637"/>
      <c r="EM82" s="637"/>
      <c r="EN82" s="637"/>
      <c r="EO82" s="637"/>
      <c r="EP82" s="637"/>
      <c r="EQ82" s="637"/>
      <c r="ER82" s="637"/>
      <c r="ES82" s="637"/>
      <c r="ET82" s="637"/>
      <c r="EU82" s="637"/>
      <c r="EV82" s="637"/>
      <c r="EW82" s="637"/>
      <c r="EX82" s="637"/>
      <c r="EY82" s="637"/>
      <c r="EZ82" s="637"/>
      <c r="FA82" s="637"/>
      <c r="FB82" s="637"/>
      <c r="FC82" s="637"/>
      <c r="FD82" s="637"/>
      <c r="FE82" s="637"/>
      <c r="FF82" s="637"/>
      <c r="FG82" s="637"/>
      <c r="FH82" s="637"/>
      <c r="FI82" s="637"/>
      <c r="FJ82" s="637"/>
      <c r="FK82" s="637"/>
      <c r="FL82" s="637"/>
      <c r="FM82" s="637"/>
      <c r="FN82" s="637"/>
      <c r="FO82" s="637"/>
      <c r="FP82" s="637"/>
      <c r="FQ82" s="637"/>
      <c r="FR82" s="637"/>
      <c r="FS82" s="637"/>
      <c r="FT82" s="637"/>
      <c r="FU82" s="637"/>
      <c r="FV82" s="637"/>
      <c r="FW82" s="637"/>
      <c r="FX82" s="637"/>
      <c r="FY82" s="637"/>
      <c r="FZ82" s="637"/>
      <c r="GA82" s="637"/>
      <c r="GB82" s="637"/>
      <c r="GC82" s="637"/>
      <c r="GD82" s="637"/>
      <c r="GE82" s="637"/>
      <c r="GF82" s="637"/>
      <c r="GG82" s="637"/>
      <c r="GH82" s="637"/>
      <c r="GI82" s="637"/>
      <c r="GJ82" s="637"/>
      <c r="GK82" s="637"/>
      <c r="GL82" s="637"/>
      <c r="GM82" s="637"/>
      <c r="GN82" s="637"/>
      <c r="GO82" s="637"/>
      <c r="GP82" s="637"/>
      <c r="GQ82" s="637"/>
      <c r="GR82" s="637"/>
      <c r="GS82" s="637"/>
      <c r="GT82" s="637"/>
      <c r="GU82" s="637"/>
      <c r="GV82" s="637"/>
      <c r="GW82" s="637"/>
      <c r="GX82" s="637"/>
      <c r="GY82" s="637"/>
      <c r="GZ82" s="637"/>
      <c r="HA82" s="637"/>
      <c r="HB82" s="637"/>
      <c r="HC82" s="637"/>
      <c r="HD82" s="637"/>
      <c r="HE82" s="637"/>
      <c r="HF82" s="637"/>
      <c r="HG82" s="637"/>
      <c r="HH82" s="637"/>
      <c r="HI82" s="637"/>
      <c r="HJ82" s="637"/>
      <c r="HK82" s="637"/>
      <c r="HL82" s="637"/>
      <c r="HM82" s="637"/>
      <c r="HN82" s="637"/>
      <c r="HO82" s="637"/>
      <c r="HP82" s="637"/>
      <c r="HQ82" s="637"/>
      <c r="HR82" s="637"/>
      <c r="HS82" s="637"/>
      <c r="HT82" s="637"/>
      <c r="HU82" s="637"/>
      <c r="HV82" s="637"/>
      <c r="HW82" s="637"/>
      <c r="HX82" s="637"/>
      <c r="HY82" s="637"/>
      <c r="HZ82" s="637"/>
      <c r="IA82" s="637"/>
      <c r="IB82" s="637"/>
      <c r="IC82" s="637"/>
      <c r="ID82" s="637"/>
      <c r="IE82" s="637"/>
      <c r="IF82" s="637"/>
      <c r="IG82" s="637"/>
      <c r="IH82" s="637"/>
      <c r="II82" s="637"/>
      <c r="IJ82" s="637"/>
      <c r="IK82" s="637"/>
      <c r="IL82" s="637"/>
      <c r="IM82" s="637"/>
      <c r="IN82" s="637"/>
      <c r="IO82" s="637"/>
      <c r="IP82" s="637"/>
      <c r="IQ82" s="637"/>
      <c r="IR82" s="637"/>
      <c r="IS82" s="637"/>
      <c r="IT82" s="637"/>
      <c r="IU82" s="637"/>
      <c r="IV82" s="637"/>
      <c r="IW82" s="637"/>
      <c r="IX82" s="637"/>
      <c r="IY82" s="637"/>
      <c r="IZ82" s="637"/>
      <c r="JA82" s="637"/>
      <c r="JB82" s="637"/>
      <c r="JC82" s="637"/>
      <c r="JD82" s="637"/>
      <c r="JE82" s="637"/>
      <c r="JF82" s="637"/>
      <c r="JG82" s="637"/>
      <c r="JH82" s="637"/>
      <c r="JI82" s="637"/>
      <c r="JJ82" s="637"/>
      <c r="JK82" s="637"/>
      <c r="JL82" s="637"/>
      <c r="JM82" s="637"/>
      <c r="JN82" s="637"/>
      <c r="JO82" s="637"/>
      <c r="JP82" s="637"/>
      <c r="JQ82" s="637"/>
      <c r="JR82" s="637"/>
      <c r="JS82" s="637"/>
      <c r="JT82" s="637"/>
      <c r="JU82" s="637"/>
      <c r="JV82" s="637"/>
      <c r="JW82" s="637"/>
      <c r="JX82" s="637"/>
      <c r="JY82" s="637"/>
      <c r="JZ82" s="637"/>
      <c r="KA82" s="637"/>
      <c r="KB82" s="637"/>
      <c r="KC82" s="637"/>
      <c r="KD82" s="637"/>
      <c r="KE82" s="637"/>
      <c r="KF82" s="637"/>
      <c r="KG82" s="637"/>
      <c r="KH82" s="637"/>
      <c r="KI82" s="637"/>
      <c r="KJ82" s="637"/>
      <c r="KK82" s="637"/>
      <c r="KL82" s="637"/>
      <c r="KM82" s="637"/>
      <c r="KN82" s="637"/>
      <c r="KO82" s="637"/>
      <c r="KP82" s="637"/>
      <c r="KQ82" s="637"/>
      <c r="KR82" s="637"/>
      <c r="KS82" s="637"/>
      <c r="KT82" s="637"/>
      <c r="KU82" s="637"/>
      <c r="KV82" s="637"/>
      <c r="KW82" s="637"/>
      <c r="KX82" s="637"/>
      <c r="KY82" s="637"/>
      <c r="KZ82" s="637"/>
      <c r="LA82" s="637"/>
      <c r="LB82" s="637"/>
      <c r="LC82" s="637"/>
      <c r="LD82" s="637"/>
      <c r="LE82" s="637"/>
      <c r="LF82" s="637"/>
      <c r="LG82" s="637"/>
      <c r="LH82" s="637"/>
      <c r="LI82" s="637"/>
      <c r="LJ82" s="637"/>
      <c r="LK82" s="637"/>
      <c r="LL82" s="637"/>
      <c r="LM82" s="637"/>
      <c r="LN82" s="637"/>
      <c r="LO82" s="637"/>
      <c r="LP82" s="637"/>
      <c r="LQ82" s="637"/>
      <c r="LR82" s="637"/>
      <c r="LS82" s="637"/>
      <c r="LT82" s="637"/>
      <c r="LU82" s="637"/>
      <c r="LV82" s="637"/>
      <c r="LW82" s="637"/>
      <c r="LX82" s="637"/>
      <c r="LY82" s="637"/>
      <c r="LZ82" s="637"/>
      <c r="MA82" s="637"/>
      <c r="MB82" s="637"/>
      <c r="MC82" s="637"/>
      <c r="MD82" s="637"/>
      <c r="ME82" s="637"/>
      <c r="MF82" s="637"/>
      <c r="MG82" s="637"/>
      <c r="MH82" s="637"/>
      <c r="MI82" s="637"/>
      <c r="MJ82" s="637"/>
      <c r="MK82" s="637"/>
      <c r="ML82" s="637"/>
      <c r="MM82" s="637"/>
      <c r="MN82" s="637"/>
      <c r="MO82" s="637"/>
      <c r="MP82" s="637"/>
      <c r="MQ82" s="637"/>
      <c r="MR82" s="637"/>
      <c r="MS82" s="637"/>
      <c r="MT82" s="637"/>
      <c r="MU82" s="637"/>
      <c r="MV82" s="637"/>
      <c r="MW82" s="637"/>
      <c r="MX82" s="637"/>
      <c r="MY82" s="637"/>
      <c r="MZ82" s="637"/>
      <c r="NA82" s="637"/>
      <c r="NB82" s="637"/>
      <c r="NC82" s="637"/>
      <c r="ND82" s="637"/>
      <c r="NE82" s="637"/>
      <c r="NF82" s="637"/>
      <c r="NG82" s="637"/>
      <c r="NH82" s="637"/>
      <c r="NI82" s="637"/>
      <c r="NJ82" s="637"/>
      <c r="NK82" s="637"/>
      <c r="NL82" s="637"/>
      <c r="NM82" s="637"/>
      <c r="NN82" s="637"/>
      <c r="NO82" s="637"/>
      <c r="NP82" s="637"/>
      <c r="NQ82" s="637"/>
      <c r="NR82" s="637"/>
      <c r="NS82" s="637"/>
      <c r="NT82" s="637"/>
      <c r="NU82" s="637"/>
      <c r="NV82" s="637"/>
      <c r="NW82" s="637"/>
      <c r="NX82" s="637"/>
      <c r="NY82" s="637"/>
      <c r="NZ82" s="637"/>
      <c r="OA82" s="637"/>
      <c r="OB82" s="637"/>
      <c r="OC82" s="637"/>
      <c r="OD82" s="637"/>
      <c r="OE82" s="637"/>
      <c r="OF82" s="637"/>
      <c r="OG82" s="637"/>
      <c r="OH82" s="637"/>
      <c r="OI82" s="637"/>
      <c r="OJ82" s="637"/>
      <c r="OK82" s="637"/>
      <c r="OL82" s="637"/>
      <c r="OM82" s="637"/>
      <c r="ON82" s="637"/>
      <c r="OO82" s="637"/>
      <c r="OP82" s="637"/>
      <c r="OQ82" s="637"/>
      <c r="OR82" s="637"/>
      <c r="OS82" s="637"/>
      <c r="OT82" s="637"/>
      <c r="OU82" s="637"/>
      <c r="OV82" s="637"/>
      <c r="OW82" s="637"/>
      <c r="OX82" s="637"/>
      <c r="OY82" s="637"/>
      <c r="OZ82" s="637"/>
      <c r="PA82" s="637"/>
      <c r="PB82" s="637"/>
      <c r="PC82" s="637"/>
      <c r="PD82" s="637"/>
      <c r="PE82" s="637"/>
      <c r="PF82" s="637"/>
      <c r="PG82" s="637"/>
      <c r="PH82" s="637"/>
      <c r="PI82" s="637"/>
      <c r="PJ82" s="637"/>
      <c r="PK82" s="637"/>
      <c r="PL82" s="637"/>
      <c r="PM82" s="637"/>
      <c r="PN82" s="637"/>
      <c r="PO82" s="637"/>
      <c r="PP82" s="637"/>
      <c r="PQ82" s="637"/>
      <c r="PR82" s="637"/>
      <c r="PS82" s="637"/>
      <c r="PT82" s="637"/>
      <c r="PU82" s="637"/>
      <c r="PV82" s="637"/>
      <c r="PW82" s="637"/>
      <c r="PX82" s="637"/>
      <c r="PY82" s="637"/>
      <c r="PZ82" s="637"/>
      <c r="QA82" s="637"/>
      <c r="QB82" s="637"/>
      <c r="QC82" s="637"/>
      <c r="QD82" s="637"/>
      <c r="QE82" s="637"/>
      <c r="QF82" s="637"/>
      <c r="QG82" s="637"/>
      <c r="QH82" s="637"/>
      <c r="QI82" s="637"/>
      <c r="QJ82" s="637"/>
      <c r="QK82" s="637"/>
      <c r="QL82" s="637"/>
      <c r="QM82" s="637"/>
      <c r="QN82" s="637"/>
      <c r="QO82" s="637"/>
      <c r="QP82" s="637"/>
      <c r="QQ82" s="637"/>
      <c r="QR82" s="637"/>
      <c r="QS82" s="637"/>
      <c r="QT82" s="637"/>
      <c r="QU82" s="637"/>
      <c r="QV82" s="637"/>
      <c r="QW82" s="637"/>
      <c r="QX82" s="637"/>
      <c r="QY82" s="637"/>
      <c r="QZ82" s="637"/>
      <c r="RA82" s="637"/>
      <c r="RB82" s="637"/>
      <c r="RC82" s="637"/>
      <c r="RD82" s="637"/>
      <c r="RE82" s="637"/>
      <c r="RF82" s="637"/>
      <c r="RG82" s="637"/>
      <c r="RH82" s="637"/>
      <c r="RI82" s="637"/>
      <c r="RJ82" s="637"/>
      <c r="RK82" s="637"/>
      <c r="RL82" s="637"/>
      <c r="RM82" s="637"/>
      <c r="RN82" s="637"/>
      <c r="RO82" s="637"/>
      <c r="RP82" s="637"/>
      <c r="RQ82" s="637"/>
      <c r="RR82" s="637"/>
      <c r="RS82" s="637"/>
      <c r="RT82" s="637"/>
      <c r="RU82" s="637"/>
      <c r="RV82" s="637"/>
      <c r="RW82" s="637"/>
      <c r="RX82" s="637"/>
      <c r="RY82" s="637"/>
      <c r="RZ82" s="637"/>
      <c r="SA82" s="637"/>
      <c r="SB82" s="637"/>
      <c r="SC82" s="637"/>
      <c r="SD82" s="637"/>
      <c r="SE82" s="637"/>
      <c r="SF82" s="637"/>
      <c r="SG82" s="637"/>
      <c r="SH82" s="637"/>
      <c r="SI82" s="637"/>
      <c r="SJ82" s="637"/>
      <c r="SK82" s="637"/>
      <c r="SL82" s="637"/>
      <c r="SM82" s="637"/>
      <c r="SN82" s="637"/>
      <c r="SO82" s="637"/>
      <c r="SP82" s="637"/>
      <c r="SQ82" s="637"/>
      <c r="SR82" s="637"/>
      <c r="SS82" s="637"/>
      <c r="ST82" s="637"/>
      <c r="SU82" s="637"/>
      <c r="SV82" s="637"/>
      <c r="SW82" s="637"/>
      <c r="SX82" s="637"/>
      <c r="SY82" s="637"/>
      <c r="SZ82" s="637"/>
      <c r="TA82" s="637"/>
      <c r="TB82" s="637"/>
      <c r="TC82" s="637"/>
      <c r="TD82" s="637"/>
      <c r="TE82" s="637"/>
      <c r="TF82" s="637"/>
      <c r="TG82" s="637"/>
      <c r="TH82" s="637"/>
      <c r="TI82" s="637"/>
      <c r="TJ82" s="637"/>
      <c r="TK82" s="637"/>
      <c r="TL82" s="637"/>
      <c r="TM82" s="637"/>
      <c r="TN82" s="637"/>
      <c r="TO82" s="637"/>
      <c r="TP82" s="637"/>
      <c r="TQ82" s="637"/>
      <c r="TR82" s="637"/>
      <c r="TS82" s="637"/>
      <c r="TT82" s="637"/>
      <c r="TU82" s="637"/>
      <c r="TV82" s="637"/>
      <c r="TW82" s="637"/>
      <c r="TX82" s="637"/>
      <c r="TY82" s="637"/>
      <c r="TZ82" s="637"/>
      <c r="UA82" s="637"/>
      <c r="UB82" s="637"/>
      <c r="UC82" s="637"/>
      <c r="UD82" s="637"/>
      <c r="UE82" s="637"/>
      <c r="UF82" s="637"/>
      <c r="UG82" s="637"/>
      <c r="UH82" s="637"/>
      <c r="UI82" s="637"/>
      <c r="UJ82" s="637"/>
      <c r="UK82" s="637"/>
      <c r="UL82" s="637"/>
      <c r="UM82" s="637"/>
      <c r="UN82" s="637"/>
      <c r="UO82" s="637"/>
      <c r="UP82" s="637"/>
      <c r="UQ82" s="637"/>
      <c r="UR82" s="637"/>
      <c r="US82" s="637"/>
      <c r="UT82" s="637"/>
      <c r="UU82" s="637"/>
      <c r="UV82" s="637"/>
      <c r="UW82" s="637"/>
      <c r="UX82" s="637"/>
      <c r="UY82" s="637"/>
      <c r="UZ82" s="637"/>
      <c r="VA82" s="637"/>
      <c r="VB82" s="637"/>
      <c r="VC82" s="637"/>
      <c r="VD82" s="637"/>
      <c r="VE82" s="637"/>
      <c r="VF82" s="637"/>
      <c r="VG82" s="637"/>
      <c r="VH82" s="637"/>
      <c r="VI82" s="637"/>
      <c r="VJ82" s="637"/>
      <c r="VK82" s="637"/>
      <c r="VL82" s="637"/>
      <c r="VM82" s="637"/>
      <c r="VN82" s="637"/>
      <c r="VO82" s="637"/>
      <c r="VP82" s="637"/>
      <c r="VQ82" s="637"/>
      <c r="VR82" s="637"/>
      <c r="VS82" s="637"/>
      <c r="VT82" s="637"/>
      <c r="VU82" s="637"/>
      <c r="VV82" s="637"/>
      <c r="VW82" s="637"/>
      <c r="VX82" s="637"/>
      <c r="VY82" s="637"/>
      <c r="VZ82" s="637"/>
      <c r="WA82" s="637"/>
      <c r="WB82" s="637"/>
      <c r="WC82" s="637"/>
      <c r="WD82" s="637"/>
      <c r="WE82" s="637"/>
      <c r="WF82" s="637"/>
      <c r="WG82" s="637"/>
      <c r="WH82" s="637"/>
      <c r="WI82" s="637"/>
      <c r="WJ82" s="637"/>
      <c r="WK82" s="637"/>
      <c r="WL82" s="637"/>
      <c r="WM82" s="637"/>
      <c r="WN82" s="637"/>
      <c r="WO82" s="637"/>
      <c r="WP82" s="637"/>
      <c r="WQ82" s="637"/>
      <c r="WR82" s="637"/>
      <c r="WS82" s="637"/>
      <c r="WT82" s="637"/>
      <c r="WU82" s="637"/>
      <c r="WV82" s="637"/>
      <c r="WW82" s="637"/>
      <c r="WX82" s="637"/>
      <c r="WY82" s="637"/>
      <c r="WZ82" s="637"/>
      <c r="XA82" s="637"/>
      <c r="XB82" s="637"/>
      <c r="XC82" s="637"/>
      <c r="XD82" s="637"/>
      <c r="XE82" s="637"/>
      <c r="XF82" s="637"/>
      <c r="XG82" s="637"/>
      <c r="XH82" s="637"/>
      <c r="XI82" s="637"/>
      <c r="XJ82" s="637"/>
      <c r="XK82" s="637"/>
      <c r="XL82" s="637"/>
      <c r="XM82" s="637"/>
      <c r="XN82" s="637"/>
      <c r="XO82" s="637"/>
      <c r="XP82" s="637"/>
      <c r="XQ82" s="637"/>
      <c r="XR82" s="637"/>
      <c r="XS82" s="637"/>
      <c r="XT82" s="637"/>
      <c r="XU82" s="637"/>
      <c r="XV82" s="637"/>
      <c r="XW82" s="637"/>
      <c r="XX82" s="637"/>
      <c r="XY82" s="637"/>
      <c r="XZ82" s="637"/>
      <c r="YA82" s="637"/>
      <c r="YB82" s="637"/>
      <c r="YC82" s="637"/>
      <c r="YD82" s="637"/>
      <c r="YE82" s="637"/>
      <c r="YF82" s="637"/>
      <c r="YG82" s="637"/>
      <c r="YH82" s="637"/>
      <c r="YI82" s="637"/>
      <c r="YJ82" s="637"/>
      <c r="YK82" s="637"/>
      <c r="YL82" s="637"/>
      <c r="YM82" s="637"/>
      <c r="YN82" s="637"/>
      <c r="YO82" s="637"/>
      <c r="YP82" s="637"/>
      <c r="YQ82" s="637"/>
      <c r="YR82" s="637"/>
      <c r="YS82" s="637"/>
      <c r="YT82" s="637"/>
      <c r="YU82" s="637"/>
      <c r="YV82" s="637"/>
      <c r="YW82" s="637"/>
      <c r="YX82" s="637"/>
      <c r="YY82" s="637"/>
      <c r="YZ82" s="637"/>
      <c r="ZA82" s="637"/>
      <c r="ZB82" s="637"/>
      <c r="ZC82" s="637"/>
      <c r="ZD82" s="637"/>
      <c r="ZE82" s="637"/>
      <c r="ZF82" s="637"/>
      <c r="ZG82" s="637"/>
      <c r="ZH82" s="637"/>
      <c r="ZI82" s="637"/>
      <c r="ZJ82" s="637"/>
      <c r="ZK82" s="637"/>
      <c r="ZL82" s="637"/>
      <c r="ZM82" s="637"/>
      <c r="ZN82" s="637"/>
      <c r="ZO82" s="637"/>
      <c r="ZP82" s="637"/>
      <c r="ZQ82" s="637"/>
      <c r="ZR82" s="637"/>
      <c r="ZS82" s="637"/>
      <c r="ZT82" s="637"/>
      <c r="ZU82" s="637"/>
      <c r="ZV82" s="637"/>
      <c r="ZW82" s="637"/>
      <c r="ZX82" s="637"/>
      <c r="ZY82" s="637"/>
      <c r="ZZ82" s="637"/>
      <c r="AAA82" s="637"/>
      <c r="AAB82" s="637"/>
      <c r="AAC82" s="637"/>
      <c r="AAD82" s="637"/>
      <c r="AAE82" s="637"/>
      <c r="AAF82" s="637"/>
      <c r="AAG82" s="637"/>
      <c r="AAH82" s="637"/>
      <c r="AAI82" s="637"/>
      <c r="AAJ82" s="637"/>
      <c r="AAK82" s="637"/>
      <c r="AAL82" s="637"/>
      <c r="AAM82" s="637"/>
      <c r="AAN82" s="637"/>
      <c r="AAO82" s="637"/>
      <c r="AAP82" s="637"/>
      <c r="AAQ82" s="637"/>
      <c r="AAR82" s="637"/>
      <c r="AAS82" s="637"/>
      <c r="AAT82" s="637"/>
      <c r="AAU82" s="637"/>
      <c r="AAV82" s="637"/>
      <c r="AAW82" s="637"/>
      <c r="AAX82" s="637"/>
      <c r="AAY82" s="637"/>
      <c r="AAZ82" s="637"/>
      <c r="ABA82" s="637"/>
      <c r="ABB82" s="637"/>
      <c r="ABC82" s="637"/>
      <c r="ABD82" s="637"/>
      <c r="ABE82" s="637"/>
      <c r="ABF82" s="637"/>
      <c r="ABG82" s="637"/>
      <c r="ABH82" s="637"/>
      <c r="ABI82" s="637"/>
      <c r="ABJ82" s="637"/>
      <c r="ABK82" s="637"/>
      <c r="ABL82" s="637"/>
      <c r="ABM82" s="637"/>
      <c r="ABN82" s="637"/>
      <c r="ABO82" s="637"/>
      <c r="ABP82" s="637"/>
      <c r="ABQ82" s="637"/>
      <c r="ABR82" s="637"/>
      <c r="ABS82" s="637"/>
      <c r="ABT82" s="637"/>
      <c r="ABU82" s="637"/>
      <c r="ABV82" s="637"/>
      <c r="ABW82" s="637"/>
      <c r="ABX82" s="637"/>
      <c r="ABY82" s="637"/>
      <c r="ABZ82" s="637"/>
      <c r="ACA82" s="637"/>
      <c r="ACB82" s="637"/>
      <c r="ACC82" s="637"/>
      <c r="ACD82" s="637"/>
      <c r="ACE82" s="637"/>
      <c r="ACF82" s="637"/>
      <c r="ACG82" s="637"/>
      <c r="ACH82" s="637"/>
      <c r="ACI82" s="637"/>
      <c r="ACJ82" s="637"/>
      <c r="ACK82" s="637"/>
      <c r="ACL82" s="637"/>
      <c r="ACM82" s="637"/>
      <c r="ACN82" s="637"/>
      <c r="ACO82" s="637"/>
      <c r="ACP82" s="637"/>
      <c r="ACQ82" s="637"/>
      <c r="ACR82" s="637"/>
      <c r="ACS82" s="637"/>
      <c r="ACT82" s="637"/>
      <c r="ACU82" s="637"/>
      <c r="ACV82" s="637"/>
      <c r="ACW82" s="637"/>
      <c r="ACX82" s="637"/>
      <c r="ACY82" s="637"/>
      <c r="ACZ82" s="637"/>
      <c r="ADA82" s="637"/>
      <c r="ADB82" s="637"/>
      <c r="ADC82" s="637"/>
      <c r="ADD82" s="637"/>
      <c r="ADE82" s="637"/>
      <c r="ADF82" s="637"/>
      <c r="ADG82" s="637"/>
      <c r="ADH82" s="637"/>
      <c r="ADI82" s="637"/>
      <c r="ADJ82" s="637"/>
      <c r="ADK82" s="637"/>
      <c r="ADL82" s="637"/>
      <c r="ADM82" s="637"/>
      <c r="ADN82" s="637"/>
      <c r="ADO82" s="637"/>
      <c r="ADP82" s="637"/>
      <c r="ADQ82" s="637"/>
      <c r="ADR82" s="637"/>
      <c r="ADS82" s="637"/>
      <c r="ADT82" s="637"/>
      <c r="ADU82" s="637"/>
      <c r="ADV82" s="637"/>
      <c r="ADW82" s="637"/>
      <c r="ADX82" s="637"/>
      <c r="ADY82" s="637"/>
      <c r="ADZ82" s="637"/>
      <c r="AEA82" s="637"/>
      <c r="AEB82" s="637"/>
      <c r="AEC82" s="637"/>
      <c r="AED82" s="637"/>
      <c r="AEE82" s="637"/>
      <c r="AEF82" s="637"/>
      <c r="AEG82" s="637"/>
      <c r="AEH82" s="637"/>
      <c r="AEI82" s="637"/>
      <c r="AEJ82" s="637"/>
      <c r="AEK82" s="637"/>
      <c r="AEL82" s="637"/>
      <c r="AEM82" s="637"/>
      <c r="AEN82" s="637"/>
      <c r="AEO82" s="637"/>
      <c r="AEP82" s="637"/>
      <c r="AEQ82" s="637"/>
      <c r="AER82" s="637"/>
      <c r="AES82" s="637"/>
      <c r="AET82" s="637"/>
      <c r="AEU82" s="637"/>
      <c r="AEV82" s="637"/>
      <c r="AEW82" s="637"/>
      <c r="AEX82" s="637"/>
      <c r="AEY82" s="637"/>
      <c r="AEZ82" s="637"/>
      <c r="AFA82" s="637"/>
      <c r="AFB82" s="637"/>
      <c r="AFC82" s="637"/>
      <c r="AFD82" s="637"/>
      <c r="AFE82" s="637"/>
      <c r="AFF82" s="637"/>
      <c r="AFG82" s="637"/>
      <c r="AFH82" s="637"/>
      <c r="AFI82" s="637"/>
      <c r="AFJ82" s="637"/>
      <c r="AFK82" s="637"/>
      <c r="AFL82" s="637"/>
      <c r="AFM82" s="637"/>
      <c r="AFN82" s="637"/>
      <c r="AFO82" s="637"/>
      <c r="AFP82" s="637"/>
      <c r="AFQ82" s="637"/>
      <c r="AFR82" s="637"/>
      <c r="AFS82" s="637"/>
      <c r="AFT82" s="637"/>
      <c r="AFU82" s="637"/>
      <c r="AFV82" s="637"/>
      <c r="AFW82" s="637"/>
      <c r="AFX82" s="637"/>
      <c r="AFY82" s="637"/>
      <c r="AFZ82" s="637"/>
      <c r="AGA82" s="637"/>
      <c r="AGB82" s="637"/>
      <c r="AGC82" s="637"/>
      <c r="AGD82" s="637"/>
      <c r="AGE82" s="637"/>
      <c r="AGF82" s="637"/>
      <c r="AGG82" s="637"/>
      <c r="AGH82" s="637"/>
      <c r="AGI82" s="637"/>
      <c r="AGJ82" s="637"/>
      <c r="AGK82" s="637"/>
      <c r="AGL82" s="637"/>
      <c r="AGM82" s="637"/>
      <c r="AGN82" s="637"/>
      <c r="AGO82" s="637"/>
      <c r="AGP82" s="637"/>
      <c r="AGQ82" s="637"/>
      <c r="AGR82" s="637"/>
      <c r="AGS82" s="637"/>
      <c r="AGT82" s="637"/>
      <c r="AGU82" s="637"/>
      <c r="AGV82" s="637"/>
      <c r="AGW82" s="637"/>
      <c r="AGX82" s="637"/>
      <c r="AGY82" s="637"/>
      <c r="AGZ82" s="637"/>
      <c r="AHA82" s="637"/>
      <c r="AHB82" s="637"/>
      <c r="AHC82" s="637"/>
      <c r="AHD82" s="637"/>
      <c r="AHE82" s="637"/>
      <c r="AHF82" s="637"/>
      <c r="AHG82" s="637"/>
      <c r="AHH82" s="637"/>
      <c r="AHI82" s="637"/>
      <c r="AHJ82" s="637"/>
      <c r="AHK82" s="637"/>
      <c r="AHL82" s="637"/>
      <c r="AHM82" s="637"/>
      <c r="AHN82" s="637"/>
      <c r="AHO82" s="637"/>
      <c r="AHP82" s="637"/>
      <c r="AHQ82" s="637"/>
      <c r="AHR82" s="637"/>
      <c r="AHS82" s="637"/>
      <c r="AHT82" s="637"/>
      <c r="AHU82" s="637"/>
      <c r="AHV82" s="637"/>
      <c r="AHW82" s="637"/>
      <c r="AHX82" s="637"/>
      <c r="AHY82" s="637"/>
      <c r="AHZ82" s="637"/>
      <c r="AIA82" s="637"/>
      <c r="AIB82" s="637"/>
      <c r="AIC82" s="637"/>
      <c r="AID82" s="637"/>
      <c r="AIE82" s="637"/>
      <c r="AIF82" s="637"/>
      <c r="AIG82" s="637"/>
      <c r="AIH82" s="637"/>
      <c r="AII82" s="637"/>
      <c r="AIJ82" s="637"/>
      <c r="AIK82" s="637"/>
      <c r="AIL82" s="637"/>
      <c r="AIM82" s="637"/>
      <c r="AIN82" s="637"/>
      <c r="AIO82" s="637"/>
      <c r="AIP82" s="637"/>
      <c r="AIQ82" s="637"/>
      <c r="AIR82" s="637"/>
      <c r="AIS82" s="637"/>
      <c r="AIT82" s="637"/>
      <c r="AIU82" s="637"/>
      <c r="AIV82" s="637"/>
      <c r="AIW82" s="637"/>
      <c r="AIX82" s="637"/>
      <c r="AIY82" s="637"/>
      <c r="AIZ82" s="637"/>
      <c r="AJA82" s="637"/>
      <c r="AJB82" s="637"/>
      <c r="AJC82" s="637"/>
      <c r="AJD82" s="637"/>
      <c r="AJE82" s="637"/>
      <c r="AJF82" s="637"/>
      <c r="AJG82" s="637"/>
      <c r="AJH82" s="637"/>
      <c r="AJI82" s="637"/>
      <c r="AJJ82" s="637"/>
      <c r="AJK82" s="637"/>
      <c r="AJL82" s="637"/>
      <c r="AJM82" s="637"/>
      <c r="AJN82" s="637"/>
      <c r="AJO82" s="637"/>
      <c r="AJP82" s="637"/>
      <c r="AJQ82" s="637"/>
      <c r="AJR82" s="637"/>
      <c r="AJS82" s="637"/>
      <c r="AJT82" s="637"/>
      <c r="AJU82" s="637"/>
      <c r="AJV82" s="637"/>
      <c r="AJW82" s="637"/>
      <c r="AJX82" s="637"/>
      <c r="AJY82" s="637"/>
      <c r="AJZ82" s="637"/>
      <c r="AKA82" s="637"/>
      <c r="AKB82" s="637"/>
      <c r="AKC82" s="637"/>
      <c r="AKD82" s="637"/>
      <c r="AKE82" s="637"/>
      <c r="AKF82" s="637"/>
      <c r="AKG82" s="637"/>
      <c r="AKH82" s="637"/>
      <c r="AKI82" s="637"/>
      <c r="AKJ82" s="637"/>
      <c r="AKK82" s="637"/>
      <c r="AKL82" s="637"/>
      <c r="AKM82" s="637"/>
      <c r="AKN82" s="637"/>
      <c r="AKO82" s="637"/>
      <c r="AKP82" s="637"/>
      <c r="AKQ82" s="637"/>
      <c r="AKR82" s="637"/>
      <c r="AKS82" s="637"/>
      <c r="AKT82" s="637"/>
      <c r="AKU82" s="637"/>
      <c r="AKV82" s="637"/>
      <c r="AKW82" s="637"/>
      <c r="AKX82" s="637"/>
      <c r="AKY82" s="637"/>
      <c r="AKZ82" s="637"/>
      <c r="ALA82" s="637"/>
      <c r="ALB82" s="637"/>
      <c r="ALC82" s="637"/>
      <c r="ALD82" s="637"/>
      <c r="ALE82" s="637"/>
      <c r="ALF82" s="637"/>
      <c r="ALG82" s="637"/>
      <c r="ALH82" s="637"/>
      <c r="ALI82" s="637"/>
      <c r="ALJ82" s="637"/>
      <c r="ALK82" s="637"/>
      <c r="ALL82" s="637"/>
      <c r="ALM82" s="637"/>
      <c r="ALN82" s="637"/>
      <c r="ALO82" s="637"/>
      <c r="ALP82" s="637"/>
      <c r="ALQ82" s="637"/>
      <c r="ALR82" s="637"/>
      <c r="ALS82" s="637"/>
      <c r="ALT82" s="637"/>
      <c r="ALU82" s="637"/>
      <c r="ALV82" s="637"/>
      <c r="ALW82" s="637"/>
      <c r="ALX82" s="637"/>
      <c r="ALY82" s="637"/>
      <c r="ALZ82" s="637"/>
      <c r="AMA82" s="637"/>
      <c r="AMB82" s="637"/>
      <c r="AMC82" s="637"/>
      <c r="AMD82" s="637"/>
      <c r="AME82" s="637"/>
      <c r="AMF82" s="637"/>
      <c r="AMG82" s="637"/>
      <c r="AMH82" s="637"/>
      <c r="AMI82" s="637"/>
      <c r="AMJ82" s="637"/>
    </row>
    <row r="83" spans="1:1024" s="638" customFormat="1" ht="12.75">
      <c r="A83" s="945"/>
      <c r="B83" s="945"/>
      <c r="C83" s="639"/>
      <c r="D83" s="981" t="s">
        <v>1041</v>
      </c>
      <c r="E83" s="982">
        <f t="shared" si="8"/>
        <v>30740</v>
      </c>
      <c r="F83" s="982">
        <f aca="true" t="shared" si="9" ref="F83:R83">F71+F75+F79</f>
        <v>30740</v>
      </c>
      <c r="G83" s="982">
        <f t="shared" si="9"/>
        <v>19182</v>
      </c>
      <c r="H83" s="982">
        <f t="shared" si="9"/>
        <v>6634</v>
      </c>
      <c r="I83" s="982">
        <f t="shared" si="9"/>
        <v>4924</v>
      </c>
      <c r="J83" s="982">
        <f t="shared" si="9"/>
        <v>0</v>
      </c>
      <c r="K83" s="982">
        <f t="shared" si="9"/>
        <v>0</v>
      </c>
      <c r="L83" s="982">
        <f t="shared" si="9"/>
        <v>0</v>
      </c>
      <c r="M83" s="982">
        <f t="shared" si="9"/>
        <v>0</v>
      </c>
      <c r="N83" s="982">
        <f t="shared" si="9"/>
        <v>0</v>
      </c>
      <c r="O83" s="982">
        <f t="shared" si="9"/>
        <v>0</v>
      </c>
      <c r="P83" s="982">
        <f t="shared" si="9"/>
        <v>0</v>
      </c>
      <c r="Q83" s="982">
        <f t="shared" si="9"/>
        <v>0</v>
      </c>
      <c r="R83" s="982">
        <f t="shared" si="9"/>
        <v>0</v>
      </c>
      <c r="S83" s="637"/>
      <c r="T83" s="637"/>
      <c r="U83" s="637"/>
      <c r="V83" s="637"/>
      <c r="W83" s="637"/>
      <c r="X83" s="637"/>
      <c r="Y83" s="637"/>
      <c r="Z83" s="637"/>
      <c r="AA83" s="637"/>
      <c r="AB83" s="637"/>
      <c r="AC83" s="637"/>
      <c r="AD83" s="637"/>
      <c r="AE83" s="637"/>
      <c r="AF83" s="637"/>
      <c r="AG83" s="637"/>
      <c r="AH83" s="637"/>
      <c r="AI83" s="637"/>
      <c r="AJ83" s="637"/>
      <c r="AK83" s="637"/>
      <c r="AL83" s="637"/>
      <c r="AM83" s="637"/>
      <c r="AN83" s="637"/>
      <c r="AO83" s="637"/>
      <c r="AP83" s="637"/>
      <c r="AQ83" s="637"/>
      <c r="AR83" s="637"/>
      <c r="AS83" s="637"/>
      <c r="AT83" s="637"/>
      <c r="AU83" s="637"/>
      <c r="AV83" s="637"/>
      <c r="AW83" s="637"/>
      <c r="AX83" s="637"/>
      <c r="AY83" s="637"/>
      <c r="AZ83" s="637"/>
      <c r="BA83" s="637"/>
      <c r="BB83" s="637"/>
      <c r="BC83" s="637"/>
      <c r="BD83" s="637"/>
      <c r="BE83" s="637"/>
      <c r="BF83" s="637"/>
      <c r="BG83" s="637"/>
      <c r="BH83" s="637"/>
      <c r="BI83" s="637"/>
      <c r="BJ83" s="637"/>
      <c r="BK83" s="637"/>
      <c r="BL83" s="637"/>
      <c r="BM83" s="637"/>
      <c r="BN83" s="637"/>
      <c r="BO83" s="637"/>
      <c r="BP83" s="637"/>
      <c r="BQ83" s="637"/>
      <c r="BR83" s="637"/>
      <c r="BS83" s="637"/>
      <c r="BT83" s="637"/>
      <c r="BU83" s="637"/>
      <c r="BV83" s="637"/>
      <c r="BW83" s="637"/>
      <c r="BX83" s="637"/>
      <c r="BY83" s="637"/>
      <c r="BZ83" s="637"/>
      <c r="CA83" s="637"/>
      <c r="CB83" s="637"/>
      <c r="CC83" s="637"/>
      <c r="CD83" s="637"/>
      <c r="CE83" s="637"/>
      <c r="CF83" s="637"/>
      <c r="CG83" s="637"/>
      <c r="CH83" s="637"/>
      <c r="CI83" s="637"/>
      <c r="CJ83" s="637"/>
      <c r="CK83" s="637"/>
      <c r="CL83" s="637"/>
      <c r="CM83" s="637"/>
      <c r="CN83" s="637"/>
      <c r="CO83" s="637"/>
      <c r="CP83" s="637"/>
      <c r="CQ83" s="637"/>
      <c r="CR83" s="637"/>
      <c r="CS83" s="637"/>
      <c r="CT83" s="637"/>
      <c r="CU83" s="637"/>
      <c r="CV83" s="637"/>
      <c r="CW83" s="637"/>
      <c r="CX83" s="637"/>
      <c r="CY83" s="637"/>
      <c r="CZ83" s="637"/>
      <c r="DA83" s="637"/>
      <c r="DB83" s="637"/>
      <c r="DC83" s="637"/>
      <c r="DD83" s="637"/>
      <c r="DE83" s="637"/>
      <c r="DF83" s="637"/>
      <c r="DG83" s="637"/>
      <c r="DH83" s="637"/>
      <c r="DI83" s="637"/>
      <c r="DJ83" s="637"/>
      <c r="DK83" s="637"/>
      <c r="DL83" s="637"/>
      <c r="DM83" s="637"/>
      <c r="DN83" s="637"/>
      <c r="DO83" s="637"/>
      <c r="DP83" s="637"/>
      <c r="DQ83" s="637"/>
      <c r="DR83" s="637"/>
      <c r="DS83" s="637"/>
      <c r="DT83" s="637"/>
      <c r="DU83" s="637"/>
      <c r="DV83" s="637"/>
      <c r="DW83" s="637"/>
      <c r="DX83" s="637"/>
      <c r="DY83" s="637"/>
      <c r="DZ83" s="637"/>
      <c r="EA83" s="637"/>
      <c r="EB83" s="637"/>
      <c r="EC83" s="637"/>
      <c r="ED83" s="637"/>
      <c r="EE83" s="637"/>
      <c r="EF83" s="637"/>
      <c r="EG83" s="637"/>
      <c r="EH83" s="637"/>
      <c r="EI83" s="637"/>
      <c r="EJ83" s="637"/>
      <c r="EK83" s="637"/>
      <c r="EL83" s="637"/>
      <c r="EM83" s="637"/>
      <c r="EN83" s="637"/>
      <c r="EO83" s="637"/>
      <c r="EP83" s="637"/>
      <c r="EQ83" s="637"/>
      <c r="ER83" s="637"/>
      <c r="ES83" s="637"/>
      <c r="ET83" s="637"/>
      <c r="EU83" s="637"/>
      <c r="EV83" s="637"/>
      <c r="EW83" s="637"/>
      <c r="EX83" s="637"/>
      <c r="EY83" s="637"/>
      <c r="EZ83" s="637"/>
      <c r="FA83" s="637"/>
      <c r="FB83" s="637"/>
      <c r="FC83" s="637"/>
      <c r="FD83" s="637"/>
      <c r="FE83" s="637"/>
      <c r="FF83" s="637"/>
      <c r="FG83" s="637"/>
      <c r="FH83" s="637"/>
      <c r="FI83" s="637"/>
      <c r="FJ83" s="637"/>
      <c r="FK83" s="637"/>
      <c r="FL83" s="637"/>
      <c r="FM83" s="637"/>
      <c r="FN83" s="637"/>
      <c r="FO83" s="637"/>
      <c r="FP83" s="637"/>
      <c r="FQ83" s="637"/>
      <c r="FR83" s="637"/>
      <c r="FS83" s="637"/>
      <c r="FT83" s="637"/>
      <c r="FU83" s="637"/>
      <c r="FV83" s="637"/>
      <c r="FW83" s="637"/>
      <c r="FX83" s="637"/>
      <c r="FY83" s="637"/>
      <c r="FZ83" s="637"/>
      <c r="GA83" s="637"/>
      <c r="GB83" s="637"/>
      <c r="GC83" s="637"/>
      <c r="GD83" s="637"/>
      <c r="GE83" s="637"/>
      <c r="GF83" s="637"/>
      <c r="GG83" s="637"/>
      <c r="GH83" s="637"/>
      <c r="GI83" s="637"/>
      <c r="GJ83" s="637"/>
      <c r="GK83" s="637"/>
      <c r="GL83" s="637"/>
      <c r="GM83" s="637"/>
      <c r="GN83" s="637"/>
      <c r="GO83" s="637"/>
      <c r="GP83" s="637"/>
      <c r="GQ83" s="637"/>
      <c r="GR83" s="637"/>
      <c r="GS83" s="637"/>
      <c r="GT83" s="637"/>
      <c r="GU83" s="637"/>
      <c r="GV83" s="637"/>
      <c r="GW83" s="637"/>
      <c r="GX83" s="637"/>
      <c r="GY83" s="637"/>
      <c r="GZ83" s="637"/>
      <c r="HA83" s="637"/>
      <c r="HB83" s="637"/>
      <c r="HC83" s="637"/>
      <c r="HD83" s="637"/>
      <c r="HE83" s="637"/>
      <c r="HF83" s="637"/>
      <c r="HG83" s="637"/>
      <c r="HH83" s="637"/>
      <c r="HI83" s="637"/>
      <c r="HJ83" s="637"/>
      <c r="HK83" s="637"/>
      <c r="HL83" s="637"/>
      <c r="HM83" s="637"/>
      <c r="HN83" s="637"/>
      <c r="HO83" s="637"/>
      <c r="HP83" s="637"/>
      <c r="HQ83" s="637"/>
      <c r="HR83" s="637"/>
      <c r="HS83" s="637"/>
      <c r="HT83" s="637"/>
      <c r="HU83" s="637"/>
      <c r="HV83" s="637"/>
      <c r="HW83" s="637"/>
      <c r="HX83" s="637"/>
      <c r="HY83" s="637"/>
      <c r="HZ83" s="637"/>
      <c r="IA83" s="637"/>
      <c r="IB83" s="637"/>
      <c r="IC83" s="637"/>
      <c r="ID83" s="637"/>
      <c r="IE83" s="637"/>
      <c r="IF83" s="637"/>
      <c r="IG83" s="637"/>
      <c r="IH83" s="637"/>
      <c r="II83" s="637"/>
      <c r="IJ83" s="637"/>
      <c r="IK83" s="637"/>
      <c r="IL83" s="637"/>
      <c r="IM83" s="637"/>
      <c r="IN83" s="637"/>
      <c r="IO83" s="637"/>
      <c r="IP83" s="637"/>
      <c r="IQ83" s="637"/>
      <c r="IR83" s="637"/>
      <c r="IS83" s="637"/>
      <c r="IT83" s="637"/>
      <c r="IU83" s="637"/>
      <c r="IV83" s="637"/>
      <c r="IW83" s="637"/>
      <c r="IX83" s="637"/>
      <c r="IY83" s="637"/>
      <c r="IZ83" s="637"/>
      <c r="JA83" s="637"/>
      <c r="JB83" s="637"/>
      <c r="JC83" s="637"/>
      <c r="JD83" s="637"/>
      <c r="JE83" s="637"/>
      <c r="JF83" s="637"/>
      <c r="JG83" s="637"/>
      <c r="JH83" s="637"/>
      <c r="JI83" s="637"/>
      <c r="JJ83" s="637"/>
      <c r="JK83" s="637"/>
      <c r="JL83" s="637"/>
      <c r="JM83" s="637"/>
      <c r="JN83" s="637"/>
      <c r="JO83" s="637"/>
      <c r="JP83" s="637"/>
      <c r="JQ83" s="637"/>
      <c r="JR83" s="637"/>
      <c r="JS83" s="637"/>
      <c r="JT83" s="637"/>
      <c r="JU83" s="637"/>
      <c r="JV83" s="637"/>
      <c r="JW83" s="637"/>
      <c r="JX83" s="637"/>
      <c r="JY83" s="637"/>
      <c r="JZ83" s="637"/>
      <c r="KA83" s="637"/>
      <c r="KB83" s="637"/>
      <c r="KC83" s="637"/>
      <c r="KD83" s="637"/>
      <c r="KE83" s="637"/>
      <c r="KF83" s="637"/>
      <c r="KG83" s="637"/>
      <c r="KH83" s="637"/>
      <c r="KI83" s="637"/>
      <c r="KJ83" s="637"/>
      <c r="KK83" s="637"/>
      <c r="KL83" s="637"/>
      <c r="KM83" s="637"/>
      <c r="KN83" s="637"/>
      <c r="KO83" s="637"/>
      <c r="KP83" s="637"/>
      <c r="KQ83" s="637"/>
      <c r="KR83" s="637"/>
      <c r="KS83" s="637"/>
      <c r="KT83" s="637"/>
      <c r="KU83" s="637"/>
      <c r="KV83" s="637"/>
      <c r="KW83" s="637"/>
      <c r="KX83" s="637"/>
      <c r="KY83" s="637"/>
      <c r="KZ83" s="637"/>
      <c r="LA83" s="637"/>
      <c r="LB83" s="637"/>
      <c r="LC83" s="637"/>
      <c r="LD83" s="637"/>
      <c r="LE83" s="637"/>
      <c r="LF83" s="637"/>
      <c r="LG83" s="637"/>
      <c r="LH83" s="637"/>
      <c r="LI83" s="637"/>
      <c r="LJ83" s="637"/>
      <c r="LK83" s="637"/>
      <c r="LL83" s="637"/>
      <c r="LM83" s="637"/>
      <c r="LN83" s="637"/>
      <c r="LO83" s="637"/>
      <c r="LP83" s="637"/>
      <c r="LQ83" s="637"/>
      <c r="LR83" s="637"/>
      <c r="LS83" s="637"/>
      <c r="LT83" s="637"/>
      <c r="LU83" s="637"/>
      <c r="LV83" s="637"/>
      <c r="LW83" s="637"/>
      <c r="LX83" s="637"/>
      <c r="LY83" s="637"/>
      <c r="LZ83" s="637"/>
      <c r="MA83" s="637"/>
      <c r="MB83" s="637"/>
      <c r="MC83" s="637"/>
      <c r="MD83" s="637"/>
      <c r="ME83" s="637"/>
      <c r="MF83" s="637"/>
      <c r="MG83" s="637"/>
      <c r="MH83" s="637"/>
      <c r="MI83" s="637"/>
      <c r="MJ83" s="637"/>
      <c r="MK83" s="637"/>
      <c r="ML83" s="637"/>
      <c r="MM83" s="637"/>
      <c r="MN83" s="637"/>
      <c r="MO83" s="637"/>
      <c r="MP83" s="637"/>
      <c r="MQ83" s="637"/>
      <c r="MR83" s="637"/>
      <c r="MS83" s="637"/>
      <c r="MT83" s="637"/>
      <c r="MU83" s="637"/>
      <c r="MV83" s="637"/>
      <c r="MW83" s="637"/>
      <c r="MX83" s="637"/>
      <c r="MY83" s="637"/>
      <c r="MZ83" s="637"/>
      <c r="NA83" s="637"/>
      <c r="NB83" s="637"/>
      <c r="NC83" s="637"/>
      <c r="ND83" s="637"/>
      <c r="NE83" s="637"/>
      <c r="NF83" s="637"/>
      <c r="NG83" s="637"/>
      <c r="NH83" s="637"/>
      <c r="NI83" s="637"/>
      <c r="NJ83" s="637"/>
      <c r="NK83" s="637"/>
      <c r="NL83" s="637"/>
      <c r="NM83" s="637"/>
      <c r="NN83" s="637"/>
      <c r="NO83" s="637"/>
      <c r="NP83" s="637"/>
      <c r="NQ83" s="637"/>
      <c r="NR83" s="637"/>
      <c r="NS83" s="637"/>
      <c r="NT83" s="637"/>
      <c r="NU83" s="637"/>
      <c r="NV83" s="637"/>
      <c r="NW83" s="637"/>
      <c r="NX83" s="637"/>
      <c r="NY83" s="637"/>
      <c r="NZ83" s="637"/>
      <c r="OA83" s="637"/>
      <c r="OB83" s="637"/>
      <c r="OC83" s="637"/>
      <c r="OD83" s="637"/>
      <c r="OE83" s="637"/>
      <c r="OF83" s="637"/>
      <c r="OG83" s="637"/>
      <c r="OH83" s="637"/>
      <c r="OI83" s="637"/>
      <c r="OJ83" s="637"/>
      <c r="OK83" s="637"/>
      <c r="OL83" s="637"/>
      <c r="OM83" s="637"/>
      <c r="ON83" s="637"/>
      <c r="OO83" s="637"/>
      <c r="OP83" s="637"/>
      <c r="OQ83" s="637"/>
      <c r="OR83" s="637"/>
      <c r="OS83" s="637"/>
      <c r="OT83" s="637"/>
      <c r="OU83" s="637"/>
      <c r="OV83" s="637"/>
      <c r="OW83" s="637"/>
      <c r="OX83" s="637"/>
      <c r="OY83" s="637"/>
      <c r="OZ83" s="637"/>
      <c r="PA83" s="637"/>
      <c r="PB83" s="637"/>
      <c r="PC83" s="637"/>
      <c r="PD83" s="637"/>
      <c r="PE83" s="637"/>
      <c r="PF83" s="637"/>
      <c r="PG83" s="637"/>
      <c r="PH83" s="637"/>
      <c r="PI83" s="637"/>
      <c r="PJ83" s="637"/>
      <c r="PK83" s="637"/>
      <c r="PL83" s="637"/>
      <c r="PM83" s="637"/>
      <c r="PN83" s="637"/>
      <c r="PO83" s="637"/>
      <c r="PP83" s="637"/>
      <c r="PQ83" s="637"/>
      <c r="PR83" s="637"/>
      <c r="PS83" s="637"/>
      <c r="PT83" s="637"/>
      <c r="PU83" s="637"/>
      <c r="PV83" s="637"/>
      <c r="PW83" s="637"/>
      <c r="PX83" s="637"/>
      <c r="PY83" s="637"/>
      <c r="PZ83" s="637"/>
      <c r="QA83" s="637"/>
      <c r="QB83" s="637"/>
      <c r="QC83" s="637"/>
      <c r="QD83" s="637"/>
      <c r="QE83" s="637"/>
      <c r="QF83" s="637"/>
      <c r="QG83" s="637"/>
      <c r="QH83" s="637"/>
      <c r="QI83" s="637"/>
      <c r="QJ83" s="637"/>
      <c r="QK83" s="637"/>
      <c r="QL83" s="637"/>
      <c r="QM83" s="637"/>
      <c r="QN83" s="637"/>
      <c r="QO83" s="637"/>
      <c r="QP83" s="637"/>
      <c r="QQ83" s="637"/>
      <c r="QR83" s="637"/>
      <c r="QS83" s="637"/>
      <c r="QT83" s="637"/>
      <c r="QU83" s="637"/>
      <c r="QV83" s="637"/>
      <c r="QW83" s="637"/>
      <c r="QX83" s="637"/>
      <c r="QY83" s="637"/>
      <c r="QZ83" s="637"/>
      <c r="RA83" s="637"/>
      <c r="RB83" s="637"/>
      <c r="RC83" s="637"/>
      <c r="RD83" s="637"/>
      <c r="RE83" s="637"/>
      <c r="RF83" s="637"/>
      <c r="RG83" s="637"/>
      <c r="RH83" s="637"/>
      <c r="RI83" s="637"/>
      <c r="RJ83" s="637"/>
      <c r="RK83" s="637"/>
      <c r="RL83" s="637"/>
      <c r="RM83" s="637"/>
      <c r="RN83" s="637"/>
      <c r="RO83" s="637"/>
      <c r="RP83" s="637"/>
      <c r="RQ83" s="637"/>
      <c r="RR83" s="637"/>
      <c r="RS83" s="637"/>
      <c r="RT83" s="637"/>
      <c r="RU83" s="637"/>
      <c r="RV83" s="637"/>
      <c r="RW83" s="637"/>
      <c r="RX83" s="637"/>
      <c r="RY83" s="637"/>
      <c r="RZ83" s="637"/>
      <c r="SA83" s="637"/>
      <c r="SB83" s="637"/>
      <c r="SC83" s="637"/>
      <c r="SD83" s="637"/>
      <c r="SE83" s="637"/>
      <c r="SF83" s="637"/>
      <c r="SG83" s="637"/>
      <c r="SH83" s="637"/>
      <c r="SI83" s="637"/>
      <c r="SJ83" s="637"/>
      <c r="SK83" s="637"/>
      <c r="SL83" s="637"/>
      <c r="SM83" s="637"/>
      <c r="SN83" s="637"/>
      <c r="SO83" s="637"/>
      <c r="SP83" s="637"/>
      <c r="SQ83" s="637"/>
      <c r="SR83" s="637"/>
      <c r="SS83" s="637"/>
      <c r="ST83" s="637"/>
      <c r="SU83" s="637"/>
      <c r="SV83" s="637"/>
      <c r="SW83" s="637"/>
      <c r="SX83" s="637"/>
      <c r="SY83" s="637"/>
      <c r="SZ83" s="637"/>
      <c r="TA83" s="637"/>
      <c r="TB83" s="637"/>
      <c r="TC83" s="637"/>
      <c r="TD83" s="637"/>
      <c r="TE83" s="637"/>
      <c r="TF83" s="637"/>
      <c r="TG83" s="637"/>
      <c r="TH83" s="637"/>
      <c r="TI83" s="637"/>
      <c r="TJ83" s="637"/>
      <c r="TK83" s="637"/>
      <c r="TL83" s="637"/>
      <c r="TM83" s="637"/>
      <c r="TN83" s="637"/>
      <c r="TO83" s="637"/>
      <c r="TP83" s="637"/>
      <c r="TQ83" s="637"/>
      <c r="TR83" s="637"/>
      <c r="TS83" s="637"/>
      <c r="TT83" s="637"/>
      <c r="TU83" s="637"/>
      <c r="TV83" s="637"/>
      <c r="TW83" s="637"/>
      <c r="TX83" s="637"/>
      <c r="TY83" s="637"/>
      <c r="TZ83" s="637"/>
      <c r="UA83" s="637"/>
      <c r="UB83" s="637"/>
      <c r="UC83" s="637"/>
      <c r="UD83" s="637"/>
      <c r="UE83" s="637"/>
      <c r="UF83" s="637"/>
      <c r="UG83" s="637"/>
      <c r="UH83" s="637"/>
      <c r="UI83" s="637"/>
      <c r="UJ83" s="637"/>
      <c r="UK83" s="637"/>
      <c r="UL83" s="637"/>
      <c r="UM83" s="637"/>
      <c r="UN83" s="637"/>
      <c r="UO83" s="637"/>
      <c r="UP83" s="637"/>
      <c r="UQ83" s="637"/>
      <c r="UR83" s="637"/>
      <c r="US83" s="637"/>
      <c r="UT83" s="637"/>
      <c r="UU83" s="637"/>
      <c r="UV83" s="637"/>
      <c r="UW83" s="637"/>
      <c r="UX83" s="637"/>
      <c r="UY83" s="637"/>
      <c r="UZ83" s="637"/>
      <c r="VA83" s="637"/>
      <c r="VB83" s="637"/>
      <c r="VC83" s="637"/>
      <c r="VD83" s="637"/>
      <c r="VE83" s="637"/>
      <c r="VF83" s="637"/>
      <c r="VG83" s="637"/>
      <c r="VH83" s="637"/>
      <c r="VI83" s="637"/>
      <c r="VJ83" s="637"/>
      <c r="VK83" s="637"/>
      <c r="VL83" s="637"/>
      <c r="VM83" s="637"/>
      <c r="VN83" s="637"/>
      <c r="VO83" s="637"/>
      <c r="VP83" s="637"/>
      <c r="VQ83" s="637"/>
      <c r="VR83" s="637"/>
      <c r="VS83" s="637"/>
      <c r="VT83" s="637"/>
      <c r="VU83" s="637"/>
      <c r="VV83" s="637"/>
      <c r="VW83" s="637"/>
      <c r="VX83" s="637"/>
      <c r="VY83" s="637"/>
      <c r="VZ83" s="637"/>
      <c r="WA83" s="637"/>
      <c r="WB83" s="637"/>
      <c r="WC83" s="637"/>
      <c r="WD83" s="637"/>
      <c r="WE83" s="637"/>
      <c r="WF83" s="637"/>
      <c r="WG83" s="637"/>
      <c r="WH83" s="637"/>
      <c r="WI83" s="637"/>
      <c r="WJ83" s="637"/>
      <c r="WK83" s="637"/>
      <c r="WL83" s="637"/>
      <c r="WM83" s="637"/>
      <c r="WN83" s="637"/>
      <c r="WO83" s="637"/>
      <c r="WP83" s="637"/>
      <c r="WQ83" s="637"/>
      <c r="WR83" s="637"/>
      <c r="WS83" s="637"/>
      <c r="WT83" s="637"/>
      <c r="WU83" s="637"/>
      <c r="WV83" s="637"/>
      <c r="WW83" s="637"/>
      <c r="WX83" s="637"/>
      <c r="WY83" s="637"/>
      <c r="WZ83" s="637"/>
      <c r="XA83" s="637"/>
      <c r="XB83" s="637"/>
      <c r="XC83" s="637"/>
      <c r="XD83" s="637"/>
      <c r="XE83" s="637"/>
      <c r="XF83" s="637"/>
      <c r="XG83" s="637"/>
      <c r="XH83" s="637"/>
      <c r="XI83" s="637"/>
      <c r="XJ83" s="637"/>
      <c r="XK83" s="637"/>
      <c r="XL83" s="637"/>
      <c r="XM83" s="637"/>
      <c r="XN83" s="637"/>
      <c r="XO83" s="637"/>
      <c r="XP83" s="637"/>
      <c r="XQ83" s="637"/>
      <c r="XR83" s="637"/>
      <c r="XS83" s="637"/>
      <c r="XT83" s="637"/>
      <c r="XU83" s="637"/>
      <c r="XV83" s="637"/>
      <c r="XW83" s="637"/>
      <c r="XX83" s="637"/>
      <c r="XY83" s="637"/>
      <c r="XZ83" s="637"/>
      <c r="YA83" s="637"/>
      <c r="YB83" s="637"/>
      <c r="YC83" s="637"/>
      <c r="YD83" s="637"/>
      <c r="YE83" s="637"/>
      <c r="YF83" s="637"/>
      <c r="YG83" s="637"/>
      <c r="YH83" s="637"/>
      <c r="YI83" s="637"/>
      <c r="YJ83" s="637"/>
      <c r="YK83" s="637"/>
      <c r="YL83" s="637"/>
      <c r="YM83" s="637"/>
      <c r="YN83" s="637"/>
      <c r="YO83" s="637"/>
      <c r="YP83" s="637"/>
      <c r="YQ83" s="637"/>
      <c r="YR83" s="637"/>
      <c r="YS83" s="637"/>
      <c r="YT83" s="637"/>
      <c r="YU83" s="637"/>
      <c r="YV83" s="637"/>
      <c r="YW83" s="637"/>
      <c r="YX83" s="637"/>
      <c r="YY83" s="637"/>
      <c r="YZ83" s="637"/>
      <c r="ZA83" s="637"/>
      <c r="ZB83" s="637"/>
      <c r="ZC83" s="637"/>
      <c r="ZD83" s="637"/>
      <c r="ZE83" s="637"/>
      <c r="ZF83" s="637"/>
      <c r="ZG83" s="637"/>
      <c r="ZH83" s="637"/>
      <c r="ZI83" s="637"/>
      <c r="ZJ83" s="637"/>
      <c r="ZK83" s="637"/>
      <c r="ZL83" s="637"/>
      <c r="ZM83" s="637"/>
      <c r="ZN83" s="637"/>
      <c r="ZO83" s="637"/>
      <c r="ZP83" s="637"/>
      <c r="ZQ83" s="637"/>
      <c r="ZR83" s="637"/>
      <c r="ZS83" s="637"/>
      <c r="ZT83" s="637"/>
      <c r="ZU83" s="637"/>
      <c r="ZV83" s="637"/>
      <c r="ZW83" s="637"/>
      <c r="ZX83" s="637"/>
      <c r="ZY83" s="637"/>
      <c r="ZZ83" s="637"/>
      <c r="AAA83" s="637"/>
      <c r="AAB83" s="637"/>
      <c r="AAC83" s="637"/>
      <c r="AAD83" s="637"/>
      <c r="AAE83" s="637"/>
      <c r="AAF83" s="637"/>
      <c r="AAG83" s="637"/>
      <c r="AAH83" s="637"/>
      <c r="AAI83" s="637"/>
      <c r="AAJ83" s="637"/>
      <c r="AAK83" s="637"/>
      <c r="AAL83" s="637"/>
      <c r="AAM83" s="637"/>
      <c r="AAN83" s="637"/>
      <c r="AAO83" s="637"/>
      <c r="AAP83" s="637"/>
      <c r="AAQ83" s="637"/>
      <c r="AAR83" s="637"/>
      <c r="AAS83" s="637"/>
      <c r="AAT83" s="637"/>
      <c r="AAU83" s="637"/>
      <c r="AAV83" s="637"/>
      <c r="AAW83" s="637"/>
      <c r="AAX83" s="637"/>
      <c r="AAY83" s="637"/>
      <c r="AAZ83" s="637"/>
      <c r="ABA83" s="637"/>
      <c r="ABB83" s="637"/>
      <c r="ABC83" s="637"/>
      <c r="ABD83" s="637"/>
      <c r="ABE83" s="637"/>
      <c r="ABF83" s="637"/>
      <c r="ABG83" s="637"/>
      <c r="ABH83" s="637"/>
      <c r="ABI83" s="637"/>
      <c r="ABJ83" s="637"/>
      <c r="ABK83" s="637"/>
      <c r="ABL83" s="637"/>
      <c r="ABM83" s="637"/>
      <c r="ABN83" s="637"/>
      <c r="ABO83" s="637"/>
      <c r="ABP83" s="637"/>
      <c r="ABQ83" s="637"/>
      <c r="ABR83" s="637"/>
      <c r="ABS83" s="637"/>
      <c r="ABT83" s="637"/>
      <c r="ABU83" s="637"/>
      <c r="ABV83" s="637"/>
      <c r="ABW83" s="637"/>
      <c r="ABX83" s="637"/>
      <c r="ABY83" s="637"/>
      <c r="ABZ83" s="637"/>
      <c r="ACA83" s="637"/>
      <c r="ACB83" s="637"/>
      <c r="ACC83" s="637"/>
      <c r="ACD83" s="637"/>
      <c r="ACE83" s="637"/>
      <c r="ACF83" s="637"/>
      <c r="ACG83" s="637"/>
      <c r="ACH83" s="637"/>
      <c r="ACI83" s="637"/>
      <c r="ACJ83" s="637"/>
      <c r="ACK83" s="637"/>
      <c r="ACL83" s="637"/>
      <c r="ACM83" s="637"/>
      <c r="ACN83" s="637"/>
      <c r="ACO83" s="637"/>
      <c r="ACP83" s="637"/>
      <c r="ACQ83" s="637"/>
      <c r="ACR83" s="637"/>
      <c r="ACS83" s="637"/>
      <c r="ACT83" s="637"/>
      <c r="ACU83" s="637"/>
      <c r="ACV83" s="637"/>
      <c r="ACW83" s="637"/>
      <c r="ACX83" s="637"/>
      <c r="ACY83" s="637"/>
      <c r="ACZ83" s="637"/>
      <c r="ADA83" s="637"/>
      <c r="ADB83" s="637"/>
      <c r="ADC83" s="637"/>
      <c r="ADD83" s="637"/>
      <c r="ADE83" s="637"/>
      <c r="ADF83" s="637"/>
      <c r="ADG83" s="637"/>
      <c r="ADH83" s="637"/>
      <c r="ADI83" s="637"/>
      <c r="ADJ83" s="637"/>
      <c r="ADK83" s="637"/>
      <c r="ADL83" s="637"/>
      <c r="ADM83" s="637"/>
      <c r="ADN83" s="637"/>
      <c r="ADO83" s="637"/>
      <c r="ADP83" s="637"/>
      <c r="ADQ83" s="637"/>
      <c r="ADR83" s="637"/>
      <c r="ADS83" s="637"/>
      <c r="ADT83" s="637"/>
      <c r="ADU83" s="637"/>
      <c r="ADV83" s="637"/>
      <c r="ADW83" s="637"/>
      <c r="ADX83" s="637"/>
      <c r="ADY83" s="637"/>
      <c r="ADZ83" s="637"/>
      <c r="AEA83" s="637"/>
      <c r="AEB83" s="637"/>
      <c r="AEC83" s="637"/>
      <c r="AED83" s="637"/>
      <c r="AEE83" s="637"/>
      <c r="AEF83" s="637"/>
      <c r="AEG83" s="637"/>
      <c r="AEH83" s="637"/>
      <c r="AEI83" s="637"/>
      <c r="AEJ83" s="637"/>
      <c r="AEK83" s="637"/>
      <c r="AEL83" s="637"/>
      <c r="AEM83" s="637"/>
      <c r="AEN83" s="637"/>
      <c r="AEO83" s="637"/>
      <c r="AEP83" s="637"/>
      <c r="AEQ83" s="637"/>
      <c r="AER83" s="637"/>
      <c r="AES83" s="637"/>
      <c r="AET83" s="637"/>
      <c r="AEU83" s="637"/>
      <c r="AEV83" s="637"/>
      <c r="AEW83" s="637"/>
      <c r="AEX83" s="637"/>
      <c r="AEY83" s="637"/>
      <c r="AEZ83" s="637"/>
      <c r="AFA83" s="637"/>
      <c r="AFB83" s="637"/>
      <c r="AFC83" s="637"/>
      <c r="AFD83" s="637"/>
      <c r="AFE83" s="637"/>
      <c r="AFF83" s="637"/>
      <c r="AFG83" s="637"/>
      <c r="AFH83" s="637"/>
      <c r="AFI83" s="637"/>
      <c r="AFJ83" s="637"/>
      <c r="AFK83" s="637"/>
      <c r="AFL83" s="637"/>
      <c r="AFM83" s="637"/>
      <c r="AFN83" s="637"/>
      <c r="AFO83" s="637"/>
      <c r="AFP83" s="637"/>
      <c r="AFQ83" s="637"/>
      <c r="AFR83" s="637"/>
      <c r="AFS83" s="637"/>
      <c r="AFT83" s="637"/>
      <c r="AFU83" s="637"/>
      <c r="AFV83" s="637"/>
      <c r="AFW83" s="637"/>
      <c r="AFX83" s="637"/>
      <c r="AFY83" s="637"/>
      <c r="AFZ83" s="637"/>
      <c r="AGA83" s="637"/>
      <c r="AGB83" s="637"/>
      <c r="AGC83" s="637"/>
      <c r="AGD83" s="637"/>
      <c r="AGE83" s="637"/>
      <c r="AGF83" s="637"/>
      <c r="AGG83" s="637"/>
      <c r="AGH83" s="637"/>
      <c r="AGI83" s="637"/>
      <c r="AGJ83" s="637"/>
      <c r="AGK83" s="637"/>
      <c r="AGL83" s="637"/>
      <c r="AGM83" s="637"/>
      <c r="AGN83" s="637"/>
      <c r="AGO83" s="637"/>
      <c r="AGP83" s="637"/>
      <c r="AGQ83" s="637"/>
      <c r="AGR83" s="637"/>
      <c r="AGS83" s="637"/>
      <c r="AGT83" s="637"/>
      <c r="AGU83" s="637"/>
      <c r="AGV83" s="637"/>
      <c r="AGW83" s="637"/>
      <c r="AGX83" s="637"/>
      <c r="AGY83" s="637"/>
      <c r="AGZ83" s="637"/>
      <c r="AHA83" s="637"/>
      <c r="AHB83" s="637"/>
      <c r="AHC83" s="637"/>
      <c r="AHD83" s="637"/>
      <c r="AHE83" s="637"/>
      <c r="AHF83" s="637"/>
      <c r="AHG83" s="637"/>
      <c r="AHH83" s="637"/>
      <c r="AHI83" s="637"/>
      <c r="AHJ83" s="637"/>
      <c r="AHK83" s="637"/>
      <c r="AHL83" s="637"/>
      <c r="AHM83" s="637"/>
      <c r="AHN83" s="637"/>
      <c r="AHO83" s="637"/>
      <c r="AHP83" s="637"/>
      <c r="AHQ83" s="637"/>
      <c r="AHR83" s="637"/>
      <c r="AHS83" s="637"/>
      <c r="AHT83" s="637"/>
      <c r="AHU83" s="637"/>
      <c r="AHV83" s="637"/>
      <c r="AHW83" s="637"/>
      <c r="AHX83" s="637"/>
      <c r="AHY83" s="637"/>
      <c r="AHZ83" s="637"/>
      <c r="AIA83" s="637"/>
      <c r="AIB83" s="637"/>
      <c r="AIC83" s="637"/>
      <c r="AID83" s="637"/>
      <c r="AIE83" s="637"/>
      <c r="AIF83" s="637"/>
      <c r="AIG83" s="637"/>
      <c r="AIH83" s="637"/>
      <c r="AII83" s="637"/>
      <c r="AIJ83" s="637"/>
      <c r="AIK83" s="637"/>
      <c r="AIL83" s="637"/>
      <c r="AIM83" s="637"/>
      <c r="AIN83" s="637"/>
      <c r="AIO83" s="637"/>
      <c r="AIP83" s="637"/>
      <c r="AIQ83" s="637"/>
      <c r="AIR83" s="637"/>
      <c r="AIS83" s="637"/>
      <c r="AIT83" s="637"/>
      <c r="AIU83" s="637"/>
      <c r="AIV83" s="637"/>
      <c r="AIW83" s="637"/>
      <c r="AIX83" s="637"/>
      <c r="AIY83" s="637"/>
      <c r="AIZ83" s="637"/>
      <c r="AJA83" s="637"/>
      <c r="AJB83" s="637"/>
      <c r="AJC83" s="637"/>
      <c r="AJD83" s="637"/>
      <c r="AJE83" s="637"/>
      <c r="AJF83" s="637"/>
      <c r="AJG83" s="637"/>
      <c r="AJH83" s="637"/>
      <c r="AJI83" s="637"/>
      <c r="AJJ83" s="637"/>
      <c r="AJK83" s="637"/>
      <c r="AJL83" s="637"/>
      <c r="AJM83" s="637"/>
      <c r="AJN83" s="637"/>
      <c r="AJO83" s="637"/>
      <c r="AJP83" s="637"/>
      <c r="AJQ83" s="637"/>
      <c r="AJR83" s="637"/>
      <c r="AJS83" s="637"/>
      <c r="AJT83" s="637"/>
      <c r="AJU83" s="637"/>
      <c r="AJV83" s="637"/>
      <c r="AJW83" s="637"/>
      <c r="AJX83" s="637"/>
      <c r="AJY83" s="637"/>
      <c r="AJZ83" s="637"/>
      <c r="AKA83" s="637"/>
      <c r="AKB83" s="637"/>
      <c r="AKC83" s="637"/>
      <c r="AKD83" s="637"/>
      <c r="AKE83" s="637"/>
      <c r="AKF83" s="637"/>
      <c r="AKG83" s="637"/>
      <c r="AKH83" s="637"/>
      <c r="AKI83" s="637"/>
      <c r="AKJ83" s="637"/>
      <c r="AKK83" s="637"/>
      <c r="AKL83" s="637"/>
      <c r="AKM83" s="637"/>
      <c r="AKN83" s="637"/>
      <c r="AKO83" s="637"/>
      <c r="AKP83" s="637"/>
      <c r="AKQ83" s="637"/>
      <c r="AKR83" s="637"/>
      <c r="AKS83" s="637"/>
      <c r="AKT83" s="637"/>
      <c r="AKU83" s="637"/>
      <c r="AKV83" s="637"/>
      <c r="AKW83" s="637"/>
      <c r="AKX83" s="637"/>
      <c r="AKY83" s="637"/>
      <c r="AKZ83" s="637"/>
      <c r="ALA83" s="637"/>
      <c r="ALB83" s="637"/>
      <c r="ALC83" s="637"/>
      <c r="ALD83" s="637"/>
      <c r="ALE83" s="637"/>
      <c r="ALF83" s="637"/>
      <c r="ALG83" s="637"/>
      <c r="ALH83" s="637"/>
      <c r="ALI83" s="637"/>
      <c r="ALJ83" s="637"/>
      <c r="ALK83" s="637"/>
      <c r="ALL83" s="637"/>
      <c r="ALM83" s="637"/>
      <c r="ALN83" s="637"/>
      <c r="ALO83" s="637"/>
      <c r="ALP83" s="637"/>
      <c r="ALQ83" s="637"/>
      <c r="ALR83" s="637"/>
      <c r="ALS83" s="637"/>
      <c r="ALT83" s="637"/>
      <c r="ALU83" s="637"/>
      <c r="ALV83" s="637"/>
      <c r="ALW83" s="637"/>
      <c r="ALX83" s="637"/>
      <c r="ALY83" s="637"/>
      <c r="ALZ83" s="637"/>
      <c r="AMA83" s="637"/>
      <c r="AMB83" s="637"/>
      <c r="AMC83" s="637"/>
      <c r="AMD83" s="637"/>
      <c r="AME83" s="637"/>
      <c r="AMF83" s="637"/>
      <c r="AMG83" s="637"/>
      <c r="AMH83" s="637"/>
      <c r="AMI83" s="637"/>
      <c r="AMJ83" s="637"/>
    </row>
    <row r="84" spans="1:1024" s="638" customFormat="1" ht="12.75" hidden="1">
      <c r="A84" s="945"/>
      <c r="B84" s="945"/>
      <c r="C84" s="639"/>
      <c r="D84" s="1001"/>
      <c r="E84" s="1003">
        <f>E72+E76+E80</f>
        <v>28805</v>
      </c>
      <c r="F84" s="1003">
        <f>F72+F76+F80</f>
        <v>29611</v>
      </c>
      <c r="G84" s="1003">
        <f>G72+G76+G80</f>
        <v>18993</v>
      </c>
      <c r="H84" s="1003">
        <f>H72+H76+H80</f>
        <v>5839</v>
      </c>
      <c r="I84" s="1003">
        <f>I72+I76+I80</f>
        <v>4779</v>
      </c>
      <c r="J84" s="1002"/>
      <c r="K84" s="1002"/>
      <c r="L84" s="1002"/>
      <c r="M84" s="1002"/>
      <c r="N84" s="1002"/>
      <c r="O84" s="1002"/>
      <c r="P84" s="1002"/>
      <c r="Q84" s="1002"/>
      <c r="R84" s="1002"/>
      <c r="S84" s="637"/>
      <c r="T84" s="637"/>
      <c r="U84" s="637"/>
      <c r="V84" s="637"/>
      <c r="W84" s="637"/>
      <c r="X84" s="637"/>
      <c r="Y84" s="637"/>
      <c r="Z84" s="637"/>
      <c r="AA84" s="637"/>
      <c r="AB84" s="637"/>
      <c r="AC84" s="637"/>
      <c r="AD84" s="637"/>
      <c r="AE84" s="637"/>
      <c r="AF84" s="637"/>
      <c r="AG84" s="637"/>
      <c r="AH84" s="637"/>
      <c r="AI84" s="637"/>
      <c r="AJ84" s="637"/>
      <c r="AK84" s="637"/>
      <c r="AL84" s="637"/>
      <c r="AM84" s="637"/>
      <c r="AN84" s="637"/>
      <c r="AO84" s="637"/>
      <c r="AP84" s="637"/>
      <c r="AQ84" s="637"/>
      <c r="AR84" s="637"/>
      <c r="AS84" s="637"/>
      <c r="AT84" s="637"/>
      <c r="AU84" s="637"/>
      <c r="AV84" s="637"/>
      <c r="AW84" s="637"/>
      <c r="AX84" s="637"/>
      <c r="AY84" s="637"/>
      <c r="AZ84" s="637"/>
      <c r="BA84" s="637"/>
      <c r="BB84" s="637"/>
      <c r="BC84" s="637"/>
      <c r="BD84" s="637"/>
      <c r="BE84" s="637"/>
      <c r="BF84" s="637"/>
      <c r="BG84" s="637"/>
      <c r="BH84" s="637"/>
      <c r="BI84" s="637"/>
      <c r="BJ84" s="637"/>
      <c r="BK84" s="637"/>
      <c r="BL84" s="637"/>
      <c r="BM84" s="637"/>
      <c r="BN84" s="637"/>
      <c r="BO84" s="637"/>
      <c r="BP84" s="637"/>
      <c r="BQ84" s="637"/>
      <c r="BR84" s="637"/>
      <c r="BS84" s="637"/>
      <c r="BT84" s="637"/>
      <c r="BU84" s="637"/>
      <c r="BV84" s="637"/>
      <c r="BW84" s="637"/>
      <c r="BX84" s="637"/>
      <c r="BY84" s="637"/>
      <c r="BZ84" s="637"/>
      <c r="CA84" s="637"/>
      <c r="CB84" s="637"/>
      <c r="CC84" s="637"/>
      <c r="CD84" s="637"/>
      <c r="CE84" s="637"/>
      <c r="CF84" s="637"/>
      <c r="CG84" s="637"/>
      <c r="CH84" s="637"/>
      <c r="CI84" s="637"/>
      <c r="CJ84" s="637"/>
      <c r="CK84" s="637"/>
      <c r="CL84" s="637"/>
      <c r="CM84" s="637"/>
      <c r="CN84" s="637"/>
      <c r="CO84" s="637"/>
      <c r="CP84" s="637"/>
      <c r="CQ84" s="637"/>
      <c r="CR84" s="637"/>
      <c r="CS84" s="637"/>
      <c r="CT84" s="637"/>
      <c r="CU84" s="637"/>
      <c r="CV84" s="637"/>
      <c r="CW84" s="637"/>
      <c r="CX84" s="637"/>
      <c r="CY84" s="637"/>
      <c r="CZ84" s="637"/>
      <c r="DA84" s="637"/>
      <c r="DB84" s="637"/>
      <c r="DC84" s="637"/>
      <c r="DD84" s="637"/>
      <c r="DE84" s="637"/>
      <c r="DF84" s="637"/>
      <c r="DG84" s="637"/>
      <c r="DH84" s="637"/>
      <c r="DI84" s="637"/>
      <c r="DJ84" s="637"/>
      <c r="DK84" s="637"/>
      <c r="DL84" s="637"/>
      <c r="DM84" s="637"/>
      <c r="DN84" s="637"/>
      <c r="DO84" s="637"/>
      <c r="DP84" s="637"/>
      <c r="DQ84" s="637"/>
      <c r="DR84" s="637"/>
      <c r="DS84" s="637"/>
      <c r="DT84" s="637"/>
      <c r="DU84" s="637"/>
      <c r="DV84" s="637"/>
      <c r="DW84" s="637"/>
      <c r="DX84" s="637"/>
      <c r="DY84" s="637"/>
      <c r="DZ84" s="637"/>
      <c r="EA84" s="637"/>
      <c r="EB84" s="637"/>
      <c r="EC84" s="637"/>
      <c r="ED84" s="637"/>
      <c r="EE84" s="637"/>
      <c r="EF84" s="637"/>
      <c r="EG84" s="637"/>
      <c r="EH84" s="637"/>
      <c r="EI84" s="637"/>
      <c r="EJ84" s="637"/>
      <c r="EK84" s="637"/>
      <c r="EL84" s="637"/>
      <c r="EM84" s="637"/>
      <c r="EN84" s="637"/>
      <c r="EO84" s="637"/>
      <c r="EP84" s="637"/>
      <c r="EQ84" s="637"/>
      <c r="ER84" s="637"/>
      <c r="ES84" s="637"/>
      <c r="ET84" s="637"/>
      <c r="EU84" s="637"/>
      <c r="EV84" s="637"/>
      <c r="EW84" s="637"/>
      <c r="EX84" s="637"/>
      <c r="EY84" s="637"/>
      <c r="EZ84" s="637"/>
      <c r="FA84" s="637"/>
      <c r="FB84" s="637"/>
      <c r="FC84" s="637"/>
      <c r="FD84" s="637"/>
      <c r="FE84" s="637"/>
      <c r="FF84" s="637"/>
      <c r="FG84" s="637"/>
      <c r="FH84" s="637"/>
      <c r="FI84" s="637"/>
      <c r="FJ84" s="637"/>
      <c r="FK84" s="637"/>
      <c r="FL84" s="637"/>
      <c r="FM84" s="637"/>
      <c r="FN84" s="637"/>
      <c r="FO84" s="637"/>
      <c r="FP84" s="637"/>
      <c r="FQ84" s="637"/>
      <c r="FR84" s="637"/>
      <c r="FS84" s="637"/>
      <c r="FT84" s="637"/>
      <c r="FU84" s="637"/>
      <c r="FV84" s="637"/>
      <c r="FW84" s="637"/>
      <c r="FX84" s="637"/>
      <c r="FY84" s="637"/>
      <c r="FZ84" s="637"/>
      <c r="GA84" s="637"/>
      <c r="GB84" s="637"/>
      <c r="GC84" s="637"/>
      <c r="GD84" s="637"/>
      <c r="GE84" s="637"/>
      <c r="GF84" s="637"/>
      <c r="GG84" s="637"/>
      <c r="GH84" s="637"/>
      <c r="GI84" s="637"/>
      <c r="GJ84" s="637"/>
      <c r="GK84" s="637"/>
      <c r="GL84" s="637"/>
      <c r="GM84" s="637"/>
      <c r="GN84" s="637"/>
      <c r="GO84" s="637"/>
      <c r="GP84" s="637"/>
      <c r="GQ84" s="637"/>
      <c r="GR84" s="637"/>
      <c r="GS84" s="637"/>
      <c r="GT84" s="637"/>
      <c r="GU84" s="637"/>
      <c r="GV84" s="637"/>
      <c r="GW84" s="637"/>
      <c r="GX84" s="637"/>
      <c r="GY84" s="637"/>
      <c r="GZ84" s="637"/>
      <c r="HA84" s="637"/>
      <c r="HB84" s="637"/>
      <c r="HC84" s="637"/>
      <c r="HD84" s="637"/>
      <c r="HE84" s="637"/>
      <c r="HF84" s="637"/>
      <c r="HG84" s="637"/>
      <c r="HH84" s="637"/>
      <c r="HI84" s="637"/>
      <c r="HJ84" s="637"/>
      <c r="HK84" s="637"/>
      <c r="HL84" s="637"/>
      <c r="HM84" s="637"/>
      <c r="HN84" s="637"/>
      <c r="HO84" s="637"/>
      <c r="HP84" s="637"/>
      <c r="HQ84" s="637"/>
      <c r="HR84" s="637"/>
      <c r="HS84" s="637"/>
      <c r="HT84" s="637"/>
      <c r="HU84" s="637"/>
      <c r="HV84" s="637"/>
      <c r="HW84" s="637"/>
      <c r="HX84" s="637"/>
      <c r="HY84" s="637"/>
      <c r="HZ84" s="637"/>
      <c r="IA84" s="637"/>
      <c r="IB84" s="637"/>
      <c r="IC84" s="637"/>
      <c r="ID84" s="637"/>
      <c r="IE84" s="637"/>
      <c r="IF84" s="637"/>
      <c r="IG84" s="637"/>
      <c r="IH84" s="637"/>
      <c r="II84" s="637"/>
      <c r="IJ84" s="637"/>
      <c r="IK84" s="637"/>
      <c r="IL84" s="637"/>
      <c r="IM84" s="637"/>
      <c r="IN84" s="637"/>
      <c r="IO84" s="637"/>
      <c r="IP84" s="637"/>
      <c r="IQ84" s="637"/>
      <c r="IR84" s="637"/>
      <c r="IS84" s="637"/>
      <c r="IT84" s="637"/>
      <c r="IU84" s="637"/>
      <c r="IV84" s="637"/>
      <c r="IW84" s="637"/>
      <c r="IX84" s="637"/>
      <c r="IY84" s="637"/>
      <c r="IZ84" s="637"/>
      <c r="JA84" s="637"/>
      <c r="JB84" s="637"/>
      <c r="JC84" s="637"/>
      <c r="JD84" s="637"/>
      <c r="JE84" s="637"/>
      <c r="JF84" s="637"/>
      <c r="JG84" s="637"/>
      <c r="JH84" s="637"/>
      <c r="JI84" s="637"/>
      <c r="JJ84" s="637"/>
      <c r="JK84" s="637"/>
      <c r="JL84" s="637"/>
      <c r="JM84" s="637"/>
      <c r="JN84" s="637"/>
      <c r="JO84" s="637"/>
      <c r="JP84" s="637"/>
      <c r="JQ84" s="637"/>
      <c r="JR84" s="637"/>
      <c r="JS84" s="637"/>
      <c r="JT84" s="637"/>
      <c r="JU84" s="637"/>
      <c r="JV84" s="637"/>
      <c r="JW84" s="637"/>
      <c r="JX84" s="637"/>
      <c r="JY84" s="637"/>
      <c r="JZ84" s="637"/>
      <c r="KA84" s="637"/>
      <c r="KB84" s="637"/>
      <c r="KC84" s="637"/>
      <c r="KD84" s="637"/>
      <c r="KE84" s="637"/>
      <c r="KF84" s="637"/>
      <c r="KG84" s="637"/>
      <c r="KH84" s="637"/>
      <c r="KI84" s="637"/>
      <c r="KJ84" s="637"/>
      <c r="KK84" s="637"/>
      <c r="KL84" s="637"/>
      <c r="KM84" s="637"/>
      <c r="KN84" s="637"/>
      <c r="KO84" s="637"/>
      <c r="KP84" s="637"/>
      <c r="KQ84" s="637"/>
      <c r="KR84" s="637"/>
      <c r="KS84" s="637"/>
      <c r="KT84" s="637"/>
      <c r="KU84" s="637"/>
      <c r="KV84" s="637"/>
      <c r="KW84" s="637"/>
      <c r="KX84" s="637"/>
      <c r="KY84" s="637"/>
      <c r="KZ84" s="637"/>
      <c r="LA84" s="637"/>
      <c r="LB84" s="637"/>
      <c r="LC84" s="637"/>
      <c r="LD84" s="637"/>
      <c r="LE84" s="637"/>
      <c r="LF84" s="637"/>
      <c r="LG84" s="637"/>
      <c r="LH84" s="637"/>
      <c r="LI84" s="637"/>
      <c r="LJ84" s="637"/>
      <c r="LK84" s="637"/>
      <c r="LL84" s="637"/>
      <c r="LM84" s="637"/>
      <c r="LN84" s="637"/>
      <c r="LO84" s="637"/>
      <c r="LP84" s="637"/>
      <c r="LQ84" s="637"/>
      <c r="LR84" s="637"/>
      <c r="LS84" s="637"/>
      <c r="LT84" s="637"/>
      <c r="LU84" s="637"/>
      <c r="LV84" s="637"/>
      <c r="LW84" s="637"/>
      <c r="LX84" s="637"/>
      <c r="LY84" s="637"/>
      <c r="LZ84" s="637"/>
      <c r="MA84" s="637"/>
      <c r="MB84" s="637"/>
      <c r="MC84" s="637"/>
      <c r="MD84" s="637"/>
      <c r="ME84" s="637"/>
      <c r="MF84" s="637"/>
      <c r="MG84" s="637"/>
      <c r="MH84" s="637"/>
      <c r="MI84" s="637"/>
      <c r="MJ84" s="637"/>
      <c r="MK84" s="637"/>
      <c r="ML84" s="637"/>
      <c r="MM84" s="637"/>
      <c r="MN84" s="637"/>
      <c r="MO84" s="637"/>
      <c r="MP84" s="637"/>
      <c r="MQ84" s="637"/>
      <c r="MR84" s="637"/>
      <c r="MS84" s="637"/>
      <c r="MT84" s="637"/>
      <c r="MU84" s="637"/>
      <c r="MV84" s="637"/>
      <c r="MW84" s="637"/>
      <c r="MX84" s="637"/>
      <c r="MY84" s="637"/>
      <c r="MZ84" s="637"/>
      <c r="NA84" s="637"/>
      <c r="NB84" s="637"/>
      <c r="NC84" s="637"/>
      <c r="ND84" s="637"/>
      <c r="NE84" s="637"/>
      <c r="NF84" s="637"/>
      <c r="NG84" s="637"/>
      <c r="NH84" s="637"/>
      <c r="NI84" s="637"/>
      <c r="NJ84" s="637"/>
      <c r="NK84" s="637"/>
      <c r="NL84" s="637"/>
      <c r="NM84" s="637"/>
      <c r="NN84" s="637"/>
      <c r="NO84" s="637"/>
      <c r="NP84" s="637"/>
      <c r="NQ84" s="637"/>
      <c r="NR84" s="637"/>
      <c r="NS84" s="637"/>
      <c r="NT84" s="637"/>
      <c r="NU84" s="637"/>
      <c r="NV84" s="637"/>
      <c r="NW84" s="637"/>
      <c r="NX84" s="637"/>
      <c r="NY84" s="637"/>
      <c r="NZ84" s="637"/>
      <c r="OA84" s="637"/>
      <c r="OB84" s="637"/>
      <c r="OC84" s="637"/>
      <c r="OD84" s="637"/>
      <c r="OE84" s="637"/>
      <c r="OF84" s="637"/>
      <c r="OG84" s="637"/>
      <c r="OH84" s="637"/>
      <c r="OI84" s="637"/>
      <c r="OJ84" s="637"/>
      <c r="OK84" s="637"/>
      <c r="OL84" s="637"/>
      <c r="OM84" s="637"/>
      <c r="ON84" s="637"/>
      <c r="OO84" s="637"/>
      <c r="OP84" s="637"/>
      <c r="OQ84" s="637"/>
      <c r="OR84" s="637"/>
      <c r="OS84" s="637"/>
      <c r="OT84" s="637"/>
      <c r="OU84" s="637"/>
      <c r="OV84" s="637"/>
      <c r="OW84" s="637"/>
      <c r="OX84" s="637"/>
      <c r="OY84" s="637"/>
      <c r="OZ84" s="637"/>
      <c r="PA84" s="637"/>
      <c r="PB84" s="637"/>
      <c r="PC84" s="637"/>
      <c r="PD84" s="637"/>
      <c r="PE84" s="637"/>
      <c r="PF84" s="637"/>
      <c r="PG84" s="637"/>
      <c r="PH84" s="637"/>
      <c r="PI84" s="637"/>
      <c r="PJ84" s="637"/>
      <c r="PK84" s="637"/>
      <c r="PL84" s="637"/>
      <c r="PM84" s="637"/>
      <c r="PN84" s="637"/>
      <c r="PO84" s="637"/>
      <c r="PP84" s="637"/>
      <c r="PQ84" s="637"/>
      <c r="PR84" s="637"/>
      <c r="PS84" s="637"/>
      <c r="PT84" s="637"/>
      <c r="PU84" s="637"/>
      <c r="PV84" s="637"/>
      <c r="PW84" s="637"/>
      <c r="PX84" s="637"/>
      <c r="PY84" s="637"/>
      <c r="PZ84" s="637"/>
      <c r="QA84" s="637"/>
      <c r="QB84" s="637"/>
      <c r="QC84" s="637"/>
      <c r="QD84" s="637"/>
      <c r="QE84" s="637"/>
      <c r="QF84" s="637"/>
      <c r="QG84" s="637"/>
      <c r="QH84" s="637"/>
      <c r="QI84" s="637"/>
      <c r="QJ84" s="637"/>
      <c r="QK84" s="637"/>
      <c r="QL84" s="637"/>
      <c r="QM84" s="637"/>
      <c r="QN84" s="637"/>
      <c r="QO84" s="637"/>
      <c r="QP84" s="637"/>
      <c r="QQ84" s="637"/>
      <c r="QR84" s="637"/>
      <c r="QS84" s="637"/>
      <c r="QT84" s="637"/>
      <c r="QU84" s="637"/>
      <c r="QV84" s="637"/>
      <c r="QW84" s="637"/>
      <c r="QX84" s="637"/>
      <c r="QY84" s="637"/>
      <c r="QZ84" s="637"/>
      <c r="RA84" s="637"/>
      <c r="RB84" s="637"/>
      <c r="RC84" s="637"/>
      <c r="RD84" s="637"/>
      <c r="RE84" s="637"/>
      <c r="RF84" s="637"/>
      <c r="RG84" s="637"/>
      <c r="RH84" s="637"/>
      <c r="RI84" s="637"/>
      <c r="RJ84" s="637"/>
      <c r="RK84" s="637"/>
      <c r="RL84" s="637"/>
      <c r="RM84" s="637"/>
      <c r="RN84" s="637"/>
      <c r="RO84" s="637"/>
      <c r="RP84" s="637"/>
      <c r="RQ84" s="637"/>
      <c r="RR84" s="637"/>
      <c r="RS84" s="637"/>
      <c r="RT84" s="637"/>
      <c r="RU84" s="637"/>
      <c r="RV84" s="637"/>
      <c r="RW84" s="637"/>
      <c r="RX84" s="637"/>
      <c r="RY84" s="637"/>
      <c r="RZ84" s="637"/>
      <c r="SA84" s="637"/>
      <c r="SB84" s="637"/>
      <c r="SC84" s="637"/>
      <c r="SD84" s="637"/>
      <c r="SE84" s="637"/>
      <c r="SF84" s="637"/>
      <c r="SG84" s="637"/>
      <c r="SH84" s="637"/>
      <c r="SI84" s="637"/>
      <c r="SJ84" s="637"/>
      <c r="SK84" s="637"/>
      <c r="SL84" s="637"/>
      <c r="SM84" s="637"/>
      <c r="SN84" s="637"/>
      <c r="SO84" s="637"/>
      <c r="SP84" s="637"/>
      <c r="SQ84" s="637"/>
      <c r="SR84" s="637"/>
      <c r="SS84" s="637"/>
      <c r="ST84" s="637"/>
      <c r="SU84" s="637"/>
      <c r="SV84" s="637"/>
      <c r="SW84" s="637"/>
      <c r="SX84" s="637"/>
      <c r="SY84" s="637"/>
      <c r="SZ84" s="637"/>
      <c r="TA84" s="637"/>
      <c r="TB84" s="637"/>
      <c r="TC84" s="637"/>
      <c r="TD84" s="637"/>
      <c r="TE84" s="637"/>
      <c r="TF84" s="637"/>
      <c r="TG84" s="637"/>
      <c r="TH84" s="637"/>
      <c r="TI84" s="637"/>
      <c r="TJ84" s="637"/>
      <c r="TK84" s="637"/>
      <c r="TL84" s="637"/>
      <c r="TM84" s="637"/>
      <c r="TN84" s="637"/>
      <c r="TO84" s="637"/>
      <c r="TP84" s="637"/>
      <c r="TQ84" s="637"/>
      <c r="TR84" s="637"/>
      <c r="TS84" s="637"/>
      <c r="TT84" s="637"/>
      <c r="TU84" s="637"/>
      <c r="TV84" s="637"/>
      <c r="TW84" s="637"/>
      <c r="TX84" s="637"/>
      <c r="TY84" s="637"/>
      <c r="TZ84" s="637"/>
      <c r="UA84" s="637"/>
      <c r="UB84" s="637"/>
      <c r="UC84" s="637"/>
      <c r="UD84" s="637"/>
      <c r="UE84" s="637"/>
      <c r="UF84" s="637"/>
      <c r="UG84" s="637"/>
      <c r="UH84" s="637"/>
      <c r="UI84" s="637"/>
      <c r="UJ84" s="637"/>
      <c r="UK84" s="637"/>
      <c r="UL84" s="637"/>
      <c r="UM84" s="637"/>
      <c r="UN84" s="637"/>
      <c r="UO84" s="637"/>
      <c r="UP84" s="637"/>
      <c r="UQ84" s="637"/>
      <c r="UR84" s="637"/>
      <c r="US84" s="637"/>
      <c r="UT84" s="637"/>
      <c r="UU84" s="637"/>
      <c r="UV84" s="637"/>
      <c r="UW84" s="637"/>
      <c r="UX84" s="637"/>
      <c r="UY84" s="637"/>
      <c r="UZ84" s="637"/>
      <c r="VA84" s="637"/>
      <c r="VB84" s="637"/>
      <c r="VC84" s="637"/>
      <c r="VD84" s="637"/>
      <c r="VE84" s="637"/>
      <c r="VF84" s="637"/>
      <c r="VG84" s="637"/>
      <c r="VH84" s="637"/>
      <c r="VI84" s="637"/>
      <c r="VJ84" s="637"/>
      <c r="VK84" s="637"/>
      <c r="VL84" s="637"/>
      <c r="VM84" s="637"/>
      <c r="VN84" s="637"/>
      <c r="VO84" s="637"/>
      <c r="VP84" s="637"/>
      <c r="VQ84" s="637"/>
      <c r="VR84" s="637"/>
      <c r="VS84" s="637"/>
      <c r="VT84" s="637"/>
      <c r="VU84" s="637"/>
      <c r="VV84" s="637"/>
      <c r="VW84" s="637"/>
      <c r="VX84" s="637"/>
      <c r="VY84" s="637"/>
      <c r="VZ84" s="637"/>
      <c r="WA84" s="637"/>
      <c r="WB84" s="637"/>
      <c r="WC84" s="637"/>
      <c r="WD84" s="637"/>
      <c r="WE84" s="637"/>
      <c r="WF84" s="637"/>
      <c r="WG84" s="637"/>
      <c r="WH84" s="637"/>
      <c r="WI84" s="637"/>
      <c r="WJ84" s="637"/>
      <c r="WK84" s="637"/>
      <c r="WL84" s="637"/>
      <c r="WM84" s="637"/>
      <c r="WN84" s="637"/>
      <c r="WO84" s="637"/>
      <c r="WP84" s="637"/>
      <c r="WQ84" s="637"/>
      <c r="WR84" s="637"/>
      <c r="WS84" s="637"/>
      <c r="WT84" s="637"/>
      <c r="WU84" s="637"/>
      <c r="WV84" s="637"/>
      <c r="WW84" s="637"/>
      <c r="WX84" s="637"/>
      <c r="WY84" s="637"/>
      <c r="WZ84" s="637"/>
      <c r="XA84" s="637"/>
      <c r="XB84" s="637"/>
      <c r="XC84" s="637"/>
      <c r="XD84" s="637"/>
      <c r="XE84" s="637"/>
      <c r="XF84" s="637"/>
      <c r="XG84" s="637"/>
      <c r="XH84" s="637"/>
      <c r="XI84" s="637"/>
      <c r="XJ84" s="637"/>
      <c r="XK84" s="637"/>
      <c r="XL84" s="637"/>
      <c r="XM84" s="637"/>
      <c r="XN84" s="637"/>
      <c r="XO84" s="637"/>
      <c r="XP84" s="637"/>
      <c r="XQ84" s="637"/>
      <c r="XR84" s="637"/>
      <c r="XS84" s="637"/>
      <c r="XT84" s="637"/>
      <c r="XU84" s="637"/>
      <c r="XV84" s="637"/>
      <c r="XW84" s="637"/>
      <c r="XX84" s="637"/>
      <c r="XY84" s="637"/>
      <c r="XZ84" s="637"/>
      <c r="YA84" s="637"/>
      <c r="YB84" s="637"/>
      <c r="YC84" s="637"/>
      <c r="YD84" s="637"/>
      <c r="YE84" s="637"/>
      <c r="YF84" s="637"/>
      <c r="YG84" s="637"/>
      <c r="YH84" s="637"/>
      <c r="YI84" s="637"/>
      <c r="YJ84" s="637"/>
      <c r="YK84" s="637"/>
      <c r="YL84" s="637"/>
      <c r="YM84" s="637"/>
      <c r="YN84" s="637"/>
      <c r="YO84" s="637"/>
      <c r="YP84" s="637"/>
      <c r="YQ84" s="637"/>
      <c r="YR84" s="637"/>
      <c r="YS84" s="637"/>
      <c r="YT84" s="637"/>
      <c r="YU84" s="637"/>
      <c r="YV84" s="637"/>
      <c r="YW84" s="637"/>
      <c r="YX84" s="637"/>
      <c r="YY84" s="637"/>
      <c r="YZ84" s="637"/>
      <c r="ZA84" s="637"/>
      <c r="ZB84" s="637"/>
      <c r="ZC84" s="637"/>
      <c r="ZD84" s="637"/>
      <c r="ZE84" s="637"/>
      <c r="ZF84" s="637"/>
      <c r="ZG84" s="637"/>
      <c r="ZH84" s="637"/>
      <c r="ZI84" s="637"/>
      <c r="ZJ84" s="637"/>
      <c r="ZK84" s="637"/>
      <c r="ZL84" s="637"/>
      <c r="ZM84" s="637"/>
      <c r="ZN84" s="637"/>
      <c r="ZO84" s="637"/>
      <c r="ZP84" s="637"/>
      <c r="ZQ84" s="637"/>
      <c r="ZR84" s="637"/>
      <c r="ZS84" s="637"/>
      <c r="ZT84" s="637"/>
      <c r="ZU84" s="637"/>
      <c r="ZV84" s="637"/>
      <c r="ZW84" s="637"/>
      <c r="ZX84" s="637"/>
      <c r="ZY84" s="637"/>
      <c r="ZZ84" s="637"/>
      <c r="AAA84" s="637"/>
      <c r="AAB84" s="637"/>
      <c r="AAC84" s="637"/>
      <c r="AAD84" s="637"/>
      <c r="AAE84" s="637"/>
      <c r="AAF84" s="637"/>
      <c r="AAG84" s="637"/>
      <c r="AAH84" s="637"/>
      <c r="AAI84" s="637"/>
      <c r="AAJ84" s="637"/>
      <c r="AAK84" s="637"/>
      <c r="AAL84" s="637"/>
      <c r="AAM84" s="637"/>
      <c r="AAN84" s="637"/>
      <c r="AAO84" s="637"/>
      <c r="AAP84" s="637"/>
      <c r="AAQ84" s="637"/>
      <c r="AAR84" s="637"/>
      <c r="AAS84" s="637"/>
      <c r="AAT84" s="637"/>
      <c r="AAU84" s="637"/>
      <c r="AAV84" s="637"/>
      <c r="AAW84" s="637"/>
      <c r="AAX84" s="637"/>
      <c r="AAY84" s="637"/>
      <c r="AAZ84" s="637"/>
      <c r="ABA84" s="637"/>
      <c r="ABB84" s="637"/>
      <c r="ABC84" s="637"/>
      <c r="ABD84" s="637"/>
      <c r="ABE84" s="637"/>
      <c r="ABF84" s="637"/>
      <c r="ABG84" s="637"/>
      <c r="ABH84" s="637"/>
      <c r="ABI84" s="637"/>
      <c r="ABJ84" s="637"/>
      <c r="ABK84" s="637"/>
      <c r="ABL84" s="637"/>
      <c r="ABM84" s="637"/>
      <c r="ABN84" s="637"/>
      <c r="ABO84" s="637"/>
      <c r="ABP84" s="637"/>
      <c r="ABQ84" s="637"/>
      <c r="ABR84" s="637"/>
      <c r="ABS84" s="637"/>
      <c r="ABT84" s="637"/>
      <c r="ABU84" s="637"/>
      <c r="ABV84" s="637"/>
      <c r="ABW84" s="637"/>
      <c r="ABX84" s="637"/>
      <c r="ABY84" s="637"/>
      <c r="ABZ84" s="637"/>
      <c r="ACA84" s="637"/>
      <c r="ACB84" s="637"/>
      <c r="ACC84" s="637"/>
      <c r="ACD84" s="637"/>
      <c r="ACE84" s="637"/>
      <c r="ACF84" s="637"/>
      <c r="ACG84" s="637"/>
      <c r="ACH84" s="637"/>
      <c r="ACI84" s="637"/>
      <c r="ACJ84" s="637"/>
      <c r="ACK84" s="637"/>
      <c r="ACL84" s="637"/>
      <c r="ACM84" s="637"/>
      <c r="ACN84" s="637"/>
      <c r="ACO84" s="637"/>
      <c r="ACP84" s="637"/>
      <c r="ACQ84" s="637"/>
      <c r="ACR84" s="637"/>
      <c r="ACS84" s="637"/>
      <c r="ACT84" s="637"/>
      <c r="ACU84" s="637"/>
      <c r="ACV84" s="637"/>
      <c r="ACW84" s="637"/>
      <c r="ACX84" s="637"/>
      <c r="ACY84" s="637"/>
      <c r="ACZ84" s="637"/>
      <c r="ADA84" s="637"/>
      <c r="ADB84" s="637"/>
      <c r="ADC84" s="637"/>
      <c r="ADD84" s="637"/>
      <c r="ADE84" s="637"/>
      <c r="ADF84" s="637"/>
      <c r="ADG84" s="637"/>
      <c r="ADH84" s="637"/>
      <c r="ADI84" s="637"/>
      <c r="ADJ84" s="637"/>
      <c r="ADK84" s="637"/>
      <c r="ADL84" s="637"/>
      <c r="ADM84" s="637"/>
      <c r="ADN84" s="637"/>
      <c r="ADO84" s="637"/>
      <c r="ADP84" s="637"/>
      <c r="ADQ84" s="637"/>
      <c r="ADR84" s="637"/>
      <c r="ADS84" s="637"/>
      <c r="ADT84" s="637"/>
      <c r="ADU84" s="637"/>
      <c r="ADV84" s="637"/>
      <c r="ADW84" s="637"/>
      <c r="ADX84" s="637"/>
      <c r="ADY84" s="637"/>
      <c r="ADZ84" s="637"/>
      <c r="AEA84" s="637"/>
      <c r="AEB84" s="637"/>
      <c r="AEC84" s="637"/>
      <c r="AED84" s="637"/>
      <c r="AEE84" s="637"/>
      <c r="AEF84" s="637"/>
      <c r="AEG84" s="637"/>
      <c r="AEH84" s="637"/>
      <c r="AEI84" s="637"/>
      <c r="AEJ84" s="637"/>
      <c r="AEK84" s="637"/>
      <c r="AEL84" s="637"/>
      <c r="AEM84" s="637"/>
      <c r="AEN84" s="637"/>
      <c r="AEO84" s="637"/>
      <c r="AEP84" s="637"/>
      <c r="AEQ84" s="637"/>
      <c r="AER84" s="637"/>
      <c r="AES84" s="637"/>
      <c r="AET84" s="637"/>
      <c r="AEU84" s="637"/>
      <c r="AEV84" s="637"/>
      <c r="AEW84" s="637"/>
      <c r="AEX84" s="637"/>
      <c r="AEY84" s="637"/>
      <c r="AEZ84" s="637"/>
      <c r="AFA84" s="637"/>
      <c r="AFB84" s="637"/>
      <c r="AFC84" s="637"/>
      <c r="AFD84" s="637"/>
      <c r="AFE84" s="637"/>
      <c r="AFF84" s="637"/>
      <c r="AFG84" s="637"/>
      <c r="AFH84" s="637"/>
      <c r="AFI84" s="637"/>
      <c r="AFJ84" s="637"/>
      <c r="AFK84" s="637"/>
      <c r="AFL84" s="637"/>
      <c r="AFM84" s="637"/>
      <c r="AFN84" s="637"/>
      <c r="AFO84" s="637"/>
      <c r="AFP84" s="637"/>
      <c r="AFQ84" s="637"/>
      <c r="AFR84" s="637"/>
      <c r="AFS84" s="637"/>
      <c r="AFT84" s="637"/>
      <c r="AFU84" s="637"/>
      <c r="AFV84" s="637"/>
      <c r="AFW84" s="637"/>
      <c r="AFX84" s="637"/>
      <c r="AFY84" s="637"/>
      <c r="AFZ84" s="637"/>
      <c r="AGA84" s="637"/>
      <c r="AGB84" s="637"/>
      <c r="AGC84" s="637"/>
      <c r="AGD84" s="637"/>
      <c r="AGE84" s="637"/>
      <c r="AGF84" s="637"/>
      <c r="AGG84" s="637"/>
      <c r="AGH84" s="637"/>
      <c r="AGI84" s="637"/>
      <c r="AGJ84" s="637"/>
      <c r="AGK84" s="637"/>
      <c r="AGL84" s="637"/>
      <c r="AGM84" s="637"/>
      <c r="AGN84" s="637"/>
      <c r="AGO84" s="637"/>
      <c r="AGP84" s="637"/>
      <c r="AGQ84" s="637"/>
      <c r="AGR84" s="637"/>
      <c r="AGS84" s="637"/>
      <c r="AGT84" s="637"/>
      <c r="AGU84" s="637"/>
      <c r="AGV84" s="637"/>
      <c r="AGW84" s="637"/>
      <c r="AGX84" s="637"/>
      <c r="AGY84" s="637"/>
      <c r="AGZ84" s="637"/>
      <c r="AHA84" s="637"/>
      <c r="AHB84" s="637"/>
      <c r="AHC84" s="637"/>
      <c r="AHD84" s="637"/>
      <c r="AHE84" s="637"/>
      <c r="AHF84" s="637"/>
      <c r="AHG84" s="637"/>
      <c r="AHH84" s="637"/>
      <c r="AHI84" s="637"/>
      <c r="AHJ84" s="637"/>
      <c r="AHK84" s="637"/>
      <c r="AHL84" s="637"/>
      <c r="AHM84" s="637"/>
      <c r="AHN84" s="637"/>
      <c r="AHO84" s="637"/>
      <c r="AHP84" s="637"/>
      <c r="AHQ84" s="637"/>
      <c r="AHR84" s="637"/>
      <c r="AHS84" s="637"/>
      <c r="AHT84" s="637"/>
      <c r="AHU84" s="637"/>
      <c r="AHV84" s="637"/>
      <c r="AHW84" s="637"/>
      <c r="AHX84" s="637"/>
      <c r="AHY84" s="637"/>
      <c r="AHZ84" s="637"/>
      <c r="AIA84" s="637"/>
      <c r="AIB84" s="637"/>
      <c r="AIC84" s="637"/>
      <c r="AID84" s="637"/>
      <c r="AIE84" s="637"/>
      <c r="AIF84" s="637"/>
      <c r="AIG84" s="637"/>
      <c r="AIH84" s="637"/>
      <c r="AII84" s="637"/>
      <c r="AIJ84" s="637"/>
      <c r="AIK84" s="637"/>
      <c r="AIL84" s="637"/>
      <c r="AIM84" s="637"/>
      <c r="AIN84" s="637"/>
      <c r="AIO84" s="637"/>
      <c r="AIP84" s="637"/>
      <c r="AIQ84" s="637"/>
      <c r="AIR84" s="637"/>
      <c r="AIS84" s="637"/>
      <c r="AIT84" s="637"/>
      <c r="AIU84" s="637"/>
      <c r="AIV84" s="637"/>
      <c r="AIW84" s="637"/>
      <c r="AIX84" s="637"/>
      <c r="AIY84" s="637"/>
      <c r="AIZ84" s="637"/>
      <c r="AJA84" s="637"/>
      <c r="AJB84" s="637"/>
      <c r="AJC84" s="637"/>
      <c r="AJD84" s="637"/>
      <c r="AJE84" s="637"/>
      <c r="AJF84" s="637"/>
      <c r="AJG84" s="637"/>
      <c r="AJH84" s="637"/>
      <c r="AJI84" s="637"/>
      <c r="AJJ84" s="637"/>
      <c r="AJK84" s="637"/>
      <c r="AJL84" s="637"/>
      <c r="AJM84" s="637"/>
      <c r="AJN84" s="637"/>
      <c r="AJO84" s="637"/>
      <c r="AJP84" s="637"/>
      <c r="AJQ84" s="637"/>
      <c r="AJR84" s="637"/>
      <c r="AJS84" s="637"/>
      <c r="AJT84" s="637"/>
      <c r="AJU84" s="637"/>
      <c r="AJV84" s="637"/>
      <c r="AJW84" s="637"/>
      <c r="AJX84" s="637"/>
      <c r="AJY84" s="637"/>
      <c r="AJZ84" s="637"/>
      <c r="AKA84" s="637"/>
      <c r="AKB84" s="637"/>
      <c r="AKC84" s="637"/>
      <c r="AKD84" s="637"/>
      <c r="AKE84" s="637"/>
      <c r="AKF84" s="637"/>
      <c r="AKG84" s="637"/>
      <c r="AKH84" s="637"/>
      <c r="AKI84" s="637"/>
      <c r="AKJ84" s="637"/>
      <c r="AKK84" s="637"/>
      <c r="AKL84" s="637"/>
      <c r="AKM84" s="637"/>
      <c r="AKN84" s="637"/>
      <c r="AKO84" s="637"/>
      <c r="AKP84" s="637"/>
      <c r="AKQ84" s="637"/>
      <c r="AKR84" s="637"/>
      <c r="AKS84" s="637"/>
      <c r="AKT84" s="637"/>
      <c r="AKU84" s="637"/>
      <c r="AKV84" s="637"/>
      <c r="AKW84" s="637"/>
      <c r="AKX84" s="637"/>
      <c r="AKY84" s="637"/>
      <c r="AKZ84" s="637"/>
      <c r="ALA84" s="637"/>
      <c r="ALB84" s="637"/>
      <c r="ALC84" s="637"/>
      <c r="ALD84" s="637"/>
      <c r="ALE84" s="637"/>
      <c r="ALF84" s="637"/>
      <c r="ALG84" s="637"/>
      <c r="ALH84" s="637"/>
      <c r="ALI84" s="637"/>
      <c r="ALJ84" s="637"/>
      <c r="ALK84" s="637"/>
      <c r="ALL84" s="637"/>
      <c r="ALM84" s="637"/>
      <c r="ALN84" s="637"/>
      <c r="ALO84" s="637"/>
      <c r="ALP84" s="637"/>
      <c r="ALQ84" s="637"/>
      <c r="ALR84" s="637"/>
      <c r="ALS84" s="637"/>
      <c r="ALT84" s="637"/>
      <c r="ALU84" s="637"/>
      <c r="ALV84" s="637"/>
      <c r="ALW84" s="637"/>
      <c r="ALX84" s="637"/>
      <c r="ALY84" s="637"/>
      <c r="ALZ84" s="637"/>
      <c r="AMA84" s="637"/>
      <c r="AMB84" s="637"/>
      <c r="AMC84" s="637"/>
      <c r="AMD84" s="637"/>
      <c r="AME84" s="637"/>
      <c r="AMF84" s="637"/>
      <c r="AMG84" s="637"/>
      <c r="AMH84" s="637"/>
      <c r="AMI84" s="637"/>
      <c r="AMJ84" s="637"/>
    </row>
    <row r="85" spans="1:1024" s="638" customFormat="1" ht="12.75">
      <c r="A85" s="1094" t="s">
        <v>155</v>
      </c>
      <c r="B85" s="1094"/>
      <c r="C85" s="1094"/>
      <c r="D85" s="981"/>
      <c r="E85" s="982"/>
      <c r="F85" s="982"/>
      <c r="G85" s="983"/>
      <c r="H85" s="983"/>
      <c r="I85" s="983"/>
      <c r="J85" s="983"/>
      <c r="K85" s="982"/>
      <c r="L85" s="982"/>
      <c r="M85" s="982"/>
      <c r="N85" s="983"/>
      <c r="O85" s="983"/>
      <c r="P85" s="983"/>
      <c r="Q85" s="983"/>
      <c r="R85" s="984"/>
      <c r="S85" s="637"/>
      <c r="T85" s="637"/>
      <c r="U85" s="637"/>
      <c r="V85" s="637"/>
      <c r="W85" s="637"/>
      <c r="X85" s="637"/>
      <c r="Y85" s="637"/>
      <c r="Z85" s="637"/>
      <c r="AA85" s="637"/>
      <c r="AB85" s="637"/>
      <c r="AC85" s="637"/>
      <c r="AD85" s="637"/>
      <c r="AE85" s="637"/>
      <c r="AF85" s="637"/>
      <c r="AG85" s="637"/>
      <c r="AH85" s="637"/>
      <c r="AI85" s="637"/>
      <c r="AJ85" s="637"/>
      <c r="AK85" s="637"/>
      <c r="AL85" s="637"/>
      <c r="AM85" s="637"/>
      <c r="AN85" s="637"/>
      <c r="AO85" s="637"/>
      <c r="AP85" s="637"/>
      <c r="AQ85" s="637"/>
      <c r="AR85" s="637"/>
      <c r="AS85" s="637"/>
      <c r="AT85" s="637"/>
      <c r="AU85" s="637"/>
      <c r="AV85" s="637"/>
      <c r="AW85" s="637"/>
      <c r="AX85" s="637"/>
      <c r="AY85" s="637"/>
      <c r="AZ85" s="637"/>
      <c r="BA85" s="637"/>
      <c r="BB85" s="637"/>
      <c r="BC85" s="637"/>
      <c r="BD85" s="637"/>
      <c r="BE85" s="637"/>
      <c r="BF85" s="637"/>
      <c r="BG85" s="637"/>
      <c r="BH85" s="637"/>
      <c r="BI85" s="637"/>
      <c r="BJ85" s="637"/>
      <c r="BK85" s="637"/>
      <c r="BL85" s="637"/>
      <c r="BM85" s="637"/>
      <c r="BN85" s="637"/>
      <c r="BO85" s="637"/>
      <c r="BP85" s="637"/>
      <c r="BQ85" s="637"/>
      <c r="BR85" s="637"/>
      <c r="BS85" s="637"/>
      <c r="BT85" s="637"/>
      <c r="BU85" s="637"/>
      <c r="BV85" s="637"/>
      <c r="BW85" s="637"/>
      <c r="BX85" s="637"/>
      <c r="BY85" s="637"/>
      <c r="BZ85" s="637"/>
      <c r="CA85" s="637"/>
      <c r="CB85" s="637"/>
      <c r="CC85" s="637"/>
      <c r="CD85" s="637"/>
      <c r="CE85" s="637"/>
      <c r="CF85" s="637"/>
      <c r="CG85" s="637"/>
      <c r="CH85" s="637"/>
      <c r="CI85" s="637"/>
      <c r="CJ85" s="637"/>
      <c r="CK85" s="637"/>
      <c r="CL85" s="637"/>
      <c r="CM85" s="637"/>
      <c r="CN85" s="637"/>
      <c r="CO85" s="637"/>
      <c r="CP85" s="637"/>
      <c r="CQ85" s="637"/>
      <c r="CR85" s="637"/>
      <c r="CS85" s="637"/>
      <c r="CT85" s="637"/>
      <c r="CU85" s="637"/>
      <c r="CV85" s="637"/>
      <c r="CW85" s="637"/>
      <c r="CX85" s="637"/>
      <c r="CY85" s="637"/>
      <c r="CZ85" s="637"/>
      <c r="DA85" s="637"/>
      <c r="DB85" s="637"/>
      <c r="DC85" s="637"/>
      <c r="DD85" s="637"/>
      <c r="DE85" s="637"/>
      <c r="DF85" s="637"/>
      <c r="DG85" s="637"/>
      <c r="DH85" s="637"/>
      <c r="DI85" s="637"/>
      <c r="DJ85" s="637"/>
      <c r="DK85" s="637"/>
      <c r="DL85" s="637"/>
      <c r="DM85" s="637"/>
      <c r="DN85" s="637"/>
      <c r="DO85" s="637"/>
      <c r="DP85" s="637"/>
      <c r="DQ85" s="637"/>
      <c r="DR85" s="637"/>
      <c r="DS85" s="637"/>
      <c r="DT85" s="637"/>
      <c r="DU85" s="637"/>
      <c r="DV85" s="637"/>
      <c r="DW85" s="637"/>
      <c r="DX85" s="637"/>
      <c r="DY85" s="637"/>
      <c r="DZ85" s="637"/>
      <c r="EA85" s="637"/>
      <c r="EB85" s="637"/>
      <c r="EC85" s="637"/>
      <c r="ED85" s="637"/>
      <c r="EE85" s="637"/>
      <c r="EF85" s="637"/>
      <c r="EG85" s="637"/>
      <c r="EH85" s="637"/>
      <c r="EI85" s="637"/>
      <c r="EJ85" s="637"/>
      <c r="EK85" s="637"/>
      <c r="EL85" s="637"/>
      <c r="EM85" s="637"/>
      <c r="EN85" s="637"/>
      <c r="EO85" s="637"/>
      <c r="EP85" s="637"/>
      <c r="EQ85" s="637"/>
      <c r="ER85" s="637"/>
      <c r="ES85" s="637"/>
      <c r="ET85" s="637"/>
      <c r="EU85" s="637"/>
      <c r="EV85" s="637"/>
      <c r="EW85" s="637"/>
      <c r="EX85" s="637"/>
      <c r="EY85" s="637"/>
      <c r="EZ85" s="637"/>
      <c r="FA85" s="637"/>
      <c r="FB85" s="637"/>
      <c r="FC85" s="637"/>
      <c r="FD85" s="637"/>
      <c r="FE85" s="637"/>
      <c r="FF85" s="637"/>
      <c r="FG85" s="637"/>
      <c r="FH85" s="637"/>
      <c r="FI85" s="637"/>
      <c r="FJ85" s="637"/>
      <c r="FK85" s="637"/>
      <c r="FL85" s="637"/>
      <c r="FM85" s="637"/>
      <c r="FN85" s="637"/>
      <c r="FO85" s="637"/>
      <c r="FP85" s="637"/>
      <c r="FQ85" s="637"/>
      <c r="FR85" s="637"/>
      <c r="FS85" s="637"/>
      <c r="FT85" s="637"/>
      <c r="FU85" s="637"/>
      <c r="FV85" s="637"/>
      <c r="FW85" s="637"/>
      <c r="FX85" s="637"/>
      <c r="FY85" s="637"/>
      <c r="FZ85" s="637"/>
      <c r="GA85" s="637"/>
      <c r="GB85" s="637"/>
      <c r="GC85" s="637"/>
      <c r="GD85" s="637"/>
      <c r="GE85" s="637"/>
      <c r="GF85" s="637"/>
      <c r="GG85" s="637"/>
      <c r="GH85" s="637"/>
      <c r="GI85" s="637"/>
      <c r="GJ85" s="637"/>
      <c r="GK85" s="637"/>
      <c r="GL85" s="637"/>
      <c r="GM85" s="637"/>
      <c r="GN85" s="637"/>
      <c r="GO85" s="637"/>
      <c r="GP85" s="637"/>
      <c r="GQ85" s="637"/>
      <c r="GR85" s="637"/>
      <c r="GS85" s="637"/>
      <c r="GT85" s="637"/>
      <c r="GU85" s="637"/>
      <c r="GV85" s="637"/>
      <c r="GW85" s="637"/>
      <c r="GX85" s="637"/>
      <c r="GY85" s="637"/>
      <c r="GZ85" s="637"/>
      <c r="HA85" s="637"/>
      <c r="HB85" s="637"/>
      <c r="HC85" s="637"/>
      <c r="HD85" s="637"/>
      <c r="HE85" s="637"/>
      <c r="HF85" s="637"/>
      <c r="HG85" s="637"/>
      <c r="HH85" s="637"/>
      <c r="HI85" s="637"/>
      <c r="HJ85" s="637"/>
      <c r="HK85" s="637"/>
      <c r="HL85" s="637"/>
      <c r="HM85" s="637"/>
      <c r="HN85" s="637"/>
      <c r="HO85" s="637"/>
      <c r="HP85" s="637"/>
      <c r="HQ85" s="637"/>
      <c r="HR85" s="637"/>
      <c r="HS85" s="637"/>
      <c r="HT85" s="637"/>
      <c r="HU85" s="637"/>
      <c r="HV85" s="637"/>
      <c r="HW85" s="637"/>
      <c r="HX85" s="637"/>
      <c r="HY85" s="637"/>
      <c r="HZ85" s="637"/>
      <c r="IA85" s="637"/>
      <c r="IB85" s="637"/>
      <c r="IC85" s="637"/>
      <c r="ID85" s="637"/>
      <c r="IE85" s="637"/>
      <c r="IF85" s="637"/>
      <c r="IG85" s="637"/>
      <c r="IH85" s="637"/>
      <c r="II85" s="637"/>
      <c r="IJ85" s="637"/>
      <c r="IK85" s="637"/>
      <c r="IL85" s="637"/>
      <c r="IM85" s="637"/>
      <c r="IN85" s="637"/>
      <c r="IO85" s="637"/>
      <c r="IP85" s="637"/>
      <c r="IQ85" s="637"/>
      <c r="IR85" s="637"/>
      <c r="IS85" s="637"/>
      <c r="IT85" s="637"/>
      <c r="IU85" s="637"/>
      <c r="IV85" s="637"/>
      <c r="IW85" s="637"/>
      <c r="IX85" s="637"/>
      <c r="IY85" s="637"/>
      <c r="IZ85" s="637"/>
      <c r="JA85" s="637"/>
      <c r="JB85" s="637"/>
      <c r="JC85" s="637"/>
      <c r="JD85" s="637"/>
      <c r="JE85" s="637"/>
      <c r="JF85" s="637"/>
      <c r="JG85" s="637"/>
      <c r="JH85" s="637"/>
      <c r="JI85" s="637"/>
      <c r="JJ85" s="637"/>
      <c r="JK85" s="637"/>
      <c r="JL85" s="637"/>
      <c r="JM85" s="637"/>
      <c r="JN85" s="637"/>
      <c r="JO85" s="637"/>
      <c r="JP85" s="637"/>
      <c r="JQ85" s="637"/>
      <c r="JR85" s="637"/>
      <c r="JS85" s="637"/>
      <c r="JT85" s="637"/>
      <c r="JU85" s="637"/>
      <c r="JV85" s="637"/>
      <c r="JW85" s="637"/>
      <c r="JX85" s="637"/>
      <c r="JY85" s="637"/>
      <c r="JZ85" s="637"/>
      <c r="KA85" s="637"/>
      <c r="KB85" s="637"/>
      <c r="KC85" s="637"/>
      <c r="KD85" s="637"/>
      <c r="KE85" s="637"/>
      <c r="KF85" s="637"/>
      <c r="KG85" s="637"/>
      <c r="KH85" s="637"/>
      <c r="KI85" s="637"/>
      <c r="KJ85" s="637"/>
      <c r="KK85" s="637"/>
      <c r="KL85" s="637"/>
      <c r="KM85" s="637"/>
      <c r="KN85" s="637"/>
      <c r="KO85" s="637"/>
      <c r="KP85" s="637"/>
      <c r="KQ85" s="637"/>
      <c r="KR85" s="637"/>
      <c r="KS85" s="637"/>
      <c r="KT85" s="637"/>
      <c r="KU85" s="637"/>
      <c r="KV85" s="637"/>
      <c r="KW85" s="637"/>
      <c r="KX85" s="637"/>
      <c r="KY85" s="637"/>
      <c r="KZ85" s="637"/>
      <c r="LA85" s="637"/>
      <c r="LB85" s="637"/>
      <c r="LC85" s="637"/>
      <c r="LD85" s="637"/>
      <c r="LE85" s="637"/>
      <c r="LF85" s="637"/>
      <c r="LG85" s="637"/>
      <c r="LH85" s="637"/>
      <c r="LI85" s="637"/>
      <c r="LJ85" s="637"/>
      <c r="LK85" s="637"/>
      <c r="LL85" s="637"/>
      <c r="LM85" s="637"/>
      <c r="LN85" s="637"/>
      <c r="LO85" s="637"/>
      <c r="LP85" s="637"/>
      <c r="LQ85" s="637"/>
      <c r="LR85" s="637"/>
      <c r="LS85" s="637"/>
      <c r="LT85" s="637"/>
      <c r="LU85" s="637"/>
      <c r="LV85" s="637"/>
      <c r="LW85" s="637"/>
      <c r="LX85" s="637"/>
      <c r="LY85" s="637"/>
      <c r="LZ85" s="637"/>
      <c r="MA85" s="637"/>
      <c r="MB85" s="637"/>
      <c r="MC85" s="637"/>
      <c r="MD85" s="637"/>
      <c r="ME85" s="637"/>
      <c r="MF85" s="637"/>
      <c r="MG85" s="637"/>
      <c r="MH85" s="637"/>
      <c r="MI85" s="637"/>
      <c r="MJ85" s="637"/>
      <c r="MK85" s="637"/>
      <c r="ML85" s="637"/>
      <c r="MM85" s="637"/>
      <c r="MN85" s="637"/>
      <c r="MO85" s="637"/>
      <c r="MP85" s="637"/>
      <c r="MQ85" s="637"/>
      <c r="MR85" s="637"/>
      <c r="MS85" s="637"/>
      <c r="MT85" s="637"/>
      <c r="MU85" s="637"/>
      <c r="MV85" s="637"/>
      <c r="MW85" s="637"/>
      <c r="MX85" s="637"/>
      <c r="MY85" s="637"/>
      <c r="MZ85" s="637"/>
      <c r="NA85" s="637"/>
      <c r="NB85" s="637"/>
      <c r="NC85" s="637"/>
      <c r="ND85" s="637"/>
      <c r="NE85" s="637"/>
      <c r="NF85" s="637"/>
      <c r="NG85" s="637"/>
      <c r="NH85" s="637"/>
      <c r="NI85" s="637"/>
      <c r="NJ85" s="637"/>
      <c r="NK85" s="637"/>
      <c r="NL85" s="637"/>
      <c r="NM85" s="637"/>
      <c r="NN85" s="637"/>
      <c r="NO85" s="637"/>
      <c r="NP85" s="637"/>
      <c r="NQ85" s="637"/>
      <c r="NR85" s="637"/>
      <c r="NS85" s="637"/>
      <c r="NT85" s="637"/>
      <c r="NU85" s="637"/>
      <c r="NV85" s="637"/>
      <c r="NW85" s="637"/>
      <c r="NX85" s="637"/>
      <c r="NY85" s="637"/>
      <c r="NZ85" s="637"/>
      <c r="OA85" s="637"/>
      <c r="OB85" s="637"/>
      <c r="OC85" s="637"/>
      <c r="OD85" s="637"/>
      <c r="OE85" s="637"/>
      <c r="OF85" s="637"/>
      <c r="OG85" s="637"/>
      <c r="OH85" s="637"/>
      <c r="OI85" s="637"/>
      <c r="OJ85" s="637"/>
      <c r="OK85" s="637"/>
      <c r="OL85" s="637"/>
      <c r="OM85" s="637"/>
      <c r="ON85" s="637"/>
      <c r="OO85" s="637"/>
      <c r="OP85" s="637"/>
      <c r="OQ85" s="637"/>
      <c r="OR85" s="637"/>
      <c r="OS85" s="637"/>
      <c r="OT85" s="637"/>
      <c r="OU85" s="637"/>
      <c r="OV85" s="637"/>
      <c r="OW85" s="637"/>
      <c r="OX85" s="637"/>
      <c r="OY85" s="637"/>
      <c r="OZ85" s="637"/>
      <c r="PA85" s="637"/>
      <c r="PB85" s="637"/>
      <c r="PC85" s="637"/>
      <c r="PD85" s="637"/>
      <c r="PE85" s="637"/>
      <c r="PF85" s="637"/>
      <c r="PG85" s="637"/>
      <c r="PH85" s="637"/>
      <c r="PI85" s="637"/>
      <c r="PJ85" s="637"/>
      <c r="PK85" s="637"/>
      <c r="PL85" s="637"/>
      <c r="PM85" s="637"/>
      <c r="PN85" s="637"/>
      <c r="PO85" s="637"/>
      <c r="PP85" s="637"/>
      <c r="PQ85" s="637"/>
      <c r="PR85" s="637"/>
      <c r="PS85" s="637"/>
      <c r="PT85" s="637"/>
      <c r="PU85" s="637"/>
      <c r="PV85" s="637"/>
      <c r="PW85" s="637"/>
      <c r="PX85" s="637"/>
      <c r="PY85" s="637"/>
      <c r="PZ85" s="637"/>
      <c r="QA85" s="637"/>
      <c r="QB85" s="637"/>
      <c r="QC85" s="637"/>
      <c r="QD85" s="637"/>
      <c r="QE85" s="637"/>
      <c r="QF85" s="637"/>
      <c r="QG85" s="637"/>
      <c r="QH85" s="637"/>
      <c r="QI85" s="637"/>
      <c r="QJ85" s="637"/>
      <c r="QK85" s="637"/>
      <c r="QL85" s="637"/>
      <c r="QM85" s="637"/>
      <c r="QN85" s="637"/>
      <c r="QO85" s="637"/>
      <c r="QP85" s="637"/>
      <c r="QQ85" s="637"/>
      <c r="QR85" s="637"/>
      <c r="QS85" s="637"/>
      <c r="QT85" s="637"/>
      <c r="QU85" s="637"/>
      <c r="QV85" s="637"/>
      <c r="QW85" s="637"/>
      <c r="QX85" s="637"/>
      <c r="QY85" s="637"/>
      <c r="QZ85" s="637"/>
      <c r="RA85" s="637"/>
      <c r="RB85" s="637"/>
      <c r="RC85" s="637"/>
      <c r="RD85" s="637"/>
      <c r="RE85" s="637"/>
      <c r="RF85" s="637"/>
      <c r="RG85" s="637"/>
      <c r="RH85" s="637"/>
      <c r="RI85" s="637"/>
      <c r="RJ85" s="637"/>
      <c r="RK85" s="637"/>
      <c r="RL85" s="637"/>
      <c r="RM85" s="637"/>
      <c r="RN85" s="637"/>
      <c r="RO85" s="637"/>
      <c r="RP85" s="637"/>
      <c r="RQ85" s="637"/>
      <c r="RR85" s="637"/>
      <c r="RS85" s="637"/>
      <c r="RT85" s="637"/>
      <c r="RU85" s="637"/>
      <c r="RV85" s="637"/>
      <c r="RW85" s="637"/>
      <c r="RX85" s="637"/>
      <c r="RY85" s="637"/>
      <c r="RZ85" s="637"/>
      <c r="SA85" s="637"/>
      <c r="SB85" s="637"/>
      <c r="SC85" s="637"/>
      <c r="SD85" s="637"/>
      <c r="SE85" s="637"/>
      <c r="SF85" s="637"/>
      <c r="SG85" s="637"/>
      <c r="SH85" s="637"/>
      <c r="SI85" s="637"/>
      <c r="SJ85" s="637"/>
      <c r="SK85" s="637"/>
      <c r="SL85" s="637"/>
      <c r="SM85" s="637"/>
      <c r="SN85" s="637"/>
      <c r="SO85" s="637"/>
      <c r="SP85" s="637"/>
      <c r="SQ85" s="637"/>
      <c r="SR85" s="637"/>
      <c r="SS85" s="637"/>
      <c r="ST85" s="637"/>
      <c r="SU85" s="637"/>
      <c r="SV85" s="637"/>
      <c r="SW85" s="637"/>
      <c r="SX85" s="637"/>
      <c r="SY85" s="637"/>
      <c r="SZ85" s="637"/>
      <c r="TA85" s="637"/>
      <c r="TB85" s="637"/>
      <c r="TC85" s="637"/>
      <c r="TD85" s="637"/>
      <c r="TE85" s="637"/>
      <c r="TF85" s="637"/>
      <c r="TG85" s="637"/>
      <c r="TH85" s="637"/>
      <c r="TI85" s="637"/>
      <c r="TJ85" s="637"/>
      <c r="TK85" s="637"/>
      <c r="TL85" s="637"/>
      <c r="TM85" s="637"/>
      <c r="TN85" s="637"/>
      <c r="TO85" s="637"/>
      <c r="TP85" s="637"/>
      <c r="TQ85" s="637"/>
      <c r="TR85" s="637"/>
      <c r="TS85" s="637"/>
      <c r="TT85" s="637"/>
      <c r="TU85" s="637"/>
      <c r="TV85" s="637"/>
      <c r="TW85" s="637"/>
      <c r="TX85" s="637"/>
      <c r="TY85" s="637"/>
      <c r="TZ85" s="637"/>
      <c r="UA85" s="637"/>
      <c r="UB85" s="637"/>
      <c r="UC85" s="637"/>
      <c r="UD85" s="637"/>
      <c r="UE85" s="637"/>
      <c r="UF85" s="637"/>
      <c r="UG85" s="637"/>
      <c r="UH85" s="637"/>
      <c r="UI85" s="637"/>
      <c r="UJ85" s="637"/>
      <c r="UK85" s="637"/>
      <c r="UL85" s="637"/>
      <c r="UM85" s="637"/>
      <c r="UN85" s="637"/>
      <c r="UO85" s="637"/>
      <c r="UP85" s="637"/>
      <c r="UQ85" s="637"/>
      <c r="UR85" s="637"/>
      <c r="US85" s="637"/>
      <c r="UT85" s="637"/>
      <c r="UU85" s="637"/>
      <c r="UV85" s="637"/>
      <c r="UW85" s="637"/>
      <c r="UX85" s="637"/>
      <c r="UY85" s="637"/>
      <c r="UZ85" s="637"/>
      <c r="VA85" s="637"/>
      <c r="VB85" s="637"/>
      <c r="VC85" s="637"/>
      <c r="VD85" s="637"/>
      <c r="VE85" s="637"/>
      <c r="VF85" s="637"/>
      <c r="VG85" s="637"/>
      <c r="VH85" s="637"/>
      <c r="VI85" s="637"/>
      <c r="VJ85" s="637"/>
      <c r="VK85" s="637"/>
      <c r="VL85" s="637"/>
      <c r="VM85" s="637"/>
      <c r="VN85" s="637"/>
      <c r="VO85" s="637"/>
      <c r="VP85" s="637"/>
      <c r="VQ85" s="637"/>
      <c r="VR85" s="637"/>
      <c r="VS85" s="637"/>
      <c r="VT85" s="637"/>
      <c r="VU85" s="637"/>
      <c r="VV85" s="637"/>
      <c r="VW85" s="637"/>
      <c r="VX85" s="637"/>
      <c r="VY85" s="637"/>
      <c r="VZ85" s="637"/>
      <c r="WA85" s="637"/>
      <c r="WB85" s="637"/>
      <c r="WC85" s="637"/>
      <c r="WD85" s="637"/>
      <c r="WE85" s="637"/>
      <c r="WF85" s="637"/>
      <c r="WG85" s="637"/>
      <c r="WH85" s="637"/>
      <c r="WI85" s="637"/>
      <c r="WJ85" s="637"/>
      <c r="WK85" s="637"/>
      <c r="WL85" s="637"/>
      <c r="WM85" s="637"/>
      <c r="WN85" s="637"/>
      <c r="WO85" s="637"/>
      <c r="WP85" s="637"/>
      <c r="WQ85" s="637"/>
      <c r="WR85" s="637"/>
      <c r="WS85" s="637"/>
      <c r="WT85" s="637"/>
      <c r="WU85" s="637"/>
      <c r="WV85" s="637"/>
      <c r="WW85" s="637"/>
      <c r="WX85" s="637"/>
      <c r="WY85" s="637"/>
      <c r="WZ85" s="637"/>
      <c r="XA85" s="637"/>
      <c r="XB85" s="637"/>
      <c r="XC85" s="637"/>
      <c r="XD85" s="637"/>
      <c r="XE85" s="637"/>
      <c r="XF85" s="637"/>
      <c r="XG85" s="637"/>
      <c r="XH85" s="637"/>
      <c r="XI85" s="637"/>
      <c r="XJ85" s="637"/>
      <c r="XK85" s="637"/>
      <c r="XL85" s="637"/>
      <c r="XM85" s="637"/>
      <c r="XN85" s="637"/>
      <c r="XO85" s="637"/>
      <c r="XP85" s="637"/>
      <c r="XQ85" s="637"/>
      <c r="XR85" s="637"/>
      <c r="XS85" s="637"/>
      <c r="XT85" s="637"/>
      <c r="XU85" s="637"/>
      <c r="XV85" s="637"/>
      <c r="XW85" s="637"/>
      <c r="XX85" s="637"/>
      <c r="XY85" s="637"/>
      <c r="XZ85" s="637"/>
      <c r="YA85" s="637"/>
      <c r="YB85" s="637"/>
      <c r="YC85" s="637"/>
      <c r="YD85" s="637"/>
      <c r="YE85" s="637"/>
      <c r="YF85" s="637"/>
      <c r="YG85" s="637"/>
      <c r="YH85" s="637"/>
      <c r="YI85" s="637"/>
      <c r="YJ85" s="637"/>
      <c r="YK85" s="637"/>
      <c r="YL85" s="637"/>
      <c r="YM85" s="637"/>
      <c r="YN85" s="637"/>
      <c r="YO85" s="637"/>
      <c r="YP85" s="637"/>
      <c r="YQ85" s="637"/>
      <c r="YR85" s="637"/>
      <c r="YS85" s="637"/>
      <c r="YT85" s="637"/>
      <c r="YU85" s="637"/>
      <c r="YV85" s="637"/>
      <c r="YW85" s="637"/>
      <c r="YX85" s="637"/>
      <c r="YY85" s="637"/>
      <c r="YZ85" s="637"/>
      <c r="ZA85" s="637"/>
      <c r="ZB85" s="637"/>
      <c r="ZC85" s="637"/>
      <c r="ZD85" s="637"/>
      <c r="ZE85" s="637"/>
      <c r="ZF85" s="637"/>
      <c r="ZG85" s="637"/>
      <c r="ZH85" s="637"/>
      <c r="ZI85" s="637"/>
      <c r="ZJ85" s="637"/>
      <c r="ZK85" s="637"/>
      <c r="ZL85" s="637"/>
      <c r="ZM85" s="637"/>
      <c r="ZN85" s="637"/>
      <c r="ZO85" s="637"/>
      <c r="ZP85" s="637"/>
      <c r="ZQ85" s="637"/>
      <c r="ZR85" s="637"/>
      <c r="ZS85" s="637"/>
      <c r="ZT85" s="637"/>
      <c r="ZU85" s="637"/>
      <c r="ZV85" s="637"/>
      <c r="ZW85" s="637"/>
      <c r="ZX85" s="637"/>
      <c r="ZY85" s="637"/>
      <c r="ZZ85" s="637"/>
      <c r="AAA85" s="637"/>
      <c r="AAB85" s="637"/>
      <c r="AAC85" s="637"/>
      <c r="AAD85" s="637"/>
      <c r="AAE85" s="637"/>
      <c r="AAF85" s="637"/>
      <c r="AAG85" s="637"/>
      <c r="AAH85" s="637"/>
      <c r="AAI85" s="637"/>
      <c r="AAJ85" s="637"/>
      <c r="AAK85" s="637"/>
      <c r="AAL85" s="637"/>
      <c r="AAM85" s="637"/>
      <c r="AAN85" s="637"/>
      <c r="AAO85" s="637"/>
      <c r="AAP85" s="637"/>
      <c r="AAQ85" s="637"/>
      <c r="AAR85" s="637"/>
      <c r="AAS85" s="637"/>
      <c r="AAT85" s="637"/>
      <c r="AAU85" s="637"/>
      <c r="AAV85" s="637"/>
      <c r="AAW85" s="637"/>
      <c r="AAX85" s="637"/>
      <c r="AAY85" s="637"/>
      <c r="AAZ85" s="637"/>
      <c r="ABA85" s="637"/>
      <c r="ABB85" s="637"/>
      <c r="ABC85" s="637"/>
      <c r="ABD85" s="637"/>
      <c r="ABE85" s="637"/>
      <c r="ABF85" s="637"/>
      <c r="ABG85" s="637"/>
      <c r="ABH85" s="637"/>
      <c r="ABI85" s="637"/>
      <c r="ABJ85" s="637"/>
      <c r="ABK85" s="637"/>
      <c r="ABL85" s="637"/>
      <c r="ABM85" s="637"/>
      <c r="ABN85" s="637"/>
      <c r="ABO85" s="637"/>
      <c r="ABP85" s="637"/>
      <c r="ABQ85" s="637"/>
      <c r="ABR85" s="637"/>
      <c r="ABS85" s="637"/>
      <c r="ABT85" s="637"/>
      <c r="ABU85" s="637"/>
      <c r="ABV85" s="637"/>
      <c r="ABW85" s="637"/>
      <c r="ABX85" s="637"/>
      <c r="ABY85" s="637"/>
      <c r="ABZ85" s="637"/>
      <c r="ACA85" s="637"/>
      <c r="ACB85" s="637"/>
      <c r="ACC85" s="637"/>
      <c r="ACD85" s="637"/>
      <c r="ACE85" s="637"/>
      <c r="ACF85" s="637"/>
      <c r="ACG85" s="637"/>
      <c r="ACH85" s="637"/>
      <c r="ACI85" s="637"/>
      <c r="ACJ85" s="637"/>
      <c r="ACK85" s="637"/>
      <c r="ACL85" s="637"/>
      <c r="ACM85" s="637"/>
      <c r="ACN85" s="637"/>
      <c r="ACO85" s="637"/>
      <c r="ACP85" s="637"/>
      <c r="ACQ85" s="637"/>
      <c r="ACR85" s="637"/>
      <c r="ACS85" s="637"/>
      <c r="ACT85" s="637"/>
      <c r="ACU85" s="637"/>
      <c r="ACV85" s="637"/>
      <c r="ACW85" s="637"/>
      <c r="ACX85" s="637"/>
      <c r="ACY85" s="637"/>
      <c r="ACZ85" s="637"/>
      <c r="ADA85" s="637"/>
      <c r="ADB85" s="637"/>
      <c r="ADC85" s="637"/>
      <c r="ADD85" s="637"/>
      <c r="ADE85" s="637"/>
      <c r="ADF85" s="637"/>
      <c r="ADG85" s="637"/>
      <c r="ADH85" s="637"/>
      <c r="ADI85" s="637"/>
      <c r="ADJ85" s="637"/>
      <c r="ADK85" s="637"/>
      <c r="ADL85" s="637"/>
      <c r="ADM85" s="637"/>
      <c r="ADN85" s="637"/>
      <c r="ADO85" s="637"/>
      <c r="ADP85" s="637"/>
      <c r="ADQ85" s="637"/>
      <c r="ADR85" s="637"/>
      <c r="ADS85" s="637"/>
      <c r="ADT85" s="637"/>
      <c r="ADU85" s="637"/>
      <c r="ADV85" s="637"/>
      <c r="ADW85" s="637"/>
      <c r="ADX85" s="637"/>
      <c r="ADY85" s="637"/>
      <c r="ADZ85" s="637"/>
      <c r="AEA85" s="637"/>
      <c r="AEB85" s="637"/>
      <c r="AEC85" s="637"/>
      <c r="AED85" s="637"/>
      <c r="AEE85" s="637"/>
      <c r="AEF85" s="637"/>
      <c r="AEG85" s="637"/>
      <c r="AEH85" s="637"/>
      <c r="AEI85" s="637"/>
      <c r="AEJ85" s="637"/>
      <c r="AEK85" s="637"/>
      <c r="AEL85" s="637"/>
      <c r="AEM85" s="637"/>
      <c r="AEN85" s="637"/>
      <c r="AEO85" s="637"/>
      <c r="AEP85" s="637"/>
      <c r="AEQ85" s="637"/>
      <c r="AER85" s="637"/>
      <c r="AES85" s="637"/>
      <c r="AET85" s="637"/>
      <c r="AEU85" s="637"/>
      <c r="AEV85" s="637"/>
      <c r="AEW85" s="637"/>
      <c r="AEX85" s="637"/>
      <c r="AEY85" s="637"/>
      <c r="AEZ85" s="637"/>
      <c r="AFA85" s="637"/>
      <c r="AFB85" s="637"/>
      <c r="AFC85" s="637"/>
      <c r="AFD85" s="637"/>
      <c r="AFE85" s="637"/>
      <c r="AFF85" s="637"/>
      <c r="AFG85" s="637"/>
      <c r="AFH85" s="637"/>
      <c r="AFI85" s="637"/>
      <c r="AFJ85" s="637"/>
      <c r="AFK85" s="637"/>
      <c r="AFL85" s="637"/>
      <c r="AFM85" s="637"/>
      <c r="AFN85" s="637"/>
      <c r="AFO85" s="637"/>
      <c r="AFP85" s="637"/>
      <c r="AFQ85" s="637"/>
      <c r="AFR85" s="637"/>
      <c r="AFS85" s="637"/>
      <c r="AFT85" s="637"/>
      <c r="AFU85" s="637"/>
      <c r="AFV85" s="637"/>
      <c r="AFW85" s="637"/>
      <c r="AFX85" s="637"/>
      <c r="AFY85" s="637"/>
      <c r="AFZ85" s="637"/>
      <c r="AGA85" s="637"/>
      <c r="AGB85" s="637"/>
      <c r="AGC85" s="637"/>
      <c r="AGD85" s="637"/>
      <c r="AGE85" s="637"/>
      <c r="AGF85" s="637"/>
      <c r="AGG85" s="637"/>
      <c r="AGH85" s="637"/>
      <c r="AGI85" s="637"/>
      <c r="AGJ85" s="637"/>
      <c r="AGK85" s="637"/>
      <c r="AGL85" s="637"/>
      <c r="AGM85" s="637"/>
      <c r="AGN85" s="637"/>
      <c r="AGO85" s="637"/>
      <c r="AGP85" s="637"/>
      <c r="AGQ85" s="637"/>
      <c r="AGR85" s="637"/>
      <c r="AGS85" s="637"/>
      <c r="AGT85" s="637"/>
      <c r="AGU85" s="637"/>
      <c r="AGV85" s="637"/>
      <c r="AGW85" s="637"/>
      <c r="AGX85" s="637"/>
      <c r="AGY85" s="637"/>
      <c r="AGZ85" s="637"/>
      <c r="AHA85" s="637"/>
      <c r="AHB85" s="637"/>
      <c r="AHC85" s="637"/>
      <c r="AHD85" s="637"/>
      <c r="AHE85" s="637"/>
      <c r="AHF85" s="637"/>
      <c r="AHG85" s="637"/>
      <c r="AHH85" s="637"/>
      <c r="AHI85" s="637"/>
      <c r="AHJ85" s="637"/>
      <c r="AHK85" s="637"/>
      <c r="AHL85" s="637"/>
      <c r="AHM85" s="637"/>
      <c r="AHN85" s="637"/>
      <c r="AHO85" s="637"/>
      <c r="AHP85" s="637"/>
      <c r="AHQ85" s="637"/>
      <c r="AHR85" s="637"/>
      <c r="AHS85" s="637"/>
      <c r="AHT85" s="637"/>
      <c r="AHU85" s="637"/>
      <c r="AHV85" s="637"/>
      <c r="AHW85" s="637"/>
      <c r="AHX85" s="637"/>
      <c r="AHY85" s="637"/>
      <c r="AHZ85" s="637"/>
      <c r="AIA85" s="637"/>
      <c r="AIB85" s="637"/>
      <c r="AIC85" s="637"/>
      <c r="AID85" s="637"/>
      <c r="AIE85" s="637"/>
      <c r="AIF85" s="637"/>
      <c r="AIG85" s="637"/>
      <c r="AIH85" s="637"/>
      <c r="AII85" s="637"/>
      <c r="AIJ85" s="637"/>
      <c r="AIK85" s="637"/>
      <c r="AIL85" s="637"/>
      <c r="AIM85" s="637"/>
      <c r="AIN85" s="637"/>
      <c r="AIO85" s="637"/>
      <c r="AIP85" s="637"/>
      <c r="AIQ85" s="637"/>
      <c r="AIR85" s="637"/>
      <c r="AIS85" s="637"/>
      <c r="AIT85" s="637"/>
      <c r="AIU85" s="637"/>
      <c r="AIV85" s="637"/>
      <c r="AIW85" s="637"/>
      <c r="AIX85" s="637"/>
      <c r="AIY85" s="637"/>
      <c r="AIZ85" s="637"/>
      <c r="AJA85" s="637"/>
      <c r="AJB85" s="637"/>
      <c r="AJC85" s="637"/>
      <c r="AJD85" s="637"/>
      <c r="AJE85" s="637"/>
      <c r="AJF85" s="637"/>
      <c r="AJG85" s="637"/>
      <c r="AJH85" s="637"/>
      <c r="AJI85" s="637"/>
      <c r="AJJ85" s="637"/>
      <c r="AJK85" s="637"/>
      <c r="AJL85" s="637"/>
      <c r="AJM85" s="637"/>
      <c r="AJN85" s="637"/>
      <c r="AJO85" s="637"/>
      <c r="AJP85" s="637"/>
      <c r="AJQ85" s="637"/>
      <c r="AJR85" s="637"/>
      <c r="AJS85" s="637"/>
      <c r="AJT85" s="637"/>
      <c r="AJU85" s="637"/>
      <c r="AJV85" s="637"/>
      <c r="AJW85" s="637"/>
      <c r="AJX85" s="637"/>
      <c r="AJY85" s="637"/>
      <c r="AJZ85" s="637"/>
      <c r="AKA85" s="637"/>
      <c r="AKB85" s="637"/>
      <c r="AKC85" s="637"/>
      <c r="AKD85" s="637"/>
      <c r="AKE85" s="637"/>
      <c r="AKF85" s="637"/>
      <c r="AKG85" s="637"/>
      <c r="AKH85" s="637"/>
      <c r="AKI85" s="637"/>
      <c r="AKJ85" s="637"/>
      <c r="AKK85" s="637"/>
      <c r="AKL85" s="637"/>
      <c r="AKM85" s="637"/>
      <c r="AKN85" s="637"/>
      <c r="AKO85" s="637"/>
      <c r="AKP85" s="637"/>
      <c r="AKQ85" s="637"/>
      <c r="AKR85" s="637"/>
      <c r="AKS85" s="637"/>
      <c r="AKT85" s="637"/>
      <c r="AKU85" s="637"/>
      <c r="AKV85" s="637"/>
      <c r="AKW85" s="637"/>
      <c r="AKX85" s="637"/>
      <c r="AKY85" s="637"/>
      <c r="AKZ85" s="637"/>
      <c r="ALA85" s="637"/>
      <c r="ALB85" s="637"/>
      <c r="ALC85" s="637"/>
      <c r="ALD85" s="637"/>
      <c r="ALE85" s="637"/>
      <c r="ALF85" s="637"/>
      <c r="ALG85" s="637"/>
      <c r="ALH85" s="637"/>
      <c r="ALI85" s="637"/>
      <c r="ALJ85" s="637"/>
      <c r="ALK85" s="637"/>
      <c r="ALL85" s="637"/>
      <c r="ALM85" s="637"/>
      <c r="ALN85" s="637"/>
      <c r="ALO85" s="637"/>
      <c r="ALP85" s="637"/>
      <c r="ALQ85" s="637"/>
      <c r="ALR85" s="637"/>
      <c r="ALS85" s="637"/>
      <c r="ALT85" s="637"/>
      <c r="ALU85" s="637"/>
      <c r="ALV85" s="637"/>
      <c r="ALW85" s="637"/>
      <c r="ALX85" s="637"/>
      <c r="ALY85" s="637"/>
      <c r="ALZ85" s="637"/>
      <c r="AMA85" s="637"/>
      <c r="AMB85" s="637"/>
      <c r="AMC85" s="637"/>
      <c r="AMD85" s="637"/>
      <c r="AME85" s="637"/>
      <c r="AMF85" s="637"/>
      <c r="AMG85" s="637"/>
      <c r="AMH85" s="637"/>
      <c r="AMI85" s="637"/>
      <c r="AMJ85" s="637"/>
    </row>
    <row r="86" spans="1:1024" s="638" customFormat="1" ht="46.5">
      <c r="A86" s="984" t="s">
        <v>120</v>
      </c>
      <c r="B86" s="985" t="s">
        <v>131</v>
      </c>
      <c r="C86" s="986" t="s">
        <v>132</v>
      </c>
      <c r="D86" s="981" t="s">
        <v>4</v>
      </c>
      <c r="E86" s="982">
        <v>6163</v>
      </c>
      <c r="F86" s="982">
        <f aca="true" t="shared" si="10" ref="F86:F99">SUM(G86:R86)</f>
        <v>28363</v>
      </c>
      <c r="G86" s="983">
        <v>18619</v>
      </c>
      <c r="H86" s="983">
        <v>5632</v>
      </c>
      <c r="I86" s="983">
        <v>3512</v>
      </c>
      <c r="J86" s="983"/>
      <c r="K86" s="983"/>
      <c r="L86" s="983"/>
      <c r="M86" s="983"/>
      <c r="N86" s="983">
        <v>600</v>
      </c>
      <c r="O86" s="983"/>
      <c r="P86" s="983"/>
      <c r="Q86" s="983"/>
      <c r="R86" s="984"/>
      <c r="S86" s="637"/>
      <c r="T86" s="637"/>
      <c r="U86" s="637"/>
      <c r="V86" s="637"/>
      <c r="W86" s="637"/>
      <c r="X86" s="637"/>
      <c r="Y86" s="637"/>
      <c r="Z86" s="637"/>
      <c r="AA86" s="637"/>
      <c r="AB86" s="637"/>
      <c r="AC86" s="637"/>
      <c r="AD86" s="637"/>
      <c r="AE86" s="637"/>
      <c r="AF86" s="637"/>
      <c r="AG86" s="637"/>
      <c r="AH86" s="637"/>
      <c r="AI86" s="637"/>
      <c r="AJ86" s="637"/>
      <c r="AK86" s="637"/>
      <c r="AL86" s="637"/>
      <c r="AM86" s="637"/>
      <c r="AN86" s="637"/>
      <c r="AO86" s="637"/>
      <c r="AP86" s="637"/>
      <c r="AQ86" s="637"/>
      <c r="AR86" s="637"/>
      <c r="AS86" s="637"/>
      <c r="AT86" s="637"/>
      <c r="AU86" s="637"/>
      <c r="AV86" s="637"/>
      <c r="AW86" s="637"/>
      <c r="AX86" s="637"/>
      <c r="AY86" s="637"/>
      <c r="AZ86" s="637"/>
      <c r="BA86" s="637"/>
      <c r="BB86" s="637"/>
      <c r="BC86" s="637"/>
      <c r="BD86" s="637"/>
      <c r="BE86" s="637"/>
      <c r="BF86" s="637"/>
      <c r="BG86" s="637"/>
      <c r="BH86" s="637"/>
      <c r="BI86" s="637"/>
      <c r="BJ86" s="637"/>
      <c r="BK86" s="637"/>
      <c r="BL86" s="637"/>
      <c r="BM86" s="637"/>
      <c r="BN86" s="637"/>
      <c r="BO86" s="637"/>
      <c r="BP86" s="637"/>
      <c r="BQ86" s="637"/>
      <c r="BR86" s="637"/>
      <c r="BS86" s="637"/>
      <c r="BT86" s="637"/>
      <c r="BU86" s="637"/>
      <c r="BV86" s="637"/>
      <c r="BW86" s="637"/>
      <c r="BX86" s="637"/>
      <c r="BY86" s="637"/>
      <c r="BZ86" s="637"/>
      <c r="CA86" s="637"/>
      <c r="CB86" s="637"/>
      <c r="CC86" s="637"/>
      <c r="CD86" s="637"/>
      <c r="CE86" s="637"/>
      <c r="CF86" s="637"/>
      <c r="CG86" s="637"/>
      <c r="CH86" s="637"/>
      <c r="CI86" s="637"/>
      <c r="CJ86" s="637"/>
      <c r="CK86" s="637"/>
      <c r="CL86" s="637"/>
      <c r="CM86" s="637"/>
      <c r="CN86" s="637"/>
      <c r="CO86" s="637"/>
      <c r="CP86" s="637"/>
      <c r="CQ86" s="637"/>
      <c r="CR86" s="637"/>
      <c r="CS86" s="637"/>
      <c r="CT86" s="637"/>
      <c r="CU86" s="637"/>
      <c r="CV86" s="637"/>
      <c r="CW86" s="637"/>
      <c r="CX86" s="637"/>
      <c r="CY86" s="637"/>
      <c r="CZ86" s="637"/>
      <c r="DA86" s="637"/>
      <c r="DB86" s="637"/>
      <c r="DC86" s="637"/>
      <c r="DD86" s="637"/>
      <c r="DE86" s="637"/>
      <c r="DF86" s="637"/>
      <c r="DG86" s="637"/>
      <c r="DH86" s="637"/>
      <c r="DI86" s="637"/>
      <c r="DJ86" s="637"/>
      <c r="DK86" s="637"/>
      <c r="DL86" s="637"/>
      <c r="DM86" s="637"/>
      <c r="DN86" s="637"/>
      <c r="DO86" s="637"/>
      <c r="DP86" s="637"/>
      <c r="DQ86" s="637"/>
      <c r="DR86" s="637"/>
      <c r="DS86" s="637"/>
      <c r="DT86" s="637"/>
      <c r="DU86" s="637"/>
      <c r="DV86" s="637"/>
      <c r="DW86" s="637"/>
      <c r="DX86" s="637"/>
      <c r="DY86" s="637"/>
      <c r="DZ86" s="637"/>
      <c r="EA86" s="637"/>
      <c r="EB86" s="637"/>
      <c r="EC86" s="637"/>
      <c r="ED86" s="637"/>
      <c r="EE86" s="637"/>
      <c r="EF86" s="637"/>
      <c r="EG86" s="637"/>
      <c r="EH86" s="637"/>
      <c r="EI86" s="637"/>
      <c r="EJ86" s="637"/>
      <c r="EK86" s="637"/>
      <c r="EL86" s="637"/>
      <c r="EM86" s="637"/>
      <c r="EN86" s="637"/>
      <c r="EO86" s="637"/>
      <c r="EP86" s="637"/>
      <c r="EQ86" s="637"/>
      <c r="ER86" s="637"/>
      <c r="ES86" s="637"/>
      <c r="ET86" s="637"/>
      <c r="EU86" s="637"/>
      <c r="EV86" s="637"/>
      <c r="EW86" s="637"/>
      <c r="EX86" s="637"/>
      <c r="EY86" s="637"/>
      <c r="EZ86" s="637"/>
      <c r="FA86" s="637"/>
      <c r="FB86" s="637"/>
      <c r="FC86" s="637"/>
      <c r="FD86" s="637"/>
      <c r="FE86" s="637"/>
      <c r="FF86" s="637"/>
      <c r="FG86" s="637"/>
      <c r="FH86" s="637"/>
      <c r="FI86" s="637"/>
      <c r="FJ86" s="637"/>
      <c r="FK86" s="637"/>
      <c r="FL86" s="637"/>
      <c r="FM86" s="637"/>
      <c r="FN86" s="637"/>
      <c r="FO86" s="637"/>
      <c r="FP86" s="637"/>
      <c r="FQ86" s="637"/>
      <c r="FR86" s="637"/>
      <c r="FS86" s="637"/>
      <c r="FT86" s="637"/>
      <c r="FU86" s="637"/>
      <c r="FV86" s="637"/>
      <c r="FW86" s="637"/>
      <c r="FX86" s="637"/>
      <c r="FY86" s="637"/>
      <c r="FZ86" s="637"/>
      <c r="GA86" s="637"/>
      <c r="GB86" s="637"/>
      <c r="GC86" s="637"/>
      <c r="GD86" s="637"/>
      <c r="GE86" s="637"/>
      <c r="GF86" s="637"/>
      <c r="GG86" s="637"/>
      <c r="GH86" s="637"/>
      <c r="GI86" s="637"/>
      <c r="GJ86" s="637"/>
      <c r="GK86" s="637"/>
      <c r="GL86" s="637"/>
      <c r="GM86" s="637"/>
      <c r="GN86" s="637"/>
      <c r="GO86" s="637"/>
      <c r="GP86" s="637"/>
      <c r="GQ86" s="637"/>
      <c r="GR86" s="637"/>
      <c r="GS86" s="637"/>
      <c r="GT86" s="637"/>
      <c r="GU86" s="637"/>
      <c r="GV86" s="637"/>
      <c r="GW86" s="637"/>
      <c r="GX86" s="637"/>
      <c r="GY86" s="637"/>
      <c r="GZ86" s="637"/>
      <c r="HA86" s="637"/>
      <c r="HB86" s="637"/>
      <c r="HC86" s="637"/>
      <c r="HD86" s="637"/>
      <c r="HE86" s="637"/>
      <c r="HF86" s="637"/>
      <c r="HG86" s="637"/>
      <c r="HH86" s="637"/>
      <c r="HI86" s="637"/>
      <c r="HJ86" s="637"/>
      <c r="HK86" s="637"/>
      <c r="HL86" s="637"/>
      <c r="HM86" s="637"/>
      <c r="HN86" s="637"/>
      <c r="HO86" s="637"/>
      <c r="HP86" s="637"/>
      <c r="HQ86" s="637"/>
      <c r="HR86" s="637"/>
      <c r="HS86" s="637"/>
      <c r="HT86" s="637"/>
      <c r="HU86" s="637"/>
      <c r="HV86" s="637"/>
      <c r="HW86" s="637"/>
      <c r="HX86" s="637"/>
      <c r="HY86" s="637"/>
      <c r="HZ86" s="637"/>
      <c r="IA86" s="637"/>
      <c r="IB86" s="637"/>
      <c r="IC86" s="637"/>
      <c r="ID86" s="637"/>
      <c r="IE86" s="637"/>
      <c r="IF86" s="637"/>
      <c r="IG86" s="637"/>
      <c r="IH86" s="637"/>
      <c r="II86" s="637"/>
      <c r="IJ86" s="637"/>
      <c r="IK86" s="637"/>
      <c r="IL86" s="637"/>
      <c r="IM86" s="637"/>
      <c r="IN86" s="637"/>
      <c r="IO86" s="637"/>
      <c r="IP86" s="637"/>
      <c r="IQ86" s="637"/>
      <c r="IR86" s="637"/>
      <c r="IS86" s="637"/>
      <c r="IT86" s="637"/>
      <c r="IU86" s="637"/>
      <c r="IV86" s="637"/>
      <c r="IW86" s="637"/>
      <c r="IX86" s="637"/>
      <c r="IY86" s="637"/>
      <c r="IZ86" s="637"/>
      <c r="JA86" s="637"/>
      <c r="JB86" s="637"/>
      <c r="JC86" s="637"/>
      <c r="JD86" s="637"/>
      <c r="JE86" s="637"/>
      <c r="JF86" s="637"/>
      <c r="JG86" s="637"/>
      <c r="JH86" s="637"/>
      <c r="JI86" s="637"/>
      <c r="JJ86" s="637"/>
      <c r="JK86" s="637"/>
      <c r="JL86" s="637"/>
      <c r="JM86" s="637"/>
      <c r="JN86" s="637"/>
      <c r="JO86" s="637"/>
      <c r="JP86" s="637"/>
      <c r="JQ86" s="637"/>
      <c r="JR86" s="637"/>
      <c r="JS86" s="637"/>
      <c r="JT86" s="637"/>
      <c r="JU86" s="637"/>
      <c r="JV86" s="637"/>
      <c r="JW86" s="637"/>
      <c r="JX86" s="637"/>
      <c r="JY86" s="637"/>
      <c r="JZ86" s="637"/>
      <c r="KA86" s="637"/>
      <c r="KB86" s="637"/>
      <c r="KC86" s="637"/>
      <c r="KD86" s="637"/>
      <c r="KE86" s="637"/>
      <c r="KF86" s="637"/>
      <c r="KG86" s="637"/>
      <c r="KH86" s="637"/>
      <c r="KI86" s="637"/>
      <c r="KJ86" s="637"/>
      <c r="KK86" s="637"/>
      <c r="KL86" s="637"/>
      <c r="KM86" s="637"/>
      <c r="KN86" s="637"/>
      <c r="KO86" s="637"/>
      <c r="KP86" s="637"/>
      <c r="KQ86" s="637"/>
      <c r="KR86" s="637"/>
      <c r="KS86" s="637"/>
      <c r="KT86" s="637"/>
      <c r="KU86" s="637"/>
      <c r="KV86" s="637"/>
      <c r="KW86" s="637"/>
      <c r="KX86" s="637"/>
      <c r="KY86" s="637"/>
      <c r="KZ86" s="637"/>
      <c r="LA86" s="637"/>
      <c r="LB86" s="637"/>
      <c r="LC86" s="637"/>
      <c r="LD86" s="637"/>
      <c r="LE86" s="637"/>
      <c r="LF86" s="637"/>
      <c r="LG86" s="637"/>
      <c r="LH86" s="637"/>
      <c r="LI86" s="637"/>
      <c r="LJ86" s="637"/>
      <c r="LK86" s="637"/>
      <c r="LL86" s="637"/>
      <c r="LM86" s="637"/>
      <c r="LN86" s="637"/>
      <c r="LO86" s="637"/>
      <c r="LP86" s="637"/>
      <c r="LQ86" s="637"/>
      <c r="LR86" s="637"/>
      <c r="LS86" s="637"/>
      <c r="LT86" s="637"/>
      <c r="LU86" s="637"/>
      <c r="LV86" s="637"/>
      <c r="LW86" s="637"/>
      <c r="LX86" s="637"/>
      <c r="LY86" s="637"/>
      <c r="LZ86" s="637"/>
      <c r="MA86" s="637"/>
      <c r="MB86" s="637"/>
      <c r="MC86" s="637"/>
      <c r="MD86" s="637"/>
      <c r="ME86" s="637"/>
      <c r="MF86" s="637"/>
      <c r="MG86" s="637"/>
      <c r="MH86" s="637"/>
      <c r="MI86" s="637"/>
      <c r="MJ86" s="637"/>
      <c r="MK86" s="637"/>
      <c r="ML86" s="637"/>
      <c r="MM86" s="637"/>
      <c r="MN86" s="637"/>
      <c r="MO86" s="637"/>
      <c r="MP86" s="637"/>
      <c r="MQ86" s="637"/>
      <c r="MR86" s="637"/>
      <c r="MS86" s="637"/>
      <c r="MT86" s="637"/>
      <c r="MU86" s="637"/>
      <c r="MV86" s="637"/>
      <c r="MW86" s="637"/>
      <c r="MX86" s="637"/>
      <c r="MY86" s="637"/>
      <c r="MZ86" s="637"/>
      <c r="NA86" s="637"/>
      <c r="NB86" s="637"/>
      <c r="NC86" s="637"/>
      <c r="ND86" s="637"/>
      <c r="NE86" s="637"/>
      <c r="NF86" s="637"/>
      <c r="NG86" s="637"/>
      <c r="NH86" s="637"/>
      <c r="NI86" s="637"/>
      <c r="NJ86" s="637"/>
      <c r="NK86" s="637"/>
      <c r="NL86" s="637"/>
      <c r="NM86" s="637"/>
      <c r="NN86" s="637"/>
      <c r="NO86" s="637"/>
      <c r="NP86" s="637"/>
      <c r="NQ86" s="637"/>
      <c r="NR86" s="637"/>
      <c r="NS86" s="637"/>
      <c r="NT86" s="637"/>
      <c r="NU86" s="637"/>
      <c r="NV86" s="637"/>
      <c r="NW86" s="637"/>
      <c r="NX86" s="637"/>
      <c r="NY86" s="637"/>
      <c r="NZ86" s="637"/>
      <c r="OA86" s="637"/>
      <c r="OB86" s="637"/>
      <c r="OC86" s="637"/>
      <c r="OD86" s="637"/>
      <c r="OE86" s="637"/>
      <c r="OF86" s="637"/>
      <c r="OG86" s="637"/>
      <c r="OH86" s="637"/>
      <c r="OI86" s="637"/>
      <c r="OJ86" s="637"/>
      <c r="OK86" s="637"/>
      <c r="OL86" s="637"/>
      <c r="OM86" s="637"/>
      <c r="ON86" s="637"/>
      <c r="OO86" s="637"/>
      <c r="OP86" s="637"/>
      <c r="OQ86" s="637"/>
      <c r="OR86" s="637"/>
      <c r="OS86" s="637"/>
      <c r="OT86" s="637"/>
      <c r="OU86" s="637"/>
      <c r="OV86" s="637"/>
      <c r="OW86" s="637"/>
      <c r="OX86" s="637"/>
      <c r="OY86" s="637"/>
      <c r="OZ86" s="637"/>
      <c r="PA86" s="637"/>
      <c r="PB86" s="637"/>
      <c r="PC86" s="637"/>
      <c r="PD86" s="637"/>
      <c r="PE86" s="637"/>
      <c r="PF86" s="637"/>
      <c r="PG86" s="637"/>
      <c r="PH86" s="637"/>
      <c r="PI86" s="637"/>
      <c r="PJ86" s="637"/>
      <c r="PK86" s="637"/>
      <c r="PL86" s="637"/>
      <c r="PM86" s="637"/>
      <c r="PN86" s="637"/>
      <c r="PO86" s="637"/>
      <c r="PP86" s="637"/>
      <c r="PQ86" s="637"/>
      <c r="PR86" s="637"/>
      <c r="PS86" s="637"/>
      <c r="PT86" s="637"/>
      <c r="PU86" s="637"/>
      <c r="PV86" s="637"/>
      <c r="PW86" s="637"/>
      <c r="PX86" s="637"/>
      <c r="PY86" s="637"/>
      <c r="PZ86" s="637"/>
      <c r="QA86" s="637"/>
      <c r="QB86" s="637"/>
      <c r="QC86" s="637"/>
      <c r="QD86" s="637"/>
      <c r="QE86" s="637"/>
      <c r="QF86" s="637"/>
      <c r="QG86" s="637"/>
      <c r="QH86" s="637"/>
      <c r="QI86" s="637"/>
      <c r="QJ86" s="637"/>
      <c r="QK86" s="637"/>
      <c r="QL86" s="637"/>
      <c r="QM86" s="637"/>
      <c r="QN86" s="637"/>
      <c r="QO86" s="637"/>
      <c r="QP86" s="637"/>
      <c r="QQ86" s="637"/>
      <c r="QR86" s="637"/>
      <c r="QS86" s="637"/>
      <c r="QT86" s="637"/>
      <c r="QU86" s="637"/>
      <c r="QV86" s="637"/>
      <c r="QW86" s="637"/>
      <c r="QX86" s="637"/>
      <c r="QY86" s="637"/>
      <c r="QZ86" s="637"/>
      <c r="RA86" s="637"/>
      <c r="RB86" s="637"/>
      <c r="RC86" s="637"/>
      <c r="RD86" s="637"/>
      <c r="RE86" s="637"/>
      <c r="RF86" s="637"/>
      <c r="RG86" s="637"/>
      <c r="RH86" s="637"/>
      <c r="RI86" s="637"/>
      <c r="RJ86" s="637"/>
      <c r="RK86" s="637"/>
      <c r="RL86" s="637"/>
      <c r="RM86" s="637"/>
      <c r="RN86" s="637"/>
      <c r="RO86" s="637"/>
      <c r="RP86" s="637"/>
      <c r="RQ86" s="637"/>
      <c r="RR86" s="637"/>
      <c r="RS86" s="637"/>
      <c r="RT86" s="637"/>
      <c r="RU86" s="637"/>
      <c r="RV86" s="637"/>
      <c r="RW86" s="637"/>
      <c r="RX86" s="637"/>
      <c r="RY86" s="637"/>
      <c r="RZ86" s="637"/>
      <c r="SA86" s="637"/>
      <c r="SB86" s="637"/>
      <c r="SC86" s="637"/>
      <c r="SD86" s="637"/>
      <c r="SE86" s="637"/>
      <c r="SF86" s="637"/>
      <c r="SG86" s="637"/>
      <c r="SH86" s="637"/>
      <c r="SI86" s="637"/>
      <c r="SJ86" s="637"/>
      <c r="SK86" s="637"/>
      <c r="SL86" s="637"/>
      <c r="SM86" s="637"/>
      <c r="SN86" s="637"/>
      <c r="SO86" s="637"/>
      <c r="SP86" s="637"/>
      <c r="SQ86" s="637"/>
      <c r="SR86" s="637"/>
      <c r="SS86" s="637"/>
      <c r="ST86" s="637"/>
      <c r="SU86" s="637"/>
      <c r="SV86" s="637"/>
      <c r="SW86" s="637"/>
      <c r="SX86" s="637"/>
      <c r="SY86" s="637"/>
      <c r="SZ86" s="637"/>
      <c r="TA86" s="637"/>
      <c r="TB86" s="637"/>
      <c r="TC86" s="637"/>
      <c r="TD86" s="637"/>
      <c r="TE86" s="637"/>
      <c r="TF86" s="637"/>
      <c r="TG86" s="637"/>
      <c r="TH86" s="637"/>
      <c r="TI86" s="637"/>
      <c r="TJ86" s="637"/>
      <c r="TK86" s="637"/>
      <c r="TL86" s="637"/>
      <c r="TM86" s="637"/>
      <c r="TN86" s="637"/>
      <c r="TO86" s="637"/>
      <c r="TP86" s="637"/>
      <c r="TQ86" s="637"/>
      <c r="TR86" s="637"/>
      <c r="TS86" s="637"/>
      <c r="TT86" s="637"/>
      <c r="TU86" s="637"/>
      <c r="TV86" s="637"/>
      <c r="TW86" s="637"/>
      <c r="TX86" s="637"/>
      <c r="TY86" s="637"/>
      <c r="TZ86" s="637"/>
      <c r="UA86" s="637"/>
      <c r="UB86" s="637"/>
      <c r="UC86" s="637"/>
      <c r="UD86" s="637"/>
      <c r="UE86" s="637"/>
      <c r="UF86" s="637"/>
      <c r="UG86" s="637"/>
      <c r="UH86" s="637"/>
      <c r="UI86" s="637"/>
      <c r="UJ86" s="637"/>
      <c r="UK86" s="637"/>
      <c r="UL86" s="637"/>
      <c r="UM86" s="637"/>
      <c r="UN86" s="637"/>
      <c r="UO86" s="637"/>
      <c r="UP86" s="637"/>
      <c r="UQ86" s="637"/>
      <c r="UR86" s="637"/>
      <c r="US86" s="637"/>
      <c r="UT86" s="637"/>
      <c r="UU86" s="637"/>
      <c r="UV86" s="637"/>
      <c r="UW86" s="637"/>
      <c r="UX86" s="637"/>
      <c r="UY86" s="637"/>
      <c r="UZ86" s="637"/>
      <c r="VA86" s="637"/>
      <c r="VB86" s="637"/>
      <c r="VC86" s="637"/>
      <c r="VD86" s="637"/>
      <c r="VE86" s="637"/>
      <c r="VF86" s="637"/>
      <c r="VG86" s="637"/>
      <c r="VH86" s="637"/>
      <c r="VI86" s="637"/>
      <c r="VJ86" s="637"/>
      <c r="VK86" s="637"/>
      <c r="VL86" s="637"/>
      <c r="VM86" s="637"/>
      <c r="VN86" s="637"/>
      <c r="VO86" s="637"/>
      <c r="VP86" s="637"/>
      <c r="VQ86" s="637"/>
      <c r="VR86" s="637"/>
      <c r="VS86" s="637"/>
      <c r="VT86" s="637"/>
      <c r="VU86" s="637"/>
      <c r="VV86" s="637"/>
      <c r="VW86" s="637"/>
      <c r="VX86" s="637"/>
      <c r="VY86" s="637"/>
      <c r="VZ86" s="637"/>
      <c r="WA86" s="637"/>
      <c r="WB86" s="637"/>
      <c r="WC86" s="637"/>
      <c r="WD86" s="637"/>
      <c r="WE86" s="637"/>
      <c r="WF86" s="637"/>
      <c r="WG86" s="637"/>
      <c r="WH86" s="637"/>
      <c r="WI86" s="637"/>
      <c r="WJ86" s="637"/>
      <c r="WK86" s="637"/>
      <c r="WL86" s="637"/>
      <c r="WM86" s="637"/>
      <c r="WN86" s="637"/>
      <c r="WO86" s="637"/>
      <c r="WP86" s="637"/>
      <c r="WQ86" s="637"/>
      <c r="WR86" s="637"/>
      <c r="WS86" s="637"/>
      <c r="WT86" s="637"/>
      <c r="WU86" s="637"/>
      <c r="WV86" s="637"/>
      <c r="WW86" s="637"/>
      <c r="WX86" s="637"/>
      <c r="WY86" s="637"/>
      <c r="WZ86" s="637"/>
      <c r="XA86" s="637"/>
      <c r="XB86" s="637"/>
      <c r="XC86" s="637"/>
      <c r="XD86" s="637"/>
      <c r="XE86" s="637"/>
      <c r="XF86" s="637"/>
      <c r="XG86" s="637"/>
      <c r="XH86" s="637"/>
      <c r="XI86" s="637"/>
      <c r="XJ86" s="637"/>
      <c r="XK86" s="637"/>
      <c r="XL86" s="637"/>
      <c r="XM86" s="637"/>
      <c r="XN86" s="637"/>
      <c r="XO86" s="637"/>
      <c r="XP86" s="637"/>
      <c r="XQ86" s="637"/>
      <c r="XR86" s="637"/>
      <c r="XS86" s="637"/>
      <c r="XT86" s="637"/>
      <c r="XU86" s="637"/>
      <c r="XV86" s="637"/>
      <c r="XW86" s="637"/>
      <c r="XX86" s="637"/>
      <c r="XY86" s="637"/>
      <c r="XZ86" s="637"/>
      <c r="YA86" s="637"/>
      <c r="YB86" s="637"/>
      <c r="YC86" s="637"/>
      <c r="YD86" s="637"/>
      <c r="YE86" s="637"/>
      <c r="YF86" s="637"/>
      <c r="YG86" s="637"/>
      <c r="YH86" s="637"/>
      <c r="YI86" s="637"/>
      <c r="YJ86" s="637"/>
      <c r="YK86" s="637"/>
      <c r="YL86" s="637"/>
      <c r="YM86" s="637"/>
      <c r="YN86" s="637"/>
      <c r="YO86" s="637"/>
      <c r="YP86" s="637"/>
      <c r="YQ86" s="637"/>
      <c r="YR86" s="637"/>
      <c r="YS86" s="637"/>
      <c r="YT86" s="637"/>
      <c r="YU86" s="637"/>
      <c r="YV86" s="637"/>
      <c r="YW86" s="637"/>
      <c r="YX86" s="637"/>
      <c r="YY86" s="637"/>
      <c r="YZ86" s="637"/>
      <c r="ZA86" s="637"/>
      <c r="ZB86" s="637"/>
      <c r="ZC86" s="637"/>
      <c r="ZD86" s="637"/>
      <c r="ZE86" s="637"/>
      <c r="ZF86" s="637"/>
      <c r="ZG86" s="637"/>
      <c r="ZH86" s="637"/>
      <c r="ZI86" s="637"/>
      <c r="ZJ86" s="637"/>
      <c r="ZK86" s="637"/>
      <c r="ZL86" s="637"/>
      <c r="ZM86" s="637"/>
      <c r="ZN86" s="637"/>
      <c r="ZO86" s="637"/>
      <c r="ZP86" s="637"/>
      <c r="ZQ86" s="637"/>
      <c r="ZR86" s="637"/>
      <c r="ZS86" s="637"/>
      <c r="ZT86" s="637"/>
      <c r="ZU86" s="637"/>
      <c r="ZV86" s="637"/>
      <c r="ZW86" s="637"/>
      <c r="ZX86" s="637"/>
      <c r="ZY86" s="637"/>
      <c r="ZZ86" s="637"/>
      <c r="AAA86" s="637"/>
      <c r="AAB86" s="637"/>
      <c r="AAC86" s="637"/>
      <c r="AAD86" s="637"/>
      <c r="AAE86" s="637"/>
      <c r="AAF86" s="637"/>
      <c r="AAG86" s="637"/>
      <c r="AAH86" s="637"/>
      <c r="AAI86" s="637"/>
      <c r="AAJ86" s="637"/>
      <c r="AAK86" s="637"/>
      <c r="AAL86" s="637"/>
      <c r="AAM86" s="637"/>
      <c r="AAN86" s="637"/>
      <c r="AAO86" s="637"/>
      <c r="AAP86" s="637"/>
      <c r="AAQ86" s="637"/>
      <c r="AAR86" s="637"/>
      <c r="AAS86" s="637"/>
      <c r="AAT86" s="637"/>
      <c r="AAU86" s="637"/>
      <c r="AAV86" s="637"/>
      <c r="AAW86" s="637"/>
      <c r="AAX86" s="637"/>
      <c r="AAY86" s="637"/>
      <c r="AAZ86" s="637"/>
      <c r="ABA86" s="637"/>
      <c r="ABB86" s="637"/>
      <c r="ABC86" s="637"/>
      <c r="ABD86" s="637"/>
      <c r="ABE86" s="637"/>
      <c r="ABF86" s="637"/>
      <c r="ABG86" s="637"/>
      <c r="ABH86" s="637"/>
      <c r="ABI86" s="637"/>
      <c r="ABJ86" s="637"/>
      <c r="ABK86" s="637"/>
      <c r="ABL86" s="637"/>
      <c r="ABM86" s="637"/>
      <c r="ABN86" s="637"/>
      <c r="ABO86" s="637"/>
      <c r="ABP86" s="637"/>
      <c r="ABQ86" s="637"/>
      <c r="ABR86" s="637"/>
      <c r="ABS86" s="637"/>
      <c r="ABT86" s="637"/>
      <c r="ABU86" s="637"/>
      <c r="ABV86" s="637"/>
      <c r="ABW86" s="637"/>
      <c r="ABX86" s="637"/>
      <c r="ABY86" s="637"/>
      <c r="ABZ86" s="637"/>
      <c r="ACA86" s="637"/>
      <c r="ACB86" s="637"/>
      <c r="ACC86" s="637"/>
      <c r="ACD86" s="637"/>
      <c r="ACE86" s="637"/>
      <c r="ACF86" s="637"/>
      <c r="ACG86" s="637"/>
      <c r="ACH86" s="637"/>
      <c r="ACI86" s="637"/>
      <c r="ACJ86" s="637"/>
      <c r="ACK86" s="637"/>
      <c r="ACL86" s="637"/>
      <c r="ACM86" s="637"/>
      <c r="ACN86" s="637"/>
      <c r="ACO86" s="637"/>
      <c r="ACP86" s="637"/>
      <c r="ACQ86" s="637"/>
      <c r="ACR86" s="637"/>
      <c r="ACS86" s="637"/>
      <c r="ACT86" s="637"/>
      <c r="ACU86" s="637"/>
      <c r="ACV86" s="637"/>
      <c r="ACW86" s="637"/>
      <c r="ACX86" s="637"/>
      <c r="ACY86" s="637"/>
      <c r="ACZ86" s="637"/>
      <c r="ADA86" s="637"/>
      <c r="ADB86" s="637"/>
      <c r="ADC86" s="637"/>
      <c r="ADD86" s="637"/>
      <c r="ADE86" s="637"/>
      <c r="ADF86" s="637"/>
      <c r="ADG86" s="637"/>
      <c r="ADH86" s="637"/>
      <c r="ADI86" s="637"/>
      <c r="ADJ86" s="637"/>
      <c r="ADK86" s="637"/>
      <c r="ADL86" s="637"/>
      <c r="ADM86" s="637"/>
      <c r="ADN86" s="637"/>
      <c r="ADO86" s="637"/>
      <c r="ADP86" s="637"/>
      <c r="ADQ86" s="637"/>
      <c r="ADR86" s="637"/>
      <c r="ADS86" s="637"/>
      <c r="ADT86" s="637"/>
      <c r="ADU86" s="637"/>
      <c r="ADV86" s="637"/>
      <c r="ADW86" s="637"/>
      <c r="ADX86" s="637"/>
      <c r="ADY86" s="637"/>
      <c r="ADZ86" s="637"/>
      <c r="AEA86" s="637"/>
      <c r="AEB86" s="637"/>
      <c r="AEC86" s="637"/>
      <c r="AED86" s="637"/>
      <c r="AEE86" s="637"/>
      <c r="AEF86" s="637"/>
      <c r="AEG86" s="637"/>
      <c r="AEH86" s="637"/>
      <c r="AEI86" s="637"/>
      <c r="AEJ86" s="637"/>
      <c r="AEK86" s="637"/>
      <c r="AEL86" s="637"/>
      <c r="AEM86" s="637"/>
      <c r="AEN86" s="637"/>
      <c r="AEO86" s="637"/>
      <c r="AEP86" s="637"/>
      <c r="AEQ86" s="637"/>
      <c r="AER86" s="637"/>
      <c r="AES86" s="637"/>
      <c r="AET86" s="637"/>
      <c r="AEU86" s="637"/>
      <c r="AEV86" s="637"/>
      <c r="AEW86" s="637"/>
      <c r="AEX86" s="637"/>
      <c r="AEY86" s="637"/>
      <c r="AEZ86" s="637"/>
      <c r="AFA86" s="637"/>
      <c r="AFB86" s="637"/>
      <c r="AFC86" s="637"/>
      <c r="AFD86" s="637"/>
      <c r="AFE86" s="637"/>
      <c r="AFF86" s="637"/>
      <c r="AFG86" s="637"/>
      <c r="AFH86" s="637"/>
      <c r="AFI86" s="637"/>
      <c r="AFJ86" s="637"/>
      <c r="AFK86" s="637"/>
      <c r="AFL86" s="637"/>
      <c r="AFM86" s="637"/>
      <c r="AFN86" s="637"/>
      <c r="AFO86" s="637"/>
      <c r="AFP86" s="637"/>
      <c r="AFQ86" s="637"/>
      <c r="AFR86" s="637"/>
      <c r="AFS86" s="637"/>
      <c r="AFT86" s="637"/>
      <c r="AFU86" s="637"/>
      <c r="AFV86" s="637"/>
      <c r="AFW86" s="637"/>
      <c r="AFX86" s="637"/>
      <c r="AFY86" s="637"/>
      <c r="AFZ86" s="637"/>
      <c r="AGA86" s="637"/>
      <c r="AGB86" s="637"/>
      <c r="AGC86" s="637"/>
      <c r="AGD86" s="637"/>
      <c r="AGE86" s="637"/>
      <c r="AGF86" s="637"/>
      <c r="AGG86" s="637"/>
      <c r="AGH86" s="637"/>
      <c r="AGI86" s="637"/>
      <c r="AGJ86" s="637"/>
      <c r="AGK86" s="637"/>
      <c r="AGL86" s="637"/>
      <c r="AGM86" s="637"/>
      <c r="AGN86" s="637"/>
      <c r="AGO86" s="637"/>
      <c r="AGP86" s="637"/>
      <c r="AGQ86" s="637"/>
      <c r="AGR86" s="637"/>
      <c r="AGS86" s="637"/>
      <c r="AGT86" s="637"/>
      <c r="AGU86" s="637"/>
      <c r="AGV86" s="637"/>
      <c r="AGW86" s="637"/>
      <c r="AGX86" s="637"/>
      <c r="AGY86" s="637"/>
      <c r="AGZ86" s="637"/>
      <c r="AHA86" s="637"/>
      <c r="AHB86" s="637"/>
      <c r="AHC86" s="637"/>
      <c r="AHD86" s="637"/>
      <c r="AHE86" s="637"/>
      <c r="AHF86" s="637"/>
      <c r="AHG86" s="637"/>
      <c r="AHH86" s="637"/>
      <c r="AHI86" s="637"/>
      <c r="AHJ86" s="637"/>
      <c r="AHK86" s="637"/>
      <c r="AHL86" s="637"/>
      <c r="AHM86" s="637"/>
      <c r="AHN86" s="637"/>
      <c r="AHO86" s="637"/>
      <c r="AHP86" s="637"/>
      <c r="AHQ86" s="637"/>
      <c r="AHR86" s="637"/>
      <c r="AHS86" s="637"/>
      <c r="AHT86" s="637"/>
      <c r="AHU86" s="637"/>
      <c r="AHV86" s="637"/>
      <c r="AHW86" s="637"/>
      <c r="AHX86" s="637"/>
      <c r="AHY86" s="637"/>
      <c r="AHZ86" s="637"/>
      <c r="AIA86" s="637"/>
      <c r="AIB86" s="637"/>
      <c r="AIC86" s="637"/>
      <c r="AID86" s="637"/>
      <c r="AIE86" s="637"/>
      <c r="AIF86" s="637"/>
      <c r="AIG86" s="637"/>
      <c r="AIH86" s="637"/>
      <c r="AII86" s="637"/>
      <c r="AIJ86" s="637"/>
      <c r="AIK86" s="637"/>
      <c r="AIL86" s="637"/>
      <c r="AIM86" s="637"/>
      <c r="AIN86" s="637"/>
      <c r="AIO86" s="637"/>
      <c r="AIP86" s="637"/>
      <c r="AIQ86" s="637"/>
      <c r="AIR86" s="637"/>
      <c r="AIS86" s="637"/>
      <c r="AIT86" s="637"/>
      <c r="AIU86" s="637"/>
      <c r="AIV86" s="637"/>
      <c r="AIW86" s="637"/>
      <c r="AIX86" s="637"/>
      <c r="AIY86" s="637"/>
      <c r="AIZ86" s="637"/>
      <c r="AJA86" s="637"/>
      <c r="AJB86" s="637"/>
      <c r="AJC86" s="637"/>
      <c r="AJD86" s="637"/>
      <c r="AJE86" s="637"/>
      <c r="AJF86" s="637"/>
      <c r="AJG86" s="637"/>
      <c r="AJH86" s="637"/>
      <c r="AJI86" s="637"/>
      <c r="AJJ86" s="637"/>
      <c r="AJK86" s="637"/>
      <c r="AJL86" s="637"/>
      <c r="AJM86" s="637"/>
      <c r="AJN86" s="637"/>
      <c r="AJO86" s="637"/>
      <c r="AJP86" s="637"/>
      <c r="AJQ86" s="637"/>
      <c r="AJR86" s="637"/>
      <c r="AJS86" s="637"/>
      <c r="AJT86" s="637"/>
      <c r="AJU86" s="637"/>
      <c r="AJV86" s="637"/>
      <c r="AJW86" s="637"/>
      <c r="AJX86" s="637"/>
      <c r="AJY86" s="637"/>
      <c r="AJZ86" s="637"/>
      <c r="AKA86" s="637"/>
      <c r="AKB86" s="637"/>
      <c r="AKC86" s="637"/>
      <c r="AKD86" s="637"/>
      <c r="AKE86" s="637"/>
      <c r="AKF86" s="637"/>
      <c r="AKG86" s="637"/>
      <c r="AKH86" s="637"/>
      <c r="AKI86" s="637"/>
      <c r="AKJ86" s="637"/>
      <c r="AKK86" s="637"/>
      <c r="AKL86" s="637"/>
      <c r="AKM86" s="637"/>
      <c r="AKN86" s="637"/>
      <c r="AKO86" s="637"/>
      <c r="AKP86" s="637"/>
      <c r="AKQ86" s="637"/>
      <c r="AKR86" s="637"/>
      <c r="AKS86" s="637"/>
      <c r="AKT86" s="637"/>
      <c r="AKU86" s="637"/>
      <c r="AKV86" s="637"/>
      <c r="AKW86" s="637"/>
      <c r="AKX86" s="637"/>
      <c r="AKY86" s="637"/>
      <c r="AKZ86" s="637"/>
      <c r="ALA86" s="637"/>
      <c r="ALB86" s="637"/>
      <c r="ALC86" s="637"/>
      <c r="ALD86" s="637"/>
      <c r="ALE86" s="637"/>
      <c r="ALF86" s="637"/>
      <c r="ALG86" s="637"/>
      <c r="ALH86" s="637"/>
      <c r="ALI86" s="637"/>
      <c r="ALJ86" s="637"/>
      <c r="ALK86" s="637"/>
      <c r="ALL86" s="637"/>
      <c r="ALM86" s="637"/>
      <c r="ALN86" s="637"/>
      <c r="ALO86" s="637"/>
      <c r="ALP86" s="637"/>
      <c r="ALQ86" s="637"/>
      <c r="ALR86" s="637"/>
      <c r="ALS86" s="637"/>
      <c r="ALT86" s="637"/>
      <c r="ALU86" s="637"/>
      <c r="ALV86" s="637"/>
      <c r="ALW86" s="637"/>
      <c r="ALX86" s="637"/>
      <c r="ALY86" s="637"/>
      <c r="ALZ86" s="637"/>
      <c r="AMA86" s="637"/>
      <c r="AMB86" s="637"/>
      <c r="AMC86" s="637"/>
      <c r="AMD86" s="637"/>
      <c r="AME86" s="637"/>
      <c r="AMF86" s="637"/>
      <c r="AMG86" s="637"/>
      <c r="AMH86" s="637"/>
      <c r="AMI86" s="637"/>
      <c r="AMJ86" s="637"/>
    </row>
    <row r="87" spans="1:1024" s="638" customFormat="1" ht="12.75">
      <c r="A87" s="984"/>
      <c r="B87" s="985"/>
      <c r="C87" s="986"/>
      <c r="D87" s="981" t="s">
        <v>861</v>
      </c>
      <c r="E87" s="982">
        <v>6163</v>
      </c>
      <c r="F87" s="982">
        <f t="shared" si="10"/>
        <v>28606</v>
      </c>
      <c r="G87" s="983">
        <f>18695-147</f>
        <v>18548</v>
      </c>
      <c r="H87" s="983">
        <f>5777+2</f>
        <v>5779</v>
      </c>
      <c r="I87" s="983">
        <f>3512+167</f>
        <v>3679</v>
      </c>
      <c r="J87" s="983"/>
      <c r="K87" s="983"/>
      <c r="L87" s="983"/>
      <c r="M87" s="983"/>
      <c r="N87" s="983">
        <v>600</v>
      </c>
      <c r="O87" s="983"/>
      <c r="P87" s="983"/>
      <c r="Q87" s="983"/>
      <c r="R87" s="984"/>
      <c r="S87" s="637"/>
      <c r="T87" s="637"/>
      <c r="U87" s="637"/>
      <c r="V87" s="637"/>
      <c r="W87" s="637"/>
      <c r="X87" s="637"/>
      <c r="Y87" s="637"/>
      <c r="Z87" s="637"/>
      <c r="AA87" s="637"/>
      <c r="AB87" s="637"/>
      <c r="AC87" s="637"/>
      <c r="AD87" s="637"/>
      <c r="AE87" s="637"/>
      <c r="AF87" s="637"/>
      <c r="AG87" s="637"/>
      <c r="AH87" s="637"/>
      <c r="AI87" s="637"/>
      <c r="AJ87" s="637"/>
      <c r="AK87" s="637"/>
      <c r="AL87" s="637"/>
      <c r="AM87" s="637"/>
      <c r="AN87" s="637"/>
      <c r="AO87" s="637"/>
      <c r="AP87" s="637"/>
      <c r="AQ87" s="637"/>
      <c r="AR87" s="637"/>
      <c r="AS87" s="637"/>
      <c r="AT87" s="637"/>
      <c r="AU87" s="637"/>
      <c r="AV87" s="637"/>
      <c r="AW87" s="637"/>
      <c r="AX87" s="637"/>
      <c r="AY87" s="637"/>
      <c r="AZ87" s="637"/>
      <c r="BA87" s="637"/>
      <c r="BB87" s="637"/>
      <c r="BC87" s="637"/>
      <c r="BD87" s="637"/>
      <c r="BE87" s="637"/>
      <c r="BF87" s="637"/>
      <c r="BG87" s="637"/>
      <c r="BH87" s="637"/>
      <c r="BI87" s="637"/>
      <c r="BJ87" s="637"/>
      <c r="BK87" s="637"/>
      <c r="BL87" s="637"/>
      <c r="BM87" s="637"/>
      <c r="BN87" s="637"/>
      <c r="BO87" s="637"/>
      <c r="BP87" s="637"/>
      <c r="BQ87" s="637"/>
      <c r="BR87" s="637"/>
      <c r="BS87" s="637"/>
      <c r="BT87" s="637"/>
      <c r="BU87" s="637"/>
      <c r="BV87" s="637"/>
      <c r="BW87" s="637"/>
      <c r="BX87" s="637"/>
      <c r="BY87" s="637"/>
      <c r="BZ87" s="637"/>
      <c r="CA87" s="637"/>
      <c r="CB87" s="637"/>
      <c r="CC87" s="637"/>
      <c r="CD87" s="637"/>
      <c r="CE87" s="637"/>
      <c r="CF87" s="637"/>
      <c r="CG87" s="637"/>
      <c r="CH87" s="637"/>
      <c r="CI87" s="637"/>
      <c r="CJ87" s="637"/>
      <c r="CK87" s="637"/>
      <c r="CL87" s="637"/>
      <c r="CM87" s="637"/>
      <c r="CN87" s="637"/>
      <c r="CO87" s="637"/>
      <c r="CP87" s="637"/>
      <c r="CQ87" s="637"/>
      <c r="CR87" s="637"/>
      <c r="CS87" s="637"/>
      <c r="CT87" s="637"/>
      <c r="CU87" s="637"/>
      <c r="CV87" s="637"/>
      <c r="CW87" s="637"/>
      <c r="CX87" s="637"/>
      <c r="CY87" s="637"/>
      <c r="CZ87" s="637"/>
      <c r="DA87" s="637"/>
      <c r="DB87" s="637"/>
      <c r="DC87" s="637"/>
      <c r="DD87" s="637"/>
      <c r="DE87" s="637"/>
      <c r="DF87" s="637"/>
      <c r="DG87" s="637"/>
      <c r="DH87" s="637"/>
      <c r="DI87" s="637"/>
      <c r="DJ87" s="637"/>
      <c r="DK87" s="637"/>
      <c r="DL87" s="637"/>
      <c r="DM87" s="637"/>
      <c r="DN87" s="637"/>
      <c r="DO87" s="637"/>
      <c r="DP87" s="637"/>
      <c r="DQ87" s="637"/>
      <c r="DR87" s="637"/>
      <c r="DS87" s="637"/>
      <c r="DT87" s="637"/>
      <c r="DU87" s="637"/>
      <c r="DV87" s="637"/>
      <c r="DW87" s="637"/>
      <c r="DX87" s="637"/>
      <c r="DY87" s="637"/>
      <c r="DZ87" s="637"/>
      <c r="EA87" s="637"/>
      <c r="EB87" s="637"/>
      <c r="EC87" s="637"/>
      <c r="ED87" s="637"/>
      <c r="EE87" s="637"/>
      <c r="EF87" s="637"/>
      <c r="EG87" s="637"/>
      <c r="EH87" s="637"/>
      <c r="EI87" s="637"/>
      <c r="EJ87" s="637"/>
      <c r="EK87" s="637"/>
      <c r="EL87" s="637"/>
      <c r="EM87" s="637"/>
      <c r="EN87" s="637"/>
      <c r="EO87" s="637"/>
      <c r="EP87" s="637"/>
      <c r="EQ87" s="637"/>
      <c r="ER87" s="637"/>
      <c r="ES87" s="637"/>
      <c r="ET87" s="637"/>
      <c r="EU87" s="637"/>
      <c r="EV87" s="637"/>
      <c r="EW87" s="637"/>
      <c r="EX87" s="637"/>
      <c r="EY87" s="637"/>
      <c r="EZ87" s="637"/>
      <c r="FA87" s="637"/>
      <c r="FB87" s="637"/>
      <c r="FC87" s="637"/>
      <c r="FD87" s="637"/>
      <c r="FE87" s="637"/>
      <c r="FF87" s="637"/>
      <c r="FG87" s="637"/>
      <c r="FH87" s="637"/>
      <c r="FI87" s="637"/>
      <c r="FJ87" s="637"/>
      <c r="FK87" s="637"/>
      <c r="FL87" s="637"/>
      <c r="FM87" s="637"/>
      <c r="FN87" s="637"/>
      <c r="FO87" s="637"/>
      <c r="FP87" s="637"/>
      <c r="FQ87" s="637"/>
      <c r="FR87" s="637"/>
      <c r="FS87" s="637"/>
      <c r="FT87" s="637"/>
      <c r="FU87" s="637"/>
      <c r="FV87" s="637"/>
      <c r="FW87" s="637"/>
      <c r="FX87" s="637"/>
      <c r="FY87" s="637"/>
      <c r="FZ87" s="637"/>
      <c r="GA87" s="637"/>
      <c r="GB87" s="637"/>
      <c r="GC87" s="637"/>
      <c r="GD87" s="637"/>
      <c r="GE87" s="637"/>
      <c r="GF87" s="637"/>
      <c r="GG87" s="637"/>
      <c r="GH87" s="637"/>
      <c r="GI87" s="637"/>
      <c r="GJ87" s="637"/>
      <c r="GK87" s="637"/>
      <c r="GL87" s="637"/>
      <c r="GM87" s="637"/>
      <c r="GN87" s="637"/>
      <c r="GO87" s="637"/>
      <c r="GP87" s="637"/>
      <c r="GQ87" s="637"/>
      <c r="GR87" s="637"/>
      <c r="GS87" s="637"/>
      <c r="GT87" s="637"/>
      <c r="GU87" s="637"/>
      <c r="GV87" s="637"/>
      <c r="GW87" s="637"/>
      <c r="GX87" s="637"/>
      <c r="GY87" s="637"/>
      <c r="GZ87" s="637"/>
      <c r="HA87" s="637"/>
      <c r="HB87" s="637"/>
      <c r="HC87" s="637"/>
      <c r="HD87" s="637"/>
      <c r="HE87" s="637"/>
      <c r="HF87" s="637"/>
      <c r="HG87" s="637"/>
      <c r="HH87" s="637"/>
      <c r="HI87" s="637"/>
      <c r="HJ87" s="637"/>
      <c r="HK87" s="637"/>
      <c r="HL87" s="637"/>
      <c r="HM87" s="637"/>
      <c r="HN87" s="637"/>
      <c r="HO87" s="637"/>
      <c r="HP87" s="637"/>
      <c r="HQ87" s="637"/>
      <c r="HR87" s="637"/>
      <c r="HS87" s="637"/>
      <c r="HT87" s="637"/>
      <c r="HU87" s="637"/>
      <c r="HV87" s="637"/>
      <c r="HW87" s="637"/>
      <c r="HX87" s="637"/>
      <c r="HY87" s="637"/>
      <c r="HZ87" s="637"/>
      <c r="IA87" s="637"/>
      <c r="IB87" s="637"/>
      <c r="IC87" s="637"/>
      <c r="ID87" s="637"/>
      <c r="IE87" s="637"/>
      <c r="IF87" s="637"/>
      <c r="IG87" s="637"/>
      <c r="IH87" s="637"/>
      <c r="II87" s="637"/>
      <c r="IJ87" s="637"/>
      <c r="IK87" s="637"/>
      <c r="IL87" s="637"/>
      <c r="IM87" s="637"/>
      <c r="IN87" s="637"/>
      <c r="IO87" s="637"/>
      <c r="IP87" s="637"/>
      <c r="IQ87" s="637"/>
      <c r="IR87" s="637"/>
      <c r="IS87" s="637"/>
      <c r="IT87" s="637"/>
      <c r="IU87" s="637"/>
      <c r="IV87" s="637"/>
      <c r="IW87" s="637"/>
      <c r="IX87" s="637"/>
      <c r="IY87" s="637"/>
      <c r="IZ87" s="637"/>
      <c r="JA87" s="637"/>
      <c r="JB87" s="637"/>
      <c r="JC87" s="637"/>
      <c r="JD87" s="637"/>
      <c r="JE87" s="637"/>
      <c r="JF87" s="637"/>
      <c r="JG87" s="637"/>
      <c r="JH87" s="637"/>
      <c r="JI87" s="637"/>
      <c r="JJ87" s="637"/>
      <c r="JK87" s="637"/>
      <c r="JL87" s="637"/>
      <c r="JM87" s="637"/>
      <c r="JN87" s="637"/>
      <c r="JO87" s="637"/>
      <c r="JP87" s="637"/>
      <c r="JQ87" s="637"/>
      <c r="JR87" s="637"/>
      <c r="JS87" s="637"/>
      <c r="JT87" s="637"/>
      <c r="JU87" s="637"/>
      <c r="JV87" s="637"/>
      <c r="JW87" s="637"/>
      <c r="JX87" s="637"/>
      <c r="JY87" s="637"/>
      <c r="JZ87" s="637"/>
      <c r="KA87" s="637"/>
      <c r="KB87" s="637"/>
      <c r="KC87" s="637"/>
      <c r="KD87" s="637"/>
      <c r="KE87" s="637"/>
      <c r="KF87" s="637"/>
      <c r="KG87" s="637"/>
      <c r="KH87" s="637"/>
      <c r="KI87" s="637"/>
      <c r="KJ87" s="637"/>
      <c r="KK87" s="637"/>
      <c r="KL87" s="637"/>
      <c r="KM87" s="637"/>
      <c r="KN87" s="637"/>
      <c r="KO87" s="637"/>
      <c r="KP87" s="637"/>
      <c r="KQ87" s="637"/>
      <c r="KR87" s="637"/>
      <c r="KS87" s="637"/>
      <c r="KT87" s="637"/>
      <c r="KU87" s="637"/>
      <c r="KV87" s="637"/>
      <c r="KW87" s="637"/>
      <c r="KX87" s="637"/>
      <c r="KY87" s="637"/>
      <c r="KZ87" s="637"/>
      <c r="LA87" s="637"/>
      <c r="LB87" s="637"/>
      <c r="LC87" s="637"/>
      <c r="LD87" s="637"/>
      <c r="LE87" s="637"/>
      <c r="LF87" s="637"/>
      <c r="LG87" s="637"/>
      <c r="LH87" s="637"/>
      <c r="LI87" s="637"/>
      <c r="LJ87" s="637"/>
      <c r="LK87" s="637"/>
      <c r="LL87" s="637"/>
      <c r="LM87" s="637"/>
      <c r="LN87" s="637"/>
      <c r="LO87" s="637"/>
      <c r="LP87" s="637"/>
      <c r="LQ87" s="637"/>
      <c r="LR87" s="637"/>
      <c r="LS87" s="637"/>
      <c r="LT87" s="637"/>
      <c r="LU87" s="637"/>
      <c r="LV87" s="637"/>
      <c r="LW87" s="637"/>
      <c r="LX87" s="637"/>
      <c r="LY87" s="637"/>
      <c r="LZ87" s="637"/>
      <c r="MA87" s="637"/>
      <c r="MB87" s="637"/>
      <c r="MC87" s="637"/>
      <c r="MD87" s="637"/>
      <c r="ME87" s="637"/>
      <c r="MF87" s="637"/>
      <c r="MG87" s="637"/>
      <c r="MH87" s="637"/>
      <c r="MI87" s="637"/>
      <c r="MJ87" s="637"/>
      <c r="MK87" s="637"/>
      <c r="ML87" s="637"/>
      <c r="MM87" s="637"/>
      <c r="MN87" s="637"/>
      <c r="MO87" s="637"/>
      <c r="MP87" s="637"/>
      <c r="MQ87" s="637"/>
      <c r="MR87" s="637"/>
      <c r="MS87" s="637"/>
      <c r="MT87" s="637"/>
      <c r="MU87" s="637"/>
      <c r="MV87" s="637"/>
      <c r="MW87" s="637"/>
      <c r="MX87" s="637"/>
      <c r="MY87" s="637"/>
      <c r="MZ87" s="637"/>
      <c r="NA87" s="637"/>
      <c r="NB87" s="637"/>
      <c r="NC87" s="637"/>
      <c r="ND87" s="637"/>
      <c r="NE87" s="637"/>
      <c r="NF87" s="637"/>
      <c r="NG87" s="637"/>
      <c r="NH87" s="637"/>
      <c r="NI87" s="637"/>
      <c r="NJ87" s="637"/>
      <c r="NK87" s="637"/>
      <c r="NL87" s="637"/>
      <c r="NM87" s="637"/>
      <c r="NN87" s="637"/>
      <c r="NO87" s="637"/>
      <c r="NP87" s="637"/>
      <c r="NQ87" s="637"/>
      <c r="NR87" s="637"/>
      <c r="NS87" s="637"/>
      <c r="NT87" s="637"/>
      <c r="NU87" s="637"/>
      <c r="NV87" s="637"/>
      <c r="NW87" s="637"/>
      <c r="NX87" s="637"/>
      <c r="NY87" s="637"/>
      <c r="NZ87" s="637"/>
      <c r="OA87" s="637"/>
      <c r="OB87" s="637"/>
      <c r="OC87" s="637"/>
      <c r="OD87" s="637"/>
      <c r="OE87" s="637"/>
      <c r="OF87" s="637"/>
      <c r="OG87" s="637"/>
      <c r="OH87" s="637"/>
      <c r="OI87" s="637"/>
      <c r="OJ87" s="637"/>
      <c r="OK87" s="637"/>
      <c r="OL87" s="637"/>
      <c r="OM87" s="637"/>
      <c r="ON87" s="637"/>
      <c r="OO87" s="637"/>
      <c r="OP87" s="637"/>
      <c r="OQ87" s="637"/>
      <c r="OR87" s="637"/>
      <c r="OS87" s="637"/>
      <c r="OT87" s="637"/>
      <c r="OU87" s="637"/>
      <c r="OV87" s="637"/>
      <c r="OW87" s="637"/>
      <c r="OX87" s="637"/>
      <c r="OY87" s="637"/>
      <c r="OZ87" s="637"/>
      <c r="PA87" s="637"/>
      <c r="PB87" s="637"/>
      <c r="PC87" s="637"/>
      <c r="PD87" s="637"/>
      <c r="PE87" s="637"/>
      <c r="PF87" s="637"/>
      <c r="PG87" s="637"/>
      <c r="PH87" s="637"/>
      <c r="PI87" s="637"/>
      <c r="PJ87" s="637"/>
      <c r="PK87" s="637"/>
      <c r="PL87" s="637"/>
      <c r="PM87" s="637"/>
      <c r="PN87" s="637"/>
      <c r="PO87" s="637"/>
      <c r="PP87" s="637"/>
      <c r="PQ87" s="637"/>
      <c r="PR87" s="637"/>
      <c r="PS87" s="637"/>
      <c r="PT87" s="637"/>
      <c r="PU87" s="637"/>
      <c r="PV87" s="637"/>
      <c r="PW87" s="637"/>
      <c r="PX87" s="637"/>
      <c r="PY87" s="637"/>
      <c r="PZ87" s="637"/>
      <c r="QA87" s="637"/>
      <c r="QB87" s="637"/>
      <c r="QC87" s="637"/>
      <c r="QD87" s="637"/>
      <c r="QE87" s="637"/>
      <c r="QF87" s="637"/>
      <c r="QG87" s="637"/>
      <c r="QH87" s="637"/>
      <c r="QI87" s="637"/>
      <c r="QJ87" s="637"/>
      <c r="QK87" s="637"/>
      <c r="QL87" s="637"/>
      <c r="QM87" s="637"/>
      <c r="QN87" s="637"/>
      <c r="QO87" s="637"/>
      <c r="QP87" s="637"/>
      <c r="QQ87" s="637"/>
      <c r="QR87" s="637"/>
      <c r="QS87" s="637"/>
      <c r="QT87" s="637"/>
      <c r="QU87" s="637"/>
      <c r="QV87" s="637"/>
      <c r="QW87" s="637"/>
      <c r="QX87" s="637"/>
      <c r="QY87" s="637"/>
      <c r="QZ87" s="637"/>
      <c r="RA87" s="637"/>
      <c r="RB87" s="637"/>
      <c r="RC87" s="637"/>
      <c r="RD87" s="637"/>
      <c r="RE87" s="637"/>
      <c r="RF87" s="637"/>
      <c r="RG87" s="637"/>
      <c r="RH87" s="637"/>
      <c r="RI87" s="637"/>
      <c r="RJ87" s="637"/>
      <c r="RK87" s="637"/>
      <c r="RL87" s="637"/>
      <c r="RM87" s="637"/>
      <c r="RN87" s="637"/>
      <c r="RO87" s="637"/>
      <c r="RP87" s="637"/>
      <c r="RQ87" s="637"/>
      <c r="RR87" s="637"/>
      <c r="RS87" s="637"/>
      <c r="RT87" s="637"/>
      <c r="RU87" s="637"/>
      <c r="RV87" s="637"/>
      <c r="RW87" s="637"/>
      <c r="RX87" s="637"/>
      <c r="RY87" s="637"/>
      <c r="RZ87" s="637"/>
      <c r="SA87" s="637"/>
      <c r="SB87" s="637"/>
      <c r="SC87" s="637"/>
      <c r="SD87" s="637"/>
      <c r="SE87" s="637"/>
      <c r="SF87" s="637"/>
      <c r="SG87" s="637"/>
      <c r="SH87" s="637"/>
      <c r="SI87" s="637"/>
      <c r="SJ87" s="637"/>
      <c r="SK87" s="637"/>
      <c r="SL87" s="637"/>
      <c r="SM87" s="637"/>
      <c r="SN87" s="637"/>
      <c r="SO87" s="637"/>
      <c r="SP87" s="637"/>
      <c r="SQ87" s="637"/>
      <c r="SR87" s="637"/>
      <c r="SS87" s="637"/>
      <c r="ST87" s="637"/>
      <c r="SU87" s="637"/>
      <c r="SV87" s="637"/>
      <c r="SW87" s="637"/>
      <c r="SX87" s="637"/>
      <c r="SY87" s="637"/>
      <c r="SZ87" s="637"/>
      <c r="TA87" s="637"/>
      <c r="TB87" s="637"/>
      <c r="TC87" s="637"/>
      <c r="TD87" s="637"/>
      <c r="TE87" s="637"/>
      <c r="TF87" s="637"/>
      <c r="TG87" s="637"/>
      <c r="TH87" s="637"/>
      <c r="TI87" s="637"/>
      <c r="TJ87" s="637"/>
      <c r="TK87" s="637"/>
      <c r="TL87" s="637"/>
      <c r="TM87" s="637"/>
      <c r="TN87" s="637"/>
      <c r="TO87" s="637"/>
      <c r="TP87" s="637"/>
      <c r="TQ87" s="637"/>
      <c r="TR87" s="637"/>
      <c r="TS87" s="637"/>
      <c r="TT87" s="637"/>
      <c r="TU87" s="637"/>
      <c r="TV87" s="637"/>
      <c r="TW87" s="637"/>
      <c r="TX87" s="637"/>
      <c r="TY87" s="637"/>
      <c r="TZ87" s="637"/>
      <c r="UA87" s="637"/>
      <c r="UB87" s="637"/>
      <c r="UC87" s="637"/>
      <c r="UD87" s="637"/>
      <c r="UE87" s="637"/>
      <c r="UF87" s="637"/>
      <c r="UG87" s="637"/>
      <c r="UH87" s="637"/>
      <c r="UI87" s="637"/>
      <c r="UJ87" s="637"/>
      <c r="UK87" s="637"/>
      <c r="UL87" s="637"/>
      <c r="UM87" s="637"/>
      <c r="UN87" s="637"/>
      <c r="UO87" s="637"/>
      <c r="UP87" s="637"/>
      <c r="UQ87" s="637"/>
      <c r="UR87" s="637"/>
      <c r="US87" s="637"/>
      <c r="UT87" s="637"/>
      <c r="UU87" s="637"/>
      <c r="UV87" s="637"/>
      <c r="UW87" s="637"/>
      <c r="UX87" s="637"/>
      <c r="UY87" s="637"/>
      <c r="UZ87" s="637"/>
      <c r="VA87" s="637"/>
      <c r="VB87" s="637"/>
      <c r="VC87" s="637"/>
      <c r="VD87" s="637"/>
      <c r="VE87" s="637"/>
      <c r="VF87" s="637"/>
      <c r="VG87" s="637"/>
      <c r="VH87" s="637"/>
      <c r="VI87" s="637"/>
      <c r="VJ87" s="637"/>
      <c r="VK87" s="637"/>
      <c r="VL87" s="637"/>
      <c r="VM87" s="637"/>
      <c r="VN87" s="637"/>
      <c r="VO87" s="637"/>
      <c r="VP87" s="637"/>
      <c r="VQ87" s="637"/>
      <c r="VR87" s="637"/>
      <c r="VS87" s="637"/>
      <c r="VT87" s="637"/>
      <c r="VU87" s="637"/>
      <c r="VV87" s="637"/>
      <c r="VW87" s="637"/>
      <c r="VX87" s="637"/>
      <c r="VY87" s="637"/>
      <c r="VZ87" s="637"/>
      <c r="WA87" s="637"/>
      <c r="WB87" s="637"/>
      <c r="WC87" s="637"/>
      <c r="WD87" s="637"/>
      <c r="WE87" s="637"/>
      <c r="WF87" s="637"/>
      <c r="WG87" s="637"/>
      <c r="WH87" s="637"/>
      <c r="WI87" s="637"/>
      <c r="WJ87" s="637"/>
      <c r="WK87" s="637"/>
      <c r="WL87" s="637"/>
      <c r="WM87" s="637"/>
      <c r="WN87" s="637"/>
      <c r="WO87" s="637"/>
      <c r="WP87" s="637"/>
      <c r="WQ87" s="637"/>
      <c r="WR87" s="637"/>
      <c r="WS87" s="637"/>
      <c r="WT87" s="637"/>
      <c r="WU87" s="637"/>
      <c r="WV87" s="637"/>
      <c r="WW87" s="637"/>
      <c r="WX87" s="637"/>
      <c r="WY87" s="637"/>
      <c r="WZ87" s="637"/>
      <c r="XA87" s="637"/>
      <c r="XB87" s="637"/>
      <c r="XC87" s="637"/>
      <c r="XD87" s="637"/>
      <c r="XE87" s="637"/>
      <c r="XF87" s="637"/>
      <c r="XG87" s="637"/>
      <c r="XH87" s="637"/>
      <c r="XI87" s="637"/>
      <c r="XJ87" s="637"/>
      <c r="XK87" s="637"/>
      <c r="XL87" s="637"/>
      <c r="XM87" s="637"/>
      <c r="XN87" s="637"/>
      <c r="XO87" s="637"/>
      <c r="XP87" s="637"/>
      <c r="XQ87" s="637"/>
      <c r="XR87" s="637"/>
      <c r="XS87" s="637"/>
      <c r="XT87" s="637"/>
      <c r="XU87" s="637"/>
      <c r="XV87" s="637"/>
      <c r="XW87" s="637"/>
      <c r="XX87" s="637"/>
      <c r="XY87" s="637"/>
      <c r="XZ87" s="637"/>
      <c r="YA87" s="637"/>
      <c r="YB87" s="637"/>
      <c r="YC87" s="637"/>
      <c r="YD87" s="637"/>
      <c r="YE87" s="637"/>
      <c r="YF87" s="637"/>
      <c r="YG87" s="637"/>
      <c r="YH87" s="637"/>
      <c r="YI87" s="637"/>
      <c r="YJ87" s="637"/>
      <c r="YK87" s="637"/>
      <c r="YL87" s="637"/>
      <c r="YM87" s="637"/>
      <c r="YN87" s="637"/>
      <c r="YO87" s="637"/>
      <c r="YP87" s="637"/>
      <c r="YQ87" s="637"/>
      <c r="YR87" s="637"/>
      <c r="YS87" s="637"/>
      <c r="YT87" s="637"/>
      <c r="YU87" s="637"/>
      <c r="YV87" s="637"/>
      <c r="YW87" s="637"/>
      <c r="YX87" s="637"/>
      <c r="YY87" s="637"/>
      <c r="YZ87" s="637"/>
      <c r="ZA87" s="637"/>
      <c r="ZB87" s="637"/>
      <c r="ZC87" s="637"/>
      <c r="ZD87" s="637"/>
      <c r="ZE87" s="637"/>
      <c r="ZF87" s="637"/>
      <c r="ZG87" s="637"/>
      <c r="ZH87" s="637"/>
      <c r="ZI87" s="637"/>
      <c r="ZJ87" s="637"/>
      <c r="ZK87" s="637"/>
      <c r="ZL87" s="637"/>
      <c r="ZM87" s="637"/>
      <c r="ZN87" s="637"/>
      <c r="ZO87" s="637"/>
      <c r="ZP87" s="637"/>
      <c r="ZQ87" s="637"/>
      <c r="ZR87" s="637"/>
      <c r="ZS87" s="637"/>
      <c r="ZT87" s="637"/>
      <c r="ZU87" s="637"/>
      <c r="ZV87" s="637"/>
      <c r="ZW87" s="637"/>
      <c r="ZX87" s="637"/>
      <c r="ZY87" s="637"/>
      <c r="ZZ87" s="637"/>
      <c r="AAA87" s="637"/>
      <c r="AAB87" s="637"/>
      <c r="AAC87" s="637"/>
      <c r="AAD87" s="637"/>
      <c r="AAE87" s="637"/>
      <c r="AAF87" s="637"/>
      <c r="AAG87" s="637"/>
      <c r="AAH87" s="637"/>
      <c r="AAI87" s="637"/>
      <c r="AAJ87" s="637"/>
      <c r="AAK87" s="637"/>
      <c r="AAL87" s="637"/>
      <c r="AAM87" s="637"/>
      <c r="AAN87" s="637"/>
      <c r="AAO87" s="637"/>
      <c r="AAP87" s="637"/>
      <c r="AAQ87" s="637"/>
      <c r="AAR87" s="637"/>
      <c r="AAS87" s="637"/>
      <c r="AAT87" s="637"/>
      <c r="AAU87" s="637"/>
      <c r="AAV87" s="637"/>
      <c r="AAW87" s="637"/>
      <c r="AAX87" s="637"/>
      <c r="AAY87" s="637"/>
      <c r="AAZ87" s="637"/>
      <c r="ABA87" s="637"/>
      <c r="ABB87" s="637"/>
      <c r="ABC87" s="637"/>
      <c r="ABD87" s="637"/>
      <c r="ABE87" s="637"/>
      <c r="ABF87" s="637"/>
      <c r="ABG87" s="637"/>
      <c r="ABH87" s="637"/>
      <c r="ABI87" s="637"/>
      <c r="ABJ87" s="637"/>
      <c r="ABK87" s="637"/>
      <c r="ABL87" s="637"/>
      <c r="ABM87" s="637"/>
      <c r="ABN87" s="637"/>
      <c r="ABO87" s="637"/>
      <c r="ABP87" s="637"/>
      <c r="ABQ87" s="637"/>
      <c r="ABR87" s="637"/>
      <c r="ABS87" s="637"/>
      <c r="ABT87" s="637"/>
      <c r="ABU87" s="637"/>
      <c r="ABV87" s="637"/>
      <c r="ABW87" s="637"/>
      <c r="ABX87" s="637"/>
      <c r="ABY87" s="637"/>
      <c r="ABZ87" s="637"/>
      <c r="ACA87" s="637"/>
      <c r="ACB87" s="637"/>
      <c r="ACC87" s="637"/>
      <c r="ACD87" s="637"/>
      <c r="ACE87" s="637"/>
      <c r="ACF87" s="637"/>
      <c r="ACG87" s="637"/>
      <c r="ACH87" s="637"/>
      <c r="ACI87" s="637"/>
      <c r="ACJ87" s="637"/>
      <c r="ACK87" s="637"/>
      <c r="ACL87" s="637"/>
      <c r="ACM87" s="637"/>
      <c r="ACN87" s="637"/>
      <c r="ACO87" s="637"/>
      <c r="ACP87" s="637"/>
      <c r="ACQ87" s="637"/>
      <c r="ACR87" s="637"/>
      <c r="ACS87" s="637"/>
      <c r="ACT87" s="637"/>
      <c r="ACU87" s="637"/>
      <c r="ACV87" s="637"/>
      <c r="ACW87" s="637"/>
      <c r="ACX87" s="637"/>
      <c r="ACY87" s="637"/>
      <c r="ACZ87" s="637"/>
      <c r="ADA87" s="637"/>
      <c r="ADB87" s="637"/>
      <c r="ADC87" s="637"/>
      <c r="ADD87" s="637"/>
      <c r="ADE87" s="637"/>
      <c r="ADF87" s="637"/>
      <c r="ADG87" s="637"/>
      <c r="ADH87" s="637"/>
      <c r="ADI87" s="637"/>
      <c r="ADJ87" s="637"/>
      <c r="ADK87" s="637"/>
      <c r="ADL87" s="637"/>
      <c r="ADM87" s="637"/>
      <c r="ADN87" s="637"/>
      <c r="ADO87" s="637"/>
      <c r="ADP87" s="637"/>
      <c r="ADQ87" s="637"/>
      <c r="ADR87" s="637"/>
      <c r="ADS87" s="637"/>
      <c r="ADT87" s="637"/>
      <c r="ADU87" s="637"/>
      <c r="ADV87" s="637"/>
      <c r="ADW87" s="637"/>
      <c r="ADX87" s="637"/>
      <c r="ADY87" s="637"/>
      <c r="ADZ87" s="637"/>
      <c r="AEA87" s="637"/>
      <c r="AEB87" s="637"/>
      <c r="AEC87" s="637"/>
      <c r="AED87" s="637"/>
      <c r="AEE87" s="637"/>
      <c r="AEF87" s="637"/>
      <c r="AEG87" s="637"/>
      <c r="AEH87" s="637"/>
      <c r="AEI87" s="637"/>
      <c r="AEJ87" s="637"/>
      <c r="AEK87" s="637"/>
      <c r="AEL87" s="637"/>
      <c r="AEM87" s="637"/>
      <c r="AEN87" s="637"/>
      <c r="AEO87" s="637"/>
      <c r="AEP87" s="637"/>
      <c r="AEQ87" s="637"/>
      <c r="AER87" s="637"/>
      <c r="AES87" s="637"/>
      <c r="AET87" s="637"/>
      <c r="AEU87" s="637"/>
      <c r="AEV87" s="637"/>
      <c r="AEW87" s="637"/>
      <c r="AEX87" s="637"/>
      <c r="AEY87" s="637"/>
      <c r="AEZ87" s="637"/>
      <c r="AFA87" s="637"/>
      <c r="AFB87" s="637"/>
      <c r="AFC87" s="637"/>
      <c r="AFD87" s="637"/>
      <c r="AFE87" s="637"/>
      <c r="AFF87" s="637"/>
      <c r="AFG87" s="637"/>
      <c r="AFH87" s="637"/>
      <c r="AFI87" s="637"/>
      <c r="AFJ87" s="637"/>
      <c r="AFK87" s="637"/>
      <c r="AFL87" s="637"/>
      <c r="AFM87" s="637"/>
      <c r="AFN87" s="637"/>
      <c r="AFO87" s="637"/>
      <c r="AFP87" s="637"/>
      <c r="AFQ87" s="637"/>
      <c r="AFR87" s="637"/>
      <c r="AFS87" s="637"/>
      <c r="AFT87" s="637"/>
      <c r="AFU87" s="637"/>
      <c r="AFV87" s="637"/>
      <c r="AFW87" s="637"/>
      <c r="AFX87" s="637"/>
      <c r="AFY87" s="637"/>
      <c r="AFZ87" s="637"/>
      <c r="AGA87" s="637"/>
      <c r="AGB87" s="637"/>
      <c r="AGC87" s="637"/>
      <c r="AGD87" s="637"/>
      <c r="AGE87" s="637"/>
      <c r="AGF87" s="637"/>
      <c r="AGG87" s="637"/>
      <c r="AGH87" s="637"/>
      <c r="AGI87" s="637"/>
      <c r="AGJ87" s="637"/>
      <c r="AGK87" s="637"/>
      <c r="AGL87" s="637"/>
      <c r="AGM87" s="637"/>
      <c r="AGN87" s="637"/>
      <c r="AGO87" s="637"/>
      <c r="AGP87" s="637"/>
      <c r="AGQ87" s="637"/>
      <c r="AGR87" s="637"/>
      <c r="AGS87" s="637"/>
      <c r="AGT87" s="637"/>
      <c r="AGU87" s="637"/>
      <c r="AGV87" s="637"/>
      <c r="AGW87" s="637"/>
      <c r="AGX87" s="637"/>
      <c r="AGY87" s="637"/>
      <c r="AGZ87" s="637"/>
      <c r="AHA87" s="637"/>
      <c r="AHB87" s="637"/>
      <c r="AHC87" s="637"/>
      <c r="AHD87" s="637"/>
      <c r="AHE87" s="637"/>
      <c r="AHF87" s="637"/>
      <c r="AHG87" s="637"/>
      <c r="AHH87" s="637"/>
      <c r="AHI87" s="637"/>
      <c r="AHJ87" s="637"/>
      <c r="AHK87" s="637"/>
      <c r="AHL87" s="637"/>
      <c r="AHM87" s="637"/>
      <c r="AHN87" s="637"/>
      <c r="AHO87" s="637"/>
      <c r="AHP87" s="637"/>
      <c r="AHQ87" s="637"/>
      <c r="AHR87" s="637"/>
      <c r="AHS87" s="637"/>
      <c r="AHT87" s="637"/>
      <c r="AHU87" s="637"/>
      <c r="AHV87" s="637"/>
      <c r="AHW87" s="637"/>
      <c r="AHX87" s="637"/>
      <c r="AHY87" s="637"/>
      <c r="AHZ87" s="637"/>
      <c r="AIA87" s="637"/>
      <c r="AIB87" s="637"/>
      <c r="AIC87" s="637"/>
      <c r="AID87" s="637"/>
      <c r="AIE87" s="637"/>
      <c r="AIF87" s="637"/>
      <c r="AIG87" s="637"/>
      <c r="AIH87" s="637"/>
      <c r="AII87" s="637"/>
      <c r="AIJ87" s="637"/>
      <c r="AIK87" s="637"/>
      <c r="AIL87" s="637"/>
      <c r="AIM87" s="637"/>
      <c r="AIN87" s="637"/>
      <c r="AIO87" s="637"/>
      <c r="AIP87" s="637"/>
      <c r="AIQ87" s="637"/>
      <c r="AIR87" s="637"/>
      <c r="AIS87" s="637"/>
      <c r="AIT87" s="637"/>
      <c r="AIU87" s="637"/>
      <c r="AIV87" s="637"/>
      <c r="AIW87" s="637"/>
      <c r="AIX87" s="637"/>
      <c r="AIY87" s="637"/>
      <c r="AIZ87" s="637"/>
      <c r="AJA87" s="637"/>
      <c r="AJB87" s="637"/>
      <c r="AJC87" s="637"/>
      <c r="AJD87" s="637"/>
      <c r="AJE87" s="637"/>
      <c r="AJF87" s="637"/>
      <c r="AJG87" s="637"/>
      <c r="AJH87" s="637"/>
      <c r="AJI87" s="637"/>
      <c r="AJJ87" s="637"/>
      <c r="AJK87" s="637"/>
      <c r="AJL87" s="637"/>
      <c r="AJM87" s="637"/>
      <c r="AJN87" s="637"/>
      <c r="AJO87" s="637"/>
      <c r="AJP87" s="637"/>
      <c r="AJQ87" s="637"/>
      <c r="AJR87" s="637"/>
      <c r="AJS87" s="637"/>
      <c r="AJT87" s="637"/>
      <c r="AJU87" s="637"/>
      <c r="AJV87" s="637"/>
      <c r="AJW87" s="637"/>
      <c r="AJX87" s="637"/>
      <c r="AJY87" s="637"/>
      <c r="AJZ87" s="637"/>
      <c r="AKA87" s="637"/>
      <c r="AKB87" s="637"/>
      <c r="AKC87" s="637"/>
      <c r="AKD87" s="637"/>
      <c r="AKE87" s="637"/>
      <c r="AKF87" s="637"/>
      <c r="AKG87" s="637"/>
      <c r="AKH87" s="637"/>
      <c r="AKI87" s="637"/>
      <c r="AKJ87" s="637"/>
      <c r="AKK87" s="637"/>
      <c r="AKL87" s="637"/>
      <c r="AKM87" s="637"/>
      <c r="AKN87" s="637"/>
      <c r="AKO87" s="637"/>
      <c r="AKP87" s="637"/>
      <c r="AKQ87" s="637"/>
      <c r="AKR87" s="637"/>
      <c r="AKS87" s="637"/>
      <c r="AKT87" s="637"/>
      <c r="AKU87" s="637"/>
      <c r="AKV87" s="637"/>
      <c r="AKW87" s="637"/>
      <c r="AKX87" s="637"/>
      <c r="AKY87" s="637"/>
      <c r="AKZ87" s="637"/>
      <c r="ALA87" s="637"/>
      <c r="ALB87" s="637"/>
      <c r="ALC87" s="637"/>
      <c r="ALD87" s="637"/>
      <c r="ALE87" s="637"/>
      <c r="ALF87" s="637"/>
      <c r="ALG87" s="637"/>
      <c r="ALH87" s="637"/>
      <c r="ALI87" s="637"/>
      <c r="ALJ87" s="637"/>
      <c r="ALK87" s="637"/>
      <c r="ALL87" s="637"/>
      <c r="ALM87" s="637"/>
      <c r="ALN87" s="637"/>
      <c r="ALO87" s="637"/>
      <c r="ALP87" s="637"/>
      <c r="ALQ87" s="637"/>
      <c r="ALR87" s="637"/>
      <c r="ALS87" s="637"/>
      <c r="ALT87" s="637"/>
      <c r="ALU87" s="637"/>
      <c r="ALV87" s="637"/>
      <c r="ALW87" s="637"/>
      <c r="ALX87" s="637"/>
      <c r="ALY87" s="637"/>
      <c r="ALZ87" s="637"/>
      <c r="AMA87" s="637"/>
      <c r="AMB87" s="637"/>
      <c r="AMC87" s="637"/>
      <c r="AMD87" s="637"/>
      <c r="AME87" s="637"/>
      <c r="AMF87" s="637"/>
      <c r="AMG87" s="637"/>
      <c r="AMH87" s="637"/>
      <c r="AMI87" s="637"/>
      <c r="AMJ87" s="637"/>
    </row>
    <row r="88" spans="1:1024" s="638" customFormat="1" ht="12.75">
      <c r="A88" s="984"/>
      <c r="B88" s="985"/>
      <c r="C88" s="986"/>
      <c r="D88" s="981" t="s">
        <v>1041</v>
      </c>
      <c r="E88" s="982">
        <v>6163</v>
      </c>
      <c r="F88" s="982">
        <f t="shared" si="10"/>
        <v>29158</v>
      </c>
      <c r="G88" s="983">
        <f>18695-147+21-40+386</f>
        <v>18915</v>
      </c>
      <c r="H88" s="983">
        <f>5777+2+6-10+80</f>
        <v>5855</v>
      </c>
      <c r="I88" s="983">
        <f>3512+167-466+575</f>
        <v>3788</v>
      </c>
      <c r="J88" s="983"/>
      <c r="K88" s="983"/>
      <c r="L88" s="983"/>
      <c r="M88" s="983"/>
      <c r="N88" s="983">
        <v>600</v>
      </c>
      <c r="O88" s="983"/>
      <c r="P88" s="983"/>
      <c r="Q88" s="983"/>
      <c r="R88" s="984"/>
      <c r="S88" s="637"/>
      <c r="T88" s="637"/>
      <c r="U88" s="637"/>
      <c r="V88" s="637"/>
      <c r="W88" s="637"/>
      <c r="X88" s="637"/>
      <c r="Y88" s="637"/>
      <c r="Z88" s="637"/>
      <c r="AA88" s="637"/>
      <c r="AB88" s="637"/>
      <c r="AC88" s="637"/>
      <c r="AD88" s="637"/>
      <c r="AE88" s="637"/>
      <c r="AF88" s="637"/>
      <c r="AG88" s="637"/>
      <c r="AH88" s="637"/>
      <c r="AI88" s="637"/>
      <c r="AJ88" s="637"/>
      <c r="AK88" s="637"/>
      <c r="AL88" s="637"/>
      <c r="AM88" s="637"/>
      <c r="AN88" s="637"/>
      <c r="AO88" s="637"/>
      <c r="AP88" s="637"/>
      <c r="AQ88" s="637"/>
      <c r="AR88" s="637"/>
      <c r="AS88" s="637"/>
      <c r="AT88" s="637"/>
      <c r="AU88" s="637"/>
      <c r="AV88" s="637"/>
      <c r="AW88" s="637"/>
      <c r="AX88" s="637"/>
      <c r="AY88" s="637"/>
      <c r="AZ88" s="637"/>
      <c r="BA88" s="637"/>
      <c r="BB88" s="637"/>
      <c r="BC88" s="637"/>
      <c r="BD88" s="637"/>
      <c r="BE88" s="637"/>
      <c r="BF88" s="637"/>
      <c r="BG88" s="637"/>
      <c r="BH88" s="637"/>
      <c r="BI88" s="637"/>
      <c r="BJ88" s="637"/>
      <c r="BK88" s="637"/>
      <c r="BL88" s="637"/>
      <c r="BM88" s="637"/>
      <c r="BN88" s="637"/>
      <c r="BO88" s="637"/>
      <c r="BP88" s="637"/>
      <c r="BQ88" s="637"/>
      <c r="BR88" s="637"/>
      <c r="BS88" s="637"/>
      <c r="BT88" s="637"/>
      <c r="BU88" s="637"/>
      <c r="BV88" s="637"/>
      <c r="BW88" s="637"/>
      <c r="BX88" s="637"/>
      <c r="BY88" s="637"/>
      <c r="BZ88" s="637"/>
      <c r="CA88" s="637"/>
      <c r="CB88" s="637"/>
      <c r="CC88" s="637"/>
      <c r="CD88" s="637"/>
      <c r="CE88" s="637"/>
      <c r="CF88" s="637"/>
      <c r="CG88" s="637"/>
      <c r="CH88" s="637"/>
      <c r="CI88" s="637"/>
      <c r="CJ88" s="637"/>
      <c r="CK88" s="637"/>
      <c r="CL88" s="637"/>
      <c r="CM88" s="637"/>
      <c r="CN88" s="637"/>
      <c r="CO88" s="637"/>
      <c r="CP88" s="637"/>
      <c r="CQ88" s="637"/>
      <c r="CR88" s="637"/>
      <c r="CS88" s="637"/>
      <c r="CT88" s="637"/>
      <c r="CU88" s="637"/>
      <c r="CV88" s="637"/>
      <c r="CW88" s="637"/>
      <c r="CX88" s="637"/>
      <c r="CY88" s="637"/>
      <c r="CZ88" s="637"/>
      <c r="DA88" s="637"/>
      <c r="DB88" s="637"/>
      <c r="DC88" s="637"/>
      <c r="DD88" s="637"/>
      <c r="DE88" s="637"/>
      <c r="DF88" s="637"/>
      <c r="DG88" s="637"/>
      <c r="DH88" s="637"/>
      <c r="DI88" s="637"/>
      <c r="DJ88" s="637"/>
      <c r="DK88" s="637"/>
      <c r="DL88" s="637"/>
      <c r="DM88" s="637"/>
      <c r="DN88" s="637"/>
      <c r="DO88" s="637"/>
      <c r="DP88" s="637"/>
      <c r="DQ88" s="637"/>
      <c r="DR88" s="637"/>
      <c r="DS88" s="637"/>
      <c r="DT88" s="637"/>
      <c r="DU88" s="637"/>
      <c r="DV88" s="637"/>
      <c r="DW88" s="637"/>
      <c r="DX88" s="637"/>
      <c r="DY88" s="637"/>
      <c r="DZ88" s="637"/>
      <c r="EA88" s="637"/>
      <c r="EB88" s="637"/>
      <c r="EC88" s="637"/>
      <c r="ED88" s="637"/>
      <c r="EE88" s="637"/>
      <c r="EF88" s="637"/>
      <c r="EG88" s="637"/>
      <c r="EH88" s="637"/>
      <c r="EI88" s="637"/>
      <c r="EJ88" s="637"/>
      <c r="EK88" s="637"/>
      <c r="EL88" s="637"/>
      <c r="EM88" s="637"/>
      <c r="EN88" s="637"/>
      <c r="EO88" s="637"/>
      <c r="EP88" s="637"/>
      <c r="EQ88" s="637"/>
      <c r="ER88" s="637"/>
      <c r="ES88" s="637"/>
      <c r="ET88" s="637"/>
      <c r="EU88" s="637"/>
      <c r="EV88" s="637"/>
      <c r="EW88" s="637"/>
      <c r="EX88" s="637"/>
      <c r="EY88" s="637"/>
      <c r="EZ88" s="637"/>
      <c r="FA88" s="637"/>
      <c r="FB88" s="637"/>
      <c r="FC88" s="637"/>
      <c r="FD88" s="637"/>
      <c r="FE88" s="637"/>
      <c r="FF88" s="637"/>
      <c r="FG88" s="637"/>
      <c r="FH88" s="637"/>
      <c r="FI88" s="637"/>
      <c r="FJ88" s="637"/>
      <c r="FK88" s="637"/>
      <c r="FL88" s="637"/>
      <c r="FM88" s="637"/>
      <c r="FN88" s="637"/>
      <c r="FO88" s="637"/>
      <c r="FP88" s="637"/>
      <c r="FQ88" s="637"/>
      <c r="FR88" s="637"/>
      <c r="FS88" s="637"/>
      <c r="FT88" s="637"/>
      <c r="FU88" s="637"/>
      <c r="FV88" s="637"/>
      <c r="FW88" s="637"/>
      <c r="FX88" s="637"/>
      <c r="FY88" s="637"/>
      <c r="FZ88" s="637"/>
      <c r="GA88" s="637"/>
      <c r="GB88" s="637"/>
      <c r="GC88" s="637"/>
      <c r="GD88" s="637"/>
      <c r="GE88" s="637"/>
      <c r="GF88" s="637"/>
      <c r="GG88" s="637"/>
      <c r="GH88" s="637"/>
      <c r="GI88" s="637"/>
      <c r="GJ88" s="637"/>
      <c r="GK88" s="637"/>
      <c r="GL88" s="637"/>
      <c r="GM88" s="637"/>
      <c r="GN88" s="637"/>
      <c r="GO88" s="637"/>
      <c r="GP88" s="637"/>
      <c r="GQ88" s="637"/>
      <c r="GR88" s="637"/>
      <c r="GS88" s="637"/>
      <c r="GT88" s="637"/>
      <c r="GU88" s="637"/>
      <c r="GV88" s="637"/>
      <c r="GW88" s="637"/>
      <c r="GX88" s="637"/>
      <c r="GY88" s="637"/>
      <c r="GZ88" s="637"/>
      <c r="HA88" s="637"/>
      <c r="HB88" s="637"/>
      <c r="HC88" s="637"/>
      <c r="HD88" s="637"/>
      <c r="HE88" s="637"/>
      <c r="HF88" s="637"/>
      <c r="HG88" s="637"/>
      <c r="HH88" s="637"/>
      <c r="HI88" s="637"/>
      <c r="HJ88" s="637"/>
      <c r="HK88" s="637"/>
      <c r="HL88" s="637"/>
      <c r="HM88" s="637"/>
      <c r="HN88" s="637"/>
      <c r="HO88" s="637"/>
      <c r="HP88" s="637"/>
      <c r="HQ88" s="637"/>
      <c r="HR88" s="637"/>
      <c r="HS88" s="637"/>
      <c r="HT88" s="637"/>
      <c r="HU88" s="637"/>
      <c r="HV88" s="637"/>
      <c r="HW88" s="637"/>
      <c r="HX88" s="637"/>
      <c r="HY88" s="637"/>
      <c r="HZ88" s="637"/>
      <c r="IA88" s="637"/>
      <c r="IB88" s="637"/>
      <c r="IC88" s="637"/>
      <c r="ID88" s="637"/>
      <c r="IE88" s="637"/>
      <c r="IF88" s="637"/>
      <c r="IG88" s="637"/>
      <c r="IH88" s="637"/>
      <c r="II88" s="637"/>
      <c r="IJ88" s="637"/>
      <c r="IK88" s="637"/>
      <c r="IL88" s="637"/>
      <c r="IM88" s="637"/>
      <c r="IN88" s="637"/>
      <c r="IO88" s="637"/>
      <c r="IP88" s="637"/>
      <c r="IQ88" s="637"/>
      <c r="IR88" s="637"/>
      <c r="IS88" s="637"/>
      <c r="IT88" s="637"/>
      <c r="IU88" s="637"/>
      <c r="IV88" s="637"/>
      <c r="IW88" s="637"/>
      <c r="IX88" s="637"/>
      <c r="IY88" s="637"/>
      <c r="IZ88" s="637"/>
      <c r="JA88" s="637"/>
      <c r="JB88" s="637"/>
      <c r="JC88" s="637"/>
      <c r="JD88" s="637"/>
      <c r="JE88" s="637"/>
      <c r="JF88" s="637"/>
      <c r="JG88" s="637"/>
      <c r="JH88" s="637"/>
      <c r="JI88" s="637"/>
      <c r="JJ88" s="637"/>
      <c r="JK88" s="637"/>
      <c r="JL88" s="637"/>
      <c r="JM88" s="637"/>
      <c r="JN88" s="637"/>
      <c r="JO88" s="637"/>
      <c r="JP88" s="637"/>
      <c r="JQ88" s="637"/>
      <c r="JR88" s="637"/>
      <c r="JS88" s="637"/>
      <c r="JT88" s="637"/>
      <c r="JU88" s="637"/>
      <c r="JV88" s="637"/>
      <c r="JW88" s="637"/>
      <c r="JX88" s="637"/>
      <c r="JY88" s="637"/>
      <c r="JZ88" s="637"/>
      <c r="KA88" s="637"/>
      <c r="KB88" s="637"/>
      <c r="KC88" s="637"/>
      <c r="KD88" s="637"/>
      <c r="KE88" s="637"/>
      <c r="KF88" s="637"/>
      <c r="KG88" s="637"/>
      <c r="KH88" s="637"/>
      <c r="KI88" s="637"/>
      <c r="KJ88" s="637"/>
      <c r="KK88" s="637"/>
      <c r="KL88" s="637"/>
      <c r="KM88" s="637"/>
      <c r="KN88" s="637"/>
      <c r="KO88" s="637"/>
      <c r="KP88" s="637"/>
      <c r="KQ88" s="637"/>
      <c r="KR88" s="637"/>
      <c r="KS88" s="637"/>
      <c r="KT88" s="637"/>
      <c r="KU88" s="637"/>
      <c r="KV88" s="637"/>
      <c r="KW88" s="637"/>
      <c r="KX88" s="637"/>
      <c r="KY88" s="637"/>
      <c r="KZ88" s="637"/>
      <c r="LA88" s="637"/>
      <c r="LB88" s="637"/>
      <c r="LC88" s="637"/>
      <c r="LD88" s="637"/>
      <c r="LE88" s="637"/>
      <c r="LF88" s="637"/>
      <c r="LG88" s="637"/>
      <c r="LH88" s="637"/>
      <c r="LI88" s="637"/>
      <c r="LJ88" s="637"/>
      <c r="LK88" s="637"/>
      <c r="LL88" s="637"/>
      <c r="LM88" s="637"/>
      <c r="LN88" s="637"/>
      <c r="LO88" s="637"/>
      <c r="LP88" s="637"/>
      <c r="LQ88" s="637"/>
      <c r="LR88" s="637"/>
      <c r="LS88" s="637"/>
      <c r="LT88" s="637"/>
      <c r="LU88" s="637"/>
      <c r="LV88" s="637"/>
      <c r="LW88" s="637"/>
      <c r="LX88" s="637"/>
      <c r="LY88" s="637"/>
      <c r="LZ88" s="637"/>
      <c r="MA88" s="637"/>
      <c r="MB88" s="637"/>
      <c r="MC88" s="637"/>
      <c r="MD88" s="637"/>
      <c r="ME88" s="637"/>
      <c r="MF88" s="637"/>
      <c r="MG88" s="637"/>
      <c r="MH88" s="637"/>
      <c r="MI88" s="637"/>
      <c r="MJ88" s="637"/>
      <c r="MK88" s="637"/>
      <c r="ML88" s="637"/>
      <c r="MM88" s="637"/>
      <c r="MN88" s="637"/>
      <c r="MO88" s="637"/>
      <c r="MP88" s="637"/>
      <c r="MQ88" s="637"/>
      <c r="MR88" s="637"/>
      <c r="MS88" s="637"/>
      <c r="MT88" s="637"/>
      <c r="MU88" s="637"/>
      <c r="MV88" s="637"/>
      <c r="MW88" s="637"/>
      <c r="MX88" s="637"/>
      <c r="MY88" s="637"/>
      <c r="MZ88" s="637"/>
      <c r="NA88" s="637"/>
      <c r="NB88" s="637"/>
      <c r="NC88" s="637"/>
      <c r="ND88" s="637"/>
      <c r="NE88" s="637"/>
      <c r="NF88" s="637"/>
      <c r="NG88" s="637"/>
      <c r="NH88" s="637"/>
      <c r="NI88" s="637"/>
      <c r="NJ88" s="637"/>
      <c r="NK88" s="637"/>
      <c r="NL88" s="637"/>
      <c r="NM88" s="637"/>
      <c r="NN88" s="637"/>
      <c r="NO88" s="637"/>
      <c r="NP88" s="637"/>
      <c r="NQ88" s="637"/>
      <c r="NR88" s="637"/>
      <c r="NS88" s="637"/>
      <c r="NT88" s="637"/>
      <c r="NU88" s="637"/>
      <c r="NV88" s="637"/>
      <c r="NW88" s="637"/>
      <c r="NX88" s="637"/>
      <c r="NY88" s="637"/>
      <c r="NZ88" s="637"/>
      <c r="OA88" s="637"/>
      <c r="OB88" s="637"/>
      <c r="OC88" s="637"/>
      <c r="OD88" s="637"/>
      <c r="OE88" s="637"/>
      <c r="OF88" s="637"/>
      <c r="OG88" s="637"/>
      <c r="OH88" s="637"/>
      <c r="OI88" s="637"/>
      <c r="OJ88" s="637"/>
      <c r="OK88" s="637"/>
      <c r="OL88" s="637"/>
      <c r="OM88" s="637"/>
      <c r="ON88" s="637"/>
      <c r="OO88" s="637"/>
      <c r="OP88" s="637"/>
      <c r="OQ88" s="637"/>
      <c r="OR88" s="637"/>
      <c r="OS88" s="637"/>
      <c r="OT88" s="637"/>
      <c r="OU88" s="637"/>
      <c r="OV88" s="637"/>
      <c r="OW88" s="637"/>
      <c r="OX88" s="637"/>
      <c r="OY88" s="637"/>
      <c r="OZ88" s="637"/>
      <c r="PA88" s="637"/>
      <c r="PB88" s="637"/>
      <c r="PC88" s="637"/>
      <c r="PD88" s="637"/>
      <c r="PE88" s="637"/>
      <c r="PF88" s="637"/>
      <c r="PG88" s="637"/>
      <c r="PH88" s="637"/>
      <c r="PI88" s="637"/>
      <c r="PJ88" s="637"/>
      <c r="PK88" s="637"/>
      <c r="PL88" s="637"/>
      <c r="PM88" s="637"/>
      <c r="PN88" s="637"/>
      <c r="PO88" s="637"/>
      <c r="PP88" s="637"/>
      <c r="PQ88" s="637"/>
      <c r="PR88" s="637"/>
      <c r="PS88" s="637"/>
      <c r="PT88" s="637"/>
      <c r="PU88" s="637"/>
      <c r="PV88" s="637"/>
      <c r="PW88" s="637"/>
      <c r="PX88" s="637"/>
      <c r="PY88" s="637"/>
      <c r="PZ88" s="637"/>
      <c r="QA88" s="637"/>
      <c r="QB88" s="637"/>
      <c r="QC88" s="637"/>
      <c r="QD88" s="637"/>
      <c r="QE88" s="637"/>
      <c r="QF88" s="637"/>
      <c r="QG88" s="637"/>
      <c r="QH88" s="637"/>
      <c r="QI88" s="637"/>
      <c r="QJ88" s="637"/>
      <c r="QK88" s="637"/>
      <c r="QL88" s="637"/>
      <c r="QM88" s="637"/>
      <c r="QN88" s="637"/>
      <c r="QO88" s="637"/>
      <c r="QP88" s="637"/>
      <c r="QQ88" s="637"/>
      <c r="QR88" s="637"/>
      <c r="QS88" s="637"/>
      <c r="QT88" s="637"/>
      <c r="QU88" s="637"/>
      <c r="QV88" s="637"/>
      <c r="QW88" s="637"/>
      <c r="QX88" s="637"/>
      <c r="QY88" s="637"/>
      <c r="QZ88" s="637"/>
      <c r="RA88" s="637"/>
      <c r="RB88" s="637"/>
      <c r="RC88" s="637"/>
      <c r="RD88" s="637"/>
      <c r="RE88" s="637"/>
      <c r="RF88" s="637"/>
      <c r="RG88" s="637"/>
      <c r="RH88" s="637"/>
      <c r="RI88" s="637"/>
      <c r="RJ88" s="637"/>
      <c r="RK88" s="637"/>
      <c r="RL88" s="637"/>
      <c r="RM88" s="637"/>
      <c r="RN88" s="637"/>
      <c r="RO88" s="637"/>
      <c r="RP88" s="637"/>
      <c r="RQ88" s="637"/>
      <c r="RR88" s="637"/>
      <c r="RS88" s="637"/>
      <c r="RT88" s="637"/>
      <c r="RU88" s="637"/>
      <c r="RV88" s="637"/>
      <c r="RW88" s="637"/>
      <c r="RX88" s="637"/>
      <c r="RY88" s="637"/>
      <c r="RZ88" s="637"/>
      <c r="SA88" s="637"/>
      <c r="SB88" s="637"/>
      <c r="SC88" s="637"/>
      <c r="SD88" s="637"/>
      <c r="SE88" s="637"/>
      <c r="SF88" s="637"/>
      <c r="SG88" s="637"/>
      <c r="SH88" s="637"/>
      <c r="SI88" s="637"/>
      <c r="SJ88" s="637"/>
      <c r="SK88" s="637"/>
      <c r="SL88" s="637"/>
      <c r="SM88" s="637"/>
      <c r="SN88" s="637"/>
      <c r="SO88" s="637"/>
      <c r="SP88" s="637"/>
      <c r="SQ88" s="637"/>
      <c r="SR88" s="637"/>
      <c r="SS88" s="637"/>
      <c r="ST88" s="637"/>
      <c r="SU88" s="637"/>
      <c r="SV88" s="637"/>
      <c r="SW88" s="637"/>
      <c r="SX88" s="637"/>
      <c r="SY88" s="637"/>
      <c r="SZ88" s="637"/>
      <c r="TA88" s="637"/>
      <c r="TB88" s="637"/>
      <c r="TC88" s="637"/>
      <c r="TD88" s="637"/>
      <c r="TE88" s="637"/>
      <c r="TF88" s="637"/>
      <c r="TG88" s="637"/>
      <c r="TH88" s="637"/>
      <c r="TI88" s="637"/>
      <c r="TJ88" s="637"/>
      <c r="TK88" s="637"/>
      <c r="TL88" s="637"/>
      <c r="TM88" s="637"/>
      <c r="TN88" s="637"/>
      <c r="TO88" s="637"/>
      <c r="TP88" s="637"/>
      <c r="TQ88" s="637"/>
      <c r="TR88" s="637"/>
      <c r="TS88" s="637"/>
      <c r="TT88" s="637"/>
      <c r="TU88" s="637"/>
      <c r="TV88" s="637"/>
      <c r="TW88" s="637"/>
      <c r="TX88" s="637"/>
      <c r="TY88" s="637"/>
      <c r="TZ88" s="637"/>
      <c r="UA88" s="637"/>
      <c r="UB88" s="637"/>
      <c r="UC88" s="637"/>
      <c r="UD88" s="637"/>
      <c r="UE88" s="637"/>
      <c r="UF88" s="637"/>
      <c r="UG88" s="637"/>
      <c r="UH88" s="637"/>
      <c r="UI88" s="637"/>
      <c r="UJ88" s="637"/>
      <c r="UK88" s="637"/>
      <c r="UL88" s="637"/>
      <c r="UM88" s="637"/>
      <c r="UN88" s="637"/>
      <c r="UO88" s="637"/>
      <c r="UP88" s="637"/>
      <c r="UQ88" s="637"/>
      <c r="UR88" s="637"/>
      <c r="US88" s="637"/>
      <c r="UT88" s="637"/>
      <c r="UU88" s="637"/>
      <c r="UV88" s="637"/>
      <c r="UW88" s="637"/>
      <c r="UX88" s="637"/>
      <c r="UY88" s="637"/>
      <c r="UZ88" s="637"/>
      <c r="VA88" s="637"/>
      <c r="VB88" s="637"/>
      <c r="VC88" s="637"/>
      <c r="VD88" s="637"/>
      <c r="VE88" s="637"/>
      <c r="VF88" s="637"/>
      <c r="VG88" s="637"/>
      <c r="VH88" s="637"/>
      <c r="VI88" s="637"/>
      <c r="VJ88" s="637"/>
      <c r="VK88" s="637"/>
      <c r="VL88" s="637"/>
      <c r="VM88" s="637"/>
      <c r="VN88" s="637"/>
      <c r="VO88" s="637"/>
      <c r="VP88" s="637"/>
      <c r="VQ88" s="637"/>
      <c r="VR88" s="637"/>
      <c r="VS88" s="637"/>
      <c r="VT88" s="637"/>
      <c r="VU88" s="637"/>
      <c r="VV88" s="637"/>
      <c r="VW88" s="637"/>
      <c r="VX88" s="637"/>
      <c r="VY88" s="637"/>
      <c r="VZ88" s="637"/>
      <c r="WA88" s="637"/>
      <c r="WB88" s="637"/>
      <c r="WC88" s="637"/>
      <c r="WD88" s="637"/>
      <c r="WE88" s="637"/>
      <c r="WF88" s="637"/>
      <c r="WG88" s="637"/>
      <c r="WH88" s="637"/>
      <c r="WI88" s="637"/>
      <c r="WJ88" s="637"/>
      <c r="WK88" s="637"/>
      <c r="WL88" s="637"/>
      <c r="WM88" s="637"/>
      <c r="WN88" s="637"/>
      <c r="WO88" s="637"/>
      <c r="WP88" s="637"/>
      <c r="WQ88" s="637"/>
      <c r="WR88" s="637"/>
      <c r="WS88" s="637"/>
      <c r="WT88" s="637"/>
      <c r="WU88" s="637"/>
      <c r="WV88" s="637"/>
      <c r="WW88" s="637"/>
      <c r="WX88" s="637"/>
      <c r="WY88" s="637"/>
      <c r="WZ88" s="637"/>
      <c r="XA88" s="637"/>
      <c r="XB88" s="637"/>
      <c r="XC88" s="637"/>
      <c r="XD88" s="637"/>
      <c r="XE88" s="637"/>
      <c r="XF88" s="637"/>
      <c r="XG88" s="637"/>
      <c r="XH88" s="637"/>
      <c r="XI88" s="637"/>
      <c r="XJ88" s="637"/>
      <c r="XK88" s="637"/>
      <c r="XL88" s="637"/>
      <c r="XM88" s="637"/>
      <c r="XN88" s="637"/>
      <c r="XO88" s="637"/>
      <c r="XP88" s="637"/>
      <c r="XQ88" s="637"/>
      <c r="XR88" s="637"/>
      <c r="XS88" s="637"/>
      <c r="XT88" s="637"/>
      <c r="XU88" s="637"/>
      <c r="XV88" s="637"/>
      <c r="XW88" s="637"/>
      <c r="XX88" s="637"/>
      <c r="XY88" s="637"/>
      <c r="XZ88" s="637"/>
      <c r="YA88" s="637"/>
      <c r="YB88" s="637"/>
      <c r="YC88" s="637"/>
      <c r="YD88" s="637"/>
      <c r="YE88" s="637"/>
      <c r="YF88" s="637"/>
      <c r="YG88" s="637"/>
      <c r="YH88" s="637"/>
      <c r="YI88" s="637"/>
      <c r="YJ88" s="637"/>
      <c r="YK88" s="637"/>
      <c r="YL88" s="637"/>
      <c r="YM88" s="637"/>
      <c r="YN88" s="637"/>
      <c r="YO88" s="637"/>
      <c r="YP88" s="637"/>
      <c r="YQ88" s="637"/>
      <c r="YR88" s="637"/>
      <c r="YS88" s="637"/>
      <c r="YT88" s="637"/>
      <c r="YU88" s="637"/>
      <c r="YV88" s="637"/>
      <c r="YW88" s="637"/>
      <c r="YX88" s="637"/>
      <c r="YY88" s="637"/>
      <c r="YZ88" s="637"/>
      <c r="ZA88" s="637"/>
      <c r="ZB88" s="637"/>
      <c r="ZC88" s="637"/>
      <c r="ZD88" s="637"/>
      <c r="ZE88" s="637"/>
      <c r="ZF88" s="637"/>
      <c r="ZG88" s="637"/>
      <c r="ZH88" s="637"/>
      <c r="ZI88" s="637"/>
      <c r="ZJ88" s="637"/>
      <c r="ZK88" s="637"/>
      <c r="ZL88" s="637"/>
      <c r="ZM88" s="637"/>
      <c r="ZN88" s="637"/>
      <c r="ZO88" s="637"/>
      <c r="ZP88" s="637"/>
      <c r="ZQ88" s="637"/>
      <c r="ZR88" s="637"/>
      <c r="ZS88" s="637"/>
      <c r="ZT88" s="637"/>
      <c r="ZU88" s="637"/>
      <c r="ZV88" s="637"/>
      <c r="ZW88" s="637"/>
      <c r="ZX88" s="637"/>
      <c r="ZY88" s="637"/>
      <c r="ZZ88" s="637"/>
      <c r="AAA88" s="637"/>
      <c r="AAB88" s="637"/>
      <c r="AAC88" s="637"/>
      <c r="AAD88" s="637"/>
      <c r="AAE88" s="637"/>
      <c r="AAF88" s="637"/>
      <c r="AAG88" s="637"/>
      <c r="AAH88" s="637"/>
      <c r="AAI88" s="637"/>
      <c r="AAJ88" s="637"/>
      <c r="AAK88" s="637"/>
      <c r="AAL88" s="637"/>
      <c r="AAM88" s="637"/>
      <c r="AAN88" s="637"/>
      <c r="AAO88" s="637"/>
      <c r="AAP88" s="637"/>
      <c r="AAQ88" s="637"/>
      <c r="AAR88" s="637"/>
      <c r="AAS88" s="637"/>
      <c r="AAT88" s="637"/>
      <c r="AAU88" s="637"/>
      <c r="AAV88" s="637"/>
      <c r="AAW88" s="637"/>
      <c r="AAX88" s="637"/>
      <c r="AAY88" s="637"/>
      <c r="AAZ88" s="637"/>
      <c r="ABA88" s="637"/>
      <c r="ABB88" s="637"/>
      <c r="ABC88" s="637"/>
      <c r="ABD88" s="637"/>
      <c r="ABE88" s="637"/>
      <c r="ABF88" s="637"/>
      <c r="ABG88" s="637"/>
      <c r="ABH88" s="637"/>
      <c r="ABI88" s="637"/>
      <c r="ABJ88" s="637"/>
      <c r="ABK88" s="637"/>
      <c r="ABL88" s="637"/>
      <c r="ABM88" s="637"/>
      <c r="ABN88" s="637"/>
      <c r="ABO88" s="637"/>
      <c r="ABP88" s="637"/>
      <c r="ABQ88" s="637"/>
      <c r="ABR88" s="637"/>
      <c r="ABS88" s="637"/>
      <c r="ABT88" s="637"/>
      <c r="ABU88" s="637"/>
      <c r="ABV88" s="637"/>
      <c r="ABW88" s="637"/>
      <c r="ABX88" s="637"/>
      <c r="ABY88" s="637"/>
      <c r="ABZ88" s="637"/>
      <c r="ACA88" s="637"/>
      <c r="ACB88" s="637"/>
      <c r="ACC88" s="637"/>
      <c r="ACD88" s="637"/>
      <c r="ACE88" s="637"/>
      <c r="ACF88" s="637"/>
      <c r="ACG88" s="637"/>
      <c r="ACH88" s="637"/>
      <c r="ACI88" s="637"/>
      <c r="ACJ88" s="637"/>
      <c r="ACK88" s="637"/>
      <c r="ACL88" s="637"/>
      <c r="ACM88" s="637"/>
      <c r="ACN88" s="637"/>
      <c r="ACO88" s="637"/>
      <c r="ACP88" s="637"/>
      <c r="ACQ88" s="637"/>
      <c r="ACR88" s="637"/>
      <c r="ACS88" s="637"/>
      <c r="ACT88" s="637"/>
      <c r="ACU88" s="637"/>
      <c r="ACV88" s="637"/>
      <c r="ACW88" s="637"/>
      <c r="ACX88" s="637"/>
      <c r="ACY88" s="637"/>
      <c r="ACZ88" s="637"/>
      <c r="ADA88" s="637"/>
      <c r="ADB88" s="637"/>
      <c r="ADC88" s="637"/>
      <c r="ADD88" s="637"/>
      <c r="ADE88" s="637"/>
      <c r="ADF88" s="637"/>
      <c r="ADG88" s="637"/>
      <c r="ADH88" s="637"/>
      <c r="ADI88" s="637"/>
      <c r="ADJ88" s="637"/>
      <c r="ADK88" s="637"/>
      <c r="ADL88" s="637"/>
      <c r="ADM88" s="637"/>
      <c r="ADN88" s="637"/>
      <c r="ADO88" s="637"/>
      <c r="ADP88" s="637"/>
      <c r="ADQ88" s="637"/>
      <c r="ADR88" s="637"/>
      <c r="ADS88" s="637"/>
      <c r="ADT88" s="637"/>
      <c r="ADU88" s="637"/>
      <c r="ADV88" s="637"/>
      <c r="ADW88" s="637"/>
      <c r="ADX88" s="637"/>
      <c r="ADY88" s="637"/>
      <c r="ADZ88" s="637"/>
      <c r="AEA88" s="637"/>
      <c r="AEB88" s="637"/>
      <c r="AEC88" s="637"/>
      <c r="AED88" s="637"/>
      <c r="AEE88" s="637"/>
      <c r="AEF88" s="637"/>
      <c r="AEG88" s="637"/>
      <c r="AEH88" s="637"/>
      <c r="AEI88" s="637"/>
      <c r="AEJ88" s="637"/>
      <c r="AEK88" s="637"/>
      <c r="AEL88" s="637"/>
      <c r="AEM88" s="637"/>
      <c r="AEN88" s="637"/>
      <c r="AEO88" s="637"/>
      <c r="AEP88" s="637"/>
      <c r="AEQ88" s="637"/>
      <c r="AER88" s="637"/>
      <c r="AES88" s="637"/>
      <c r="AET88" s="637"/>
      <c r="AEU88" s="637"/>
      <c r="AEV88" s="637"/>
      <c r="AEW88" s="637"/>
      <c r="AEX88" s="637"/>
      <c r="AEY88" s="637"/>
      <c r="AEZ88" s="637"/>
      <c r="AFA88" s="637"/>
      <c r="AFB88" s="637"/>
      <c r="AFC88" s="637"/>
      <c r="AFD88" s="637"/>
      <c r="AFE88" s="637"/>
      <c r="AFF88" s="637"/>
      <c r="AFG88" s="637"/>
      <c r="AFH88" s="637"/>
      <c r="AFI88" s="637"/>
      <c r="AFJ88" s="637"/>
      <c r="AFK88" s="637"/>
      <c r="AFL88" s="637"/>
      <c r="AFM88" s="637"/>
      <c r="AFN88" s="637"/>
      <c r="AFO88" s="637"/>
      <c r="AFP88" s="637"/>
      <c r="AFQ88" s="637"/>
      <c r="AFR88" s="637"/>
      <c r="AFS88" s="637"/>
      <c r="AFT88" s="637"/>
      <c r="AFU88" s="637"/>
      <c r="AFV88" s="637"/>
      <c r="AFW88" s="637"/>
      <c r="AFX88" s="637"/>
      <c r="AFY88" s="637"/>
      <c r="AFZ88" s="637"/>
      <c r="AGA88" s="637"/>
      <c r="AGB88" s="637"/>
      <c r="AGC88" s="637"/>
      <c r="AGD88" s="637"/>
      <c r="AGE88" s="637"/>
      <c r="AGF88" s="637"/>
      <c r="AGG88" s="637"/>
      <c r="AGH88" s="637"/>
      <c r="AGI88" s="637"/>
      <c r="AGJ88" s="637"/>
      <c r="AGK88" s="637"/>
      <c r="AGL88" s="637"/>
      <c r="AGM88" s="637"/>
      <c r="AGN88" s="637"/>
      <c r="AGO88" s="637"/>
      <c r="AGP88" s="637"/>
      <c r="AGQ88" s="637"/>
      <c r="AGR88" s="637"/>
      <c r="AGS88" s="637"/>
      <c r="AGT88" s="637"/>
      <c r="AGU88" s="637"/>
      <c r="AGV88" s="637"/>
      <c r="AGW88" s="637"/>
      <c r="AGX88" s="637"/>
      <c r="AGY88" s="637"/>
      <c r="AGZ88" s="637"/>
      <c r="AHA88" s="637"/>
      <c r="AHB88" s="637"/>
      <c r="AHC88" s="637"/>
      <c r="AHD88" s="637"/>
      <c r="AHE88" s="637"/>
      <c r="AHF88" s="637"/>
      <c r="AHG88" s="637"/>
      <c r="AHH88" s="637"/>
      <c r="AHI88" s="637"/>
      <c r="AHJ88" s="637"/>
      <c r="AHK88" s="637"/>
      <c r="AHL88" s="637"/>
      <c r="AHM88" s="637"/>
      <c r="AHN88" s="637"/>
      <c r="AHO88" s="637"/>
      <c r="AHP88" s="637"/>
      <c r="AHQ88" s="637"/>
      <c r="AHR88" s="637"/>
      <c r="AHS88" s="637"/>
      <c r="AHT88" s="637"/>
      <c r="AHU88" s="637"/>
      <c r="AHV88" s="637"/>
      <c r="AHW88" s="637"/>
      <c r="AHX88" s="637"/>
      <c r="AHY88" s="637"/>
      <c r="AHZ88" s="637"/>
      <c r="AIA88" s="637"/>
      <c r="AIB88" s="637"/>
      <c r="AIC88" s="637"/>
      <c r="AID88" s="637"/>
      <c r="AIE88" s="637"/>
      <c r="AIF88" s="637"/>
      <c r="AIG88" s="637"/>
      <c r="AIH88" s="637"/>
      <c r="AII88" s="637"/>
      <c r="AIJ88" s="637"/>
      <c r="AIK88" s="637"/>
      <c r="AIL88" s="637"/>
      <c r="AIM88" s="637"/>
      <c r="AIN88" s="637"/>
      <c r="AIO88" s="637"/>
      <c r="AIP88" s="637"/>
      <c r="AIQ88" s="637"/>
      <c r="AIR88" s="637"/>
      <c r="AIS88" s="637"/>
      <c r="AIT88" s="637"/>
      <c r="AIU88" s="637"/>
      <c r="AIV88" s="637"/>
      <c r="AIW88" s="637"/>
      <c r="AIX88" s="637"/>
      <c r="AIY88" s="637"/>
      <c r="AIZ88" s="637"/>
      <c r="AJA88" s="637"/>
      <c r="AJB88" s="637"/>
      <c r="AJC88" s="637"/>
      <c r="AJD88" s="637"/>
      <c r="AJE88" s="637"/>
      <c r="AJF88" s="637"/>
      <c r="AJG88" s="637"/>
      <c r="AJH88" s="637"/>
      <c r="AJI88" s="637"/>
      <c r="AJJ88" s="637"/>
      <c r="AJK88" s="637"/>
      <c r="AJL88" s="637"/>
      <c r="AJM88" s="637"/>
      <c r="AJN88" s="637"/>
      <c r="AJO88" s="637"/>
      <c r="AJP88" s="637"/>
      <c r="AJQ88" s="637"/>
      <c r="AJR88" s="637"/>
      <c r="AJS88" s="637"/>
      <c r="AJT88" s="637"/>
      <c r="AJU88" s="637"/>
      <c r="AJV88" s="637"/>
      <c r="AJW88" s="637"/>
      <c r="AJX88" s="637"/>
      <c r="AJY88" s="637"/>
      <c r="AJZ88" s="637"/>
      <c r="AKA88" s="637"/>
      <c r="AKB88" s="637"/>
      <c r="AKC88" s="637"/>
      <c r="AKD88" s="637"/>
      <c r="AKE88" s="637"/>
      <c r="AKF88" s="637"/>
      <c r="AKG88" s="637"/>
      <c r="AKH88" s="637"/>
      <c r="AKI88" s="637"/>
      <c r="AKJ88" s="637"/>
      <c r="AKK88" s="637"/>
      <c r="AKL88" s="637"/>
      <c r="AKM88" s="637"/>
      <c r="AKN88" s="637"/>
      <c r="AKO88" s="637"/>
      <c r="AKP88" s="637"/>
      <c r="AKQ88" s="637"/>
      <c r="AKR88" s="637"/>
      <c r="AKS88" s="637"/>
      <c r="AKT88" s="637"/>
      <c r="AKU88" s="637"/>
      <c r="AKV88" s="637"/>
      <c r="AKW88" s="637"/>
      <c r="AKX88" s="637"/>
      <c r="AKY88" s="637"/>
      <c r="AKZ88" s="637"/>
      <c r="ALA88" s="637"/>
      <c r="ALB88" s="637"/>
      <c r="ALC88" s="637"/>
      <c r="ALD88" s="637"/>
      <c r="ALE88" s="637"/>
      <c r="ALF88" s="637"/>
      <c r="ALG88" s="637"/>
      <c r="ALH88" s="637"/>
      <c r="ALI88" s="637"/>
      <c r="ALJ88" s="637"/>
      <c r="ALK88" s="637"/>
      <c r="ALL88" s="637"/>
      <c r="ALM88" s="637"/>
      <c r="ALN88" s="637"/>
      <c r="ALO88" s="637"/>
      <c r="ALP88" s="637"/>
      <c r="ALQ88" s="637"/>
      <c r="ALR88" s="637"/>
      <c r="ALS88" s="637"/>
      <c r="ALT88" s="637"/>
      <c r="ALU88" s="637"/>
      <c r="ALV88" s="637"/>
      <c r="ALW88" s="637"/>
      <c r="ALX88" s="637"/>
      <c r="ALY88" s="637"/>
      <c r="ALZ88" s="637"/>
      <c r="AMA88" s="637"/>
      <c r="AMB88" s="637"/>
      <c r="AMC88" s="637"/>
      <c r="AMD88" s="637"/>
      <c r="AME88" s="637"/>
      <c r="AMF88" s="637"/>
      <c r="AMG88" s="637"/>
      <c r="AMH88" s="637"/>
      <c r="AMI88" s="637"/>
      <c r="AMJ88" s="637"/>
    </row>
    <row r="89" spans="1:1024" s="638" customFormat="1" ht="12.75" hidden="1">
      <c r="A89" s="984"/>
      <c r="B89" s="985"/>
      <c r="C89" s="986"/>
      <c r="D89" s="1006"/>
      <c r="E89" s="1007">
        <v>6485</v>
      </c>
      <c r="F89" s="1008">
        <f t="shared" si="10"/>
        <v>27954</v>
      </c>
      <c r="G89" s="1009">
        <v>18875</v>
      </c>
      <c r="H89" s="1009">
        <v>5855</v>
      </c>
      <c r="I89" s="1009">
        <v>2739</v>
      </c>
      <c r="J89" s="1009"/>
      <c r="K89" s="1009"/>
      <c r="L89" s="1009"/>
      <c r="M89" s="1009"/>
      <c r="N89" s="1009">
        <v>485</v>
      </c>
      <c r="O89" s="1009"/>
      <c r="P89" s="1009"/>
      <c r="Q89" s="1009"/>
      <c r="R89" s="1010"/>
      <c r="S89" s="637"/>
      <c r="T89" s="637"/>
      <c r="U89" s="637"/>
      <c r="V89" s="637"/>
      <c r="W89" s="637"/>
      <c r="X89" s="637"/>
      <c r="Y89" s="637"/>
      <c r="Z89" s="637"/>
      <c r="AA89" s="637"/>
      <c r="AB89" s="637"/>
      <c r="AC89" s="637"/>
      <c r="AD89" s="637"/>
      <c r="AE89" s="637"/>
      <c r="AF89" s="637"/>
      <c r="AG89" s="637"/>
      <c r="AH89" s="637"/>
      <c r="AI89" s="637"/>
      <c r="AJ89" s="637"/>
      <c r="AK89" s="637"/>
      <c r="AL89" s="637"/>
      <c r="AM89" s="637"/>
      <c r="AN89" s="637"/>
      <c r="AO89" s="637"/>
      <c r="AP89" s="637"/>
      <c r="AQ89" s="637"/>
      <c r="AR89" s="637"/>
      <c r="AS89" s="637"/>
      <c r="AT89" s="637"/>
      <c r="AU89" s="637"/>
      <c r="AV89" s="637"/>
      <c r="AW89" s="637"/>
      <c r="AX89" s="637"/>
      <c r="AY89" s="637"/>
      <c r="AZ89" s="637"/>
      <c r="BA89" s="637"/>
      <c r="BB89" s="637"/>
      <c r="BC89" s="637"/>
      <c r="BD89" s="637"/>
      <c r="BE89" s="637"/>
      <c r="BF89" s="637"/>
      <c r="BG89" s="637"/>
      <c r="BH89" s="637"/>
      <c r="BI89" s="637"/>
      <c r="BJ89" s="637"/>
      <c r="BK89" s="637"/>
      <c r="BL89" s="637"/>
      <c r="BM89" s="637"/>
      <c r="BN89" s="637"/>
      <c r="BO89" s="637"/>
      <c r="BP89" s="637"/>
      <c r="BQ89" s="637"/>
      <c r="BR89" s="637"/>
      <c r="BS89" s="637"/>
      <c r="BT89" s="637"/>
      <c r="BU89" s="637"/>
      <c r="BV89" s="637"/>
      <c r="BW89" s="637"/>
      <c r="BX89" s="637"/>
      <c r="BY89" s="637"/>
      <c r="BZ89" s="637"/>
      <c r="CA89" s="637"/>
      <c r="CB89" s="637"/>
      <c r="CC89" s="637"/>
      <c r="CD89" s="637"/>
      <c r="CE89" s="637"/>
      <c r="CF89" s="637"/>
      <c r="CG89" s="637"/>
      <c r="CH89" s="637"/>
      <c r="CI89" s="637"/>
      <c r="CJ89" s="637"/>
      <c r="CK89" s="637"/>
      <c r="CL89" s="637"/>
      <c r="CM89" s="637"/>
      <c r="CN89" s="637"/>
      <c r="CO89" s="637"/>
      <c r="CP89" s="637"/>
      <c r="CQ89" s="637"/>
      <c r="CR89" s="637"/>
      <c r="CS89" s="637"/>
      <c r="CT89" s="637"/>
      <c r="CU89" s="637"/>
      <c r="CV89" s="637"/>
      <c r="CW89" s="637"/>
      <c r="CX89" s="637"/>
      <c r="CY89" s="637"/>
      <c r="CZ89" s="637"/>
      <c r="DA89" s="637"/>
      <c r="DB89" s="637"/>
      <c r="DC89" s="637"/>
      <c r="DD89" s="637"/>
      <c r="DE89" s="637"/>
      <c r="DF89" s="637"/>
      <c r="DG89" s="637"/>
      <c r="DH89" s="637"/>
      <c r="DI89" s="637"/>
      <c r="DJ89" s="637"/>
      <c r="DK89" s="637"/>
      <c r="DL89" s="637"/>
      <c r="DM89" s="637"/>
      <c r="DN89" s="637"/>
      <c r="DO89" s="637"/>
      <c r="DP89" s="637"/>
      <c r="DQ89" s="637"/>
      <c r="DR89" s="637"/>
      <c r="DS89" s="637"/>
      <c r="DT89" s="637"/>
      <c r="DU89" s="637"/>
      <c r="DV89" s="637"/>
      <c r="DW89" s="637"/>
      <c r="DX89" s="637"/>
      <c r="DY89" s="637"/>
      <c r="DZ89" s="637"/>
      <c r="EA89" s="637"/>
      <c r="EB89" s="637"/>
      <c r="EC89" s="637"/>
      <c r="ED89" s="637"/>
      <c r="EE89" s="637"/>
      <c r="EF89" s="637"/>
      <c r="EG89" s="637"/>
      <c r="EH89" s="637"/>
      <c r="EI89" s="637"/>
      <c r="EJ89" s="637"/>
      <c r="EK89" s="637"/>
      <c r="EL89" s="637"/>
      <c r="EM89" s="637"/>
      <c r="EN89" s="637"/>
      <c r="EO89" s="637"/>
      <c r="EP89" s="637"/>
      <c r="EQ89" s="637"/>
      <c r="ER89" s="637"/>
      <c r="ES89" s="637"/>
      <c r="ET89" s="637"/>
      <c r="EU89" s="637"/>
      <c r="EV89" s="637"/>
      <c r="EW89" s="637"/>
      <c r="EX89" s="637"/>
      <c r="EY89" s="637"/>
      <c r="EZ89" s="637"/>
      <c r="FA89" s="637"/>
      <c r="FB89" s="637"/>
      <c r="FC89" s="637"/>
      <c r="FD89" s="637"/>
      <c r="FE89" s="637"/>
      <c r="FF89" s="637"/>
      <c r="FG89" s="637"/>
      <c r="FH89" s="637"/>
      <c r="FI89" s="637"/>
      <c r="FJ89" s="637"/>
      <c r="FK89" s="637"/>
      <c r="FL89" s="637"/>
      <c r="FM89" s="637"/>
      <c r="FN89" s="637"/>
      <c r="FO89" s="637"/>
      <c r="FP89" s="637"/>
      <c r="FQ89" s="637"/>
      <c r="FR89" s="637"/>
      <c r="FS89" s="637"/>
      <c r="FT89" s="637"/>
      <c r="FU89" s="637"/>
      <c r="FV89" s="637"/>
      <c r="FW89" s="637"/>
      <c r="FX89" s="637"/>
      <c r="FY89" s="637"/>
      <c r="FZ89" s="637"/>
      <c r="GA89" s="637"/>
      <c r="GB89" s="637"/>
      <c r="GC89" s="637"/>
      <c r="GD89" s="637"/>
      <c r="GE89" s="637"/>
      <c r="GF89" s="637"/>
      <c r="GG89" s="637"/>
      <c r="GH89" s="637"/>
      <c r="GI89" s="637"/>
      <c r="GJ89" s="637"/>
      <c r="GK89" s="637"/>
      <c r="GL89" s="637"/>
      <c r="GM89" s="637"/>
      <c r="GN89" s="637"/>
      <c r="GO89" s="637"/>
      <c r="GP89" s="637"/>
      <c r="GQ89" s="637"/>
      <c r="GR89" s="637"/>
      <c r="GS89" s="637"/>
      <c r="GT89" s="637"/>
      <c r="GU89" s="637"/>
      <c r="GV89" s="637"/>
      <c r="GW89" s="637"/>
      <c r="GX89" s="637"/>
      <c r="GY89" s="637"/>
      <c r="GZ89" s="637"/>
      <c r="HA89" s="637"/>
      <c r="HB89" s="637"/>
      <c r="HC89" s="637"/>
      <c r="HD89" s="637"/>
      <c r="HE89" s="637"/>
      <c r="HF89" s="637"/>
      <c r="HG89" s="637"/>
      <c r="HH89" s="637"/>
      <c r="HI89" s="637"/>
      <c r="HJ89" s="637"/>
      <c r="HK89" s="637"/>
      <c r="HL89" s="637"/>
      <c r="HM89" s="637"/>
      <c r="HN89" s="637"/>
      <c r="HO89" s="637"/>
      <c r="HP89" s="637"/>
      <c r="HQ89" s="637"/>
      <c r="HR89" s="637"/>
      <c r="HS89" s="637"/>
      <c r="HT89" s="637"/>
      <c r="HU89" s="637"/>
      <c r="HV89" s="637"/>
      <c r="HW89" s="637"/>
      <c r="HX89" s="637"/>
      <c r="HY89" s="637"/>
      <c r="HZ89" s="637"/>
      <c r="IA89" s="637"/>
      <c r="IB89" s="637"/>
      <c r="IC89" s="637"/>
      <c r="ID89" s="637"/>
      <c r="IE89" s="637"/>
      <c r="IF89" s="637"/>
      <c r="IG89" s="637"/>
      <c r="IH89" s="637"/>
      <c r="II89" s="637"/>
      <c r="IJ89" s="637"/>
      <c r="IK89" s="637"/>
      <c r="IL89" s="637"/>
      <c r="IM89" s="637"/>
      <c r="IN89" s="637"/>
      <c r="IO89" s="637"/>
      <c r="IP89" s="637"/>
      <c r="IQ89" s="637"/>
      <c r="IR89" s="637"/>
      <c r="IS89" s="637"/>
      <c r="IT89" s="637"/>
      <c r="IU89" s="637"/>
      <c r="IV89" s="637"/>
      <c r="IW89" s="637"/>
      <c r="IX89" s="637"/>
      <c r="IY89" s="637"/>
      <c r="IZ89" s="637"/>
      <c r="JA89" s="637"/>
      <c r="JB89" s="637"/>
      <c r="JC89" s="637"/>
      <c r="JD89" s="637"/>
      <c r="JE89" s="637"/>
      <c r="JF89" s="637"/>
      <c r="JG89" s="637"/>
      <c r="JH89" s="637"/>
      <c r="JI89" s="637"/>
      <c r="JJ89" s="637"/>
      <c r="JK89" s="637"/>
      <c r="JL89" s="637"/>
      <c r="JM89" s="637"/>
      <c r="JN89" s="637"/>
      <c r="JO89" s="637"/>
      <c r="JP89" s="637"/>
      <c r="JQ89" s="637"/>
      <c r="JR89" s="637"/>
      <c r="JS89" s="637"/>
      <c r="JT89" s="637"/>
      <c r="JU89" s="637"/>
      <c r="JV89" s="637"/>
      <c r="JW89" s="637"/>
      <c r="JX89" s="637"/>
      <c r="JY89" s="637"/>
      <c r="JZ89" s="637"/>
      <c r="KA89" s="637"/>
      <c r="KB89" s="637"/>
      <c r="KC89" s="637"/>
      <c r="KD89" s="637"/>
      <c r="KE89" s="637"/>
      <c r="KF89" s="637"/>
      <c r="KG89" s="637"/>
      <c r="KH89" s="637"/>
      <c r="KI89" s="637"/>
      <c r="KJ89" s="637"/>
      <c r="KK89" s="637"/>
      <c r="KL89" s="637"/>
      <c r="KM89" s="637"/>
      <c r="KN89" s="637"/>
      <c r="KO89" s="637"/>
      <c r="KP89" s="637"/>
      <c r="KQ89" s="637"/>
      <c r="KR89" s="637"/>
      <c r="KS89" s="637"/>
      <c r="KT89" s="637"/>
      <c r="KU89" s="637"/>
      <c r="KV89" s="637"/>
      <c r="KW89" s="637"/>
      <c r="KX89" s="637"/>
      <c r="KY89" s="637"/>
      <c r="KZ89" s="637"/>
      <c r="LA89" s="637"/>
      <c r="LB89" s="637"/>
      <c r="LC89" s="637"/>
      <c r="LD89" s="637"/>
      <c r="LE89" s="637"/>
      <c r="LF89" s="637"/>
      <c r="LG89" s="637"/>
      <c r="LH89" s="637"/>
      <c r="LI89" s="637"/>
      <c r="LJ89" s="637"/>
      <c r="LK89" s="637"/>
      <c r="LL89" s="637"/>
      <c r="LM89" s="637"/>
      <c r="LN89" s="637"/>
      <c r="LO89" s="637"/>
      <c r="LP89" s="637"/>
      <c r="LQ89" s="637"/>
      <c r="LR89" s="637"/>
      <c r="LS89" s="637"/>
      <c r="LT89" s="637"/>
      <c r="LU89" s="637"/>
      <c r="LV89" s="637"/>
      <c r="LW89" s="637"/>
      <c r="LX89" s="637"/>
      <c r="LY89" s="637"/>
      <c r="LZ89" s="637"/>
      <c r="MA89" s="637"/>
      <c r="MB89" s="637"/>
      <c r="MC89" s="637"/>
      <c r="MD89" s="637"/>
      <c r="ME89" s="637"/>
      <c r="MF89" s="637"/>
      <c r="MG89" s="637"/>
      <c r="MH89" s="637"/>
      <c r="MI89" s="637"/>
      <c r="MJ89" s="637"/>
      <c r="MK89" s="637"/>
      <c r="ML89" s="637"/>
      <c r="MM89" s="637"/>
      <c r="MN89" s="637"/>
      <c r="MO89" s="637"/>
      <c r="MP89" s="637"/>
      <c r="MQ89" s="637"/>
      <c r="MR89" s="637"/>
      <c r="MS89" s="637"/>
      <c r="MT89" s="637"/>
      <c r="MU89" s="637"/>
      <c r="MV89" s="637"/>
      <c r="MW89" s="637"/>
      <c r="MX89" s="637"/>
      <c r="MY89" s="637"/>
      <c r="MZ89" s="637"/>
      <c r="NA89" s="637"/>
      <c r="NB89" s="637"/>
      <c r="NC89" s="637"/>
      <c r="ND89" s="637"/>
      <c r="NE89" s="637"/>
      <c r="NF89" s="637"/>
      <c r="NG89" s="637"/>
      <c r="NH89" s="637"/>
      <c r="NI89" s="637"/>
      <c r="NJ89" s="637"/>
      <c r="NK89" s="637"/>
      <c r="NL89" s="637"/>
      <c r="NM89" s="637"/>
      <c r="NN89" s="637"/>
      <c r="NO89" s="637"/>
      <c r="NP89" s="637"/>
      <c r="NQ89" s="637"/>
      <c r="NR89" s="637"/>
      <c r="NS89" s="637"/>
      <c r="NT89" s="637"/>
      <c r="NU89" s="637"/>
      <c r="NV89" s="637"/>
      <c r="NW89" s="637"/>
      <c r="NX89" s="637"/>
      <c r="NY89" s="637"/>
      <c r="NZ89" s="637"/>
      <c r="OA89" s="637"/>
      <c r="OB89" s="637"/>
      <c r="OC89" s="637"/>
      <c r="OD89" s="637"/>
      <c r="OE89" s="637"/>
      <c r="OF89" s="637"/>
      <c r="OG89" s="637"/>
      <c r="OH89" s="637"/>
      <c r="OI89" s="637"/>
      <c r="OJ89" s="637"/>
      <c r="OK89" s="637"/>
      <c r="OL89" s="637"/>
      <c r="OM89" s="637"/>
      <c r="ON89" s="637"/>
      <c r="OO89" s="637"/>
      <c r="OP89" s="637"/>
      <c r="OQ89" s="637"/>
      <c r="OR89" s="637"/>
      <c r="OS89" s="637"/>
      <c r="OT89" s="637"/>
      <c r="OU89" s="637"/>
      <c r="OV89" s="637"/>
      <c r="OW89" s="637"/>
      <c r="OX89" s="637"/>
      <c r="OY89" s="637"/>
      <c r="OZ89" s="637"/>
      <c r="PA89" s="637"/>
      <c r="PB89" s="637"/>
      <c r="PC89" s="637"/>
      <c r="PD89" s="637"/>
      <c r="PE89" s="637"/>
      <c r="PF89" s="637"/>
      <c r="PG89" s="637"/>
      <c r="PH89" s="637"/>
      <c r="PI89" s="637"/>
      <c r="PJ89" s="637"/>
      <c r="PK89" s="637"/>
      <c r="PL89" s="637"/>
      <c r="PM89" s="637"/>
      <c r="PN89" s="637"/>
      <c r="PO89" s="637"/>
      <c r="PP89" s="637"/>
      <c r="PQ89" s="637"/>
      <c r="PR89" s="637"/>
      <c r="PS89" s="637"/>
      <c r="PT89" s="637"/>
      <c r="PU89" s="637"/>
      <c r="PV89" s="637"/>
      <c r="PW89" s="637"/>
      <c r="PX89" s="637"/>
      <c r="PY89" s="637"/>
      <c r="PZ89" s="637"/>
      <c r="QA89" s="637"/>
      <c r="QB89" s="637"/>
      <c r="QC89" s="637"/>
      <c r="QD89" s="637"/>
      <c r="QE89" s="637"/>
      <c r="QF89" s="637"/>
      <c r="QG89" s="637"/>
      <c r="QH89" s="637"/>
      <c r="QI89" s="637"/>
      <c r="QJ89" s="637"/>
      <c r="QK89" s="637"/>
      <c r="QL89" s="637"/>
      <c r="QM89" s="637"/>
      <c r="QN89" s="637"/>
      <c r="QO89" s="637"/>
      <c r="QP89" s="637"/>
      <c r="QQ89" s="637"/>
      <c r="QR89" s="637"/>
      <c r="QS89" s="637"/>
      <c r="QT89" s="637"/>
      <c r="QU89" s="637"/>
      <c r="QV89" s="637"/>
      <c r="QW89" s="637"/>
      <c r="QX89" s="637"/>
      <c r="QY89" s="637"/>
      <c r="QZ89" s="637"/>
      <c r="RA89" s="637"/>
      <c r="RB89" s="637"/>
      <c r="RC89" s="637"/>
      <c r="RD89" s="637"/>
      <c r="RE89" s="637"/>
      <c r="RF89" s="637"/>
      <c r="RG89" s="637"/>
      <c r="RH89" s="637"/>
      <c r="RI89" s="637"/>
      <c r="RJ89" s="637"/>
      <c r="RK89" s="637"/>
      <c r="RL89" s="637"/>
      <c r="RM89" s="637"/>
      <c r="RN89" s="637"/>
      <c r="RO89" s="637"/>
      <c r="RP89" s="637"/>
      <c r="RQ89" s="637"/>
      <c r="RR89" s="637"/>
      <c r="RS89" s="637"/>
      <c r="RT89" s="637"/>
      <c r="RU89" s="637"/>
      <c r="RV89" s="637"/>
      <c r="RW89" s="637"/>
      <c r="RX89" s="637"/>
      <c r="RY89" s="637"/>
      <c r="RZ89" s="637"/>
      <c r="SA89" s="637"/>
      <c r="SB89" s="637"/>
      <c r="SC89" s="637"/>
      <c r="SD89" s="637"/>
      <c r="SE89" s="637"/>
      <c r="SF89" s="637"/>
      <c r="SG89" s="637"/>
      <c r="SH89" s="637"/>
      <c r="SI89" s="637"/>
      <c r="SJ89" s="637"/>
      <c r="SK89" s="637"/>
      <c r="SL89" s="637"/>
      <c r="SM89" s="637"/>
      <c r="SN89" s="637"/>
      <c r="SO89" s="637"/>
      <c r="SP89" s="637"/>
      <c r="SQ89" s="637"/>
      <c r="SR89" s="637"/>
      <c r="SS89" s="637"/>
      <c r="ST89" s="637"/>
      <c r="SU89" s="637"/>
      <c r="SV89" s="637"/>
      <c r="SW89" s="637"/>
      <c r="SX89" s="637"/>
      <c r="SY89" s="637"/>
      <c r="SZ89" s="637"/>
      <c r="TA89" s="637"/>
      <c r="TB89" s="637"/>
      <c r="TC89" s="637"/>
      <c r="TD89" s="637"/>
      <c r="TE89" s="637"/>
      <c r="TF89" s="637"/>
      <c r="TG89" s="637"/>
      <c r="TH89" s="637"/>
      <c r="TI89" s="637"/>
      <c r="TJ89" s="637"/>
      <c r="TK89" s="637"/>
      <c r="TL89" s="637"/>
      <c r="TM89" s="637"/>
      <c r="TN89" s="637"/>
      <c r="TO89" s="637"/>
      <c r="TP89" s="637"/>
      <c r="TQ89" s="637"/>
      <c r="TR89" s="637"/>
      <c r="TS89" s="637"/>
      <c r="TT89" s="637"/>
      <c r="TU89" s="637"/>
      <c r="TV89" s="637"/>
      <c r="TW89" s="637"/>
      <c r="TX89" s="637"/>
      <c r="TY89" s="637"/>
      <c r="TZ89" s="637"/>
      <c r="UA89" s="637"/>
      <c r="UB89" s="637"/>
      <c r="UC89" s="637"/>
      <c r="UD89" s="637"/>
      <c r="UE89" s="637"/>
      <c r="UF89" s="637"/>
      <c r="UG89" s="637"/>
      <c r="UH89" s="637"/>
      <c r="UI89" s="637"/>
      <c r="UJ89" s="637"/>
      <c r="UK89" s="637"/>
      <c r="UL89" s="637"/>
      <c r="UM89" s="637"/>
      <c r="UN89" s="637"/>
      <c r="UO89" s="637"/>
      <c r="UP89" s="637"/>
      <c r="UQ89" s="637"/>
      <c r="UR89" s="637"/>
      <c r="US89" s="637"/>
      <c r="UT89" s="637"/>
      <c r="UU89" s="637"/>
      <c r="UV89" s="637"/>
      <c r="UW89" s="637"/>
      <c r="UX89" s="637"/>
      <c r="UY89" s="637"/>
      <c r="UZ89" s="637"/>
      <c r="VA89" s="637"/>
      <c r="VB89" s="637"/>
      <c r="VC89" s="637"/>
      <c r="VD89" s="637"/>
      <c r="VE89" s="637"/>
      <c r="VF89" s="637"/>
      <c r="VG89" s="637"/>
      <c r="VH89" s="637"/>
      <c r="VI89" s="637"/>
      <c r="VJ89" s="637"/>
      <c r="VK89" s="637"/>
      <c r="VL89" s="637"/>
      <c r="VM89" s="637"/>
      <c r="VN89" s="637"/>
      <c r="VO89" s="637"/>
      <c r="VP89" s="637"/>
      <c r="VQ89" s="637"/>
      <c r="VR89" s="637"/>
      <c r="VS89" s="637"/>
      <c r="VT89" s="637"/>
      <c r="VU89" s="637"/>
      <c r="VV89" s="637"/>
      <c r="VW89" s="637"/>
      <c r="VX89" s="637"/>
      <c r="VY89" s="637"/>
      <c r="VZ89" s="637"/>
      <c r="WA89" s="637"/>
      <c r="WB89" s="637"/>
      <c r="WC89" s="637"/>
      <c r="WD89" s="637"/>
      <c r="WE89" s="637"/>
      <c r="WF89" s="637"/>
      <c r="WG89" s="637"/>
      <c r="WH89" s="637"/>
      <c r="WI89" s="637"/>
      <c r="WJ89" s="637"/>
      <c r="WK89" s="637"/>
      <c r="WL89" s="637"/>
      <c r="WM89" s="637"/>
      <c r="WN89" s="637"/>
      <c r="WO89" s="637"/>
      <c r="WP89" s="637"/>
      <c r="WQ89" s="637"/>
      <c r="WR89" s="637"/>
      <c r="WS89" s="637"/>
      <c r="WT89" s="637"/>
      <c r="WU89" s="637"/>
      <c r="WV89" s="637"/>
      <c r="WW89" s="637"/>
      <c r="WX89" s="637"/>
      <c r="WY89" s="637"/>
      <c r="WZ89" s="637"/>
      <c r="XA89" s="637"/>
      <c r="XB89" s="637"/>
      <c r="XC89" s="637"/>
      <c r="XD89" s="637"/>
      <c r="XE89" s="637"/>
      <c r="XF89" s="637"/>
      <c r="XG89" s="637"/>
      <c r="XH89" s="637"/>
      <c r="XI89" s="637"/>
      <c r="XJ89" s="637"/>
      <c r="XK89" s="637"/>
      <c r="XL89" s="637"/>
      <c r="XM89" s="637"/>
      <c r="XN89" s="637"/>
      <c r="XO89" s="637"/>
      <c r="XP89" s="637"/>
      <c r="XQ89" s="637"/>
      <c r="XR89" s="637"/>
      <c r="XS89" s="637"/>
      <c r="XT89" s="637"/>
      <c r="XU89" s="637"/>
      <c r="XV89" s="637"/>
      <c r="XW89" s="637"/>
      <c r="XX89" s="637"/>
      <c r="XY89" s="637"/>
      <c r="XZ89" s="637"/>
      <c r="YA89" s="637"/>
      <c r="YB89" s="637"/>
      <c r="YC89" s="637"/>
      <c r="YD89" s="637"/>
      <c r="YE89" s="637"/>
      <c r="YF89" s="637"/>
      <c r="YG89" s="637"/>
      <c r="YH89" s="637"/>
      <c r="YI89" s="637"/>
      <c r="YJ89" s="637"/>
      <c r="YK89" s="637"/>
      <c r="YL89" s="637"/>
      <c r="YM89" s="637"/>
      <c r="YN89" s="637"/>
      <c r="YO89" s="637"/>
      <c r="YP89" s="637"/>
      <c r="YQ89" s="637"/>
      <c r="YR89" s="637"/>
      <c r="YS89" s="637"/>
      <c r="YT89" s="637"/>
      <c r="YU89" s="637"/>
      <c r="YV89" s="637"/>
      <c r="YW89" s="637"/>
      <c r="YX89" s="637"/>
      <c r="YY89" s="637"/>
      <c r="YZ89" s="637"/>
      <c r="ZA89" s="637"/>
      <c r="ZB89" s="637"/>
      <c r="ZC89" s="637"/>
      <c r="ZD89" s="637"/>
      <c r="ZE89" s="637"/>
      <c r="ZF89" s="637"/>
      <c r="ZG89" s="637"/>
      <c r="ZH89" s="637"/>
      <c r="ZI89" s="637"/>
      <c r="ZJ89" s="637"/>
      <c r="ZK89" s="637"/>
      <c r="ZL89" s="637"/>
      <c r="ZM89" s="637"/>
      <c r="ZN89" s="637"/>
      <c r="ZO89" s="637"/>
      <c r="ZP89" s="637"/>
      <c r="ZQ89" s="637"/>
      <c r="ZR89" s="637"/>
      <c r="ZS89" s="637"/>
      <c r="ZT89" s="637"/>
      <c r="ZU89" s="637"/>
      <c r="ZV89" s="637"/>
      <c r="ZW89" s="637"/>
      <c r="ZX89" s="637"/>
      <c r="ZY89" s="637"/>
      <c r="ZZ89" s="637"/>
      <c r="AAA89" s="637"/>
      <c r="AAB89" s="637"/>
      <c r="AAC89" s="637"/>
      <c r="AAD89" s="637"/>
      <c r="AAE89" s="637"/>
      <c r="AAF89" s="637"/>
      <c r="AAG89" s="637"/>
      <c r="AAH89" s="637"/>
      <c r="AAI89" s="637"/>
      <c r="AAJ89" s="637"/>
      <c r="AAK89" s="637"/>
      <c r="AAL89" s="637"/>
      <c r="AAM89" s="637"/>
      <c r="AAN89" s="637"/>
      <c r="AAO89" s="637"/>
      <c r="AAP89" s="637"/>
      <c r="AAQ89" s="637"/>
      <c r="AAR89" s="637"/>
      <c r="AAS89" s="637"/>
      <c r="AAT89" s="637"/>
      <c r="AAU89" s="637"/>
      <c r="AAV89" s="637"/>
      <c r="AAW89" s="637"/>
      <c r="AAX89" s="637"/>
      <c r="AAY89" s="637"/>
      <c r="AAZ89" s="637"/>
      <c r="ABA89" s="637"/>
      <c r="ABB89" s="637"/>
      <c r="ABC89" s="637"/>
      <c r="ABD89" s="637"/>
      <c r="ABE89" s="637"/>
      <c r="ABF89" s="637"/>
      <c r="ABG89" s="637"/>
      <c r="ABH89" s="637"/>
      <c r="ABI89" s="637"/>
      <c r="ABJ89" s="637"/>
      <c r="ABK89" s="637"/>
      <c r="ABL89" s="637"/>
      <c r="ABM89" s="637"/>
      <c r="ABN89" s="637"/>
      <c r="ABO89" s="637"/>
      <c r="ABP89" s="637"/>
      <c r="ABQ89" s="637"/>
      <c r="ABR89" s="637"/>
      <c r="ABS89" s="637"/>
      <c r="ABT89" s="637"/>
      <c r="ABU89" s="637"/>
      <c r="ABV89" s="637"/>
      <c r="ABW89" s="637"/>
      <c r="ABX89" s="637"/>
      <c r="ABY89" s="637"/>
      <c r="ABZ89" s="637"/>
      <c r="ACA89" s="637"/>
      <c r="ACB89" s="637"/>
      <c r="ACC89" s="637"/>
      <c r="ACD89" s="637"/>
      <c r="ACE89" s="637"/>
      <c r="ACF89" s="637"/>
      <c r="ACG89" s="637"/>
      <c r="ACH89" s="637"/>
      <c r="ACI89" s="637"/>
      <c r="ACJ89" s="637"/>
      <c r="ACK89" s="637"/>
      <c r="ACL89" s="637"/>
      <c r="ACM89" s="637"/>
      <c r="ACN89" s="637"/>
      <c r="ACO89" s="637"/>
      <c r="ACP89" s="637"/>
      <c r="ACQ89" s="637"/>
      <c r="ACR89" s="637"/>
      <c r="ACS89" s="637"/>
      <c r="ACT89" s="637"/>
      <c r="ACU89" s="637"/>
      <c r="ACV89" s="637"/>
      <c r="ACW89" s="637"/>
      <c r="ACX89" s="637"/>
      <c r="ACY89" s="637"/>
      <c r="ACZ89" s="637"/>
      <c r="ADA89" s="637"/>
      <c r="ADB89" s="637"/>
      <c r="ADC89" s="637"/>
      <c r="ADD89" s="637"/>
      <c r="ADE89" s="637"/>
      <c r="ADF89" s="637"/>
      <c r="ADG89" s="637"/>
      <c r="ADH89" s="637"/>
      <c r="ADI89" s="637"/>
      <c r="ADJ89" s="637"/>
      <c r="ADK89" s="637"/>
      <c r="ADL89" s="637"/>
      <c r="ADM89" s="637"/>
      <c r="ADN89" s="637"/>
      <c r="ADO89" s="637"/>
      <c r="ADP89" s="637"/>
      <c r="ADQ89" s="637"/>
      <c r="ADR89" s="637"/>
      <c r="ADS89" s="637"/>
      <c r="ADT89" s="637"/>
      <c r="ADU89" s="637"/>
      <c r="ADV89" s="637"/>
      <c r="ADW89" s="637"/>
      <c r="ADX89" s="637"/>
      <c r="ADY89" s="637"/>
      <c r="ADZ89" s="637"/>
      <c r="AEA89" s="637"/>
      <c r="AEB89" s="637"/>
      <c r="AEC89" s="637"/>
      <c r="AED89" s="637"/>
      <c r="AEE89" s="637"/>
      <c r="AEF89" s="637"/>
      <c r="AEG89" s="637"/>
      <c r="AEH89" s="637"/>
      <c r="AEI89" s="637"/>
      <c r="AEJ89" s="637"/>
      <c r="AEK89" s="637"/>
      <c r="AEL89" s="637"/>
      <c r="AEM89" s="637"/>
      <c r="AEN89" s="637"/>
      <c r="AEO89" s="637"/>
      <c r="AEP89" s="637"/>
      <c r="AEQ89" s="637"/>
      <c r="AER89" s="637"/>
      <c r="AES89" s="637"/>
      <c r="AET89" s="637"/>
      <c r="AEU89" s="637"/>
      <c r="AEV89" s="637"/>
      <c r="AEW89" s="637"/>
      <c r="AEX89" s="637"/>
      <c r="AEY89" s="637"/>
      <c r="AEZ89" s="637"/>
      <c r="AFA89" s="637"/>
      <c r="AFB89" s="637"/>
      <c r="AFC89" s="637"/>
      <c r="AFD89" s="637"/>
      <c r="AFE89" s="637"/>
      <c r="AFF89" s="637"/>
      <c r="AFG89" s="637"/>
      <c r="AFH89" s="637"/>
      <c r="AFI89" s="637"/>
      <c r="AFJ89" s="637"/>
      <c r="AFK89" s="637"/>
      <c r="AFL89" s="637"/>
      <c r="AFM89" s="637"/>
      <c r="AFN89" s="637"/>
      <c r="AFO89" s="637"/>
      <c r="AFP89" s="637"/>
      <c r="AFQ89" s="637"/>
      <c r="AFR89" s="637"/>
      <c r="AFS89" s="637"/>
      <c r="AFT89" s="637"/>
      <c r="AFU89" s="637"/>
      <c r="AFV89" s="637"/>
      <c r="AFW89" s="637"/>
      <c r="AFX89" s="637"/>
      <c r="AFY89" s="637"/>
      <c r="AFZ89" s="637"/>
      <c r="AGA89" s="637"/>
      <c r="AGB89" s="637"/>
      <c r="AGC89" s="637"/>
      <c r="AGD89" s="637"/>
      <c r="AGE89" s="637"/>
      <c r="AGF89" s="637"/>
      <c r="AGG89" s="637"/>
      <c r="AGH89" s="637"/>
      <c r="AGI89" s="637"/>
      <c r="AGJ89" s="637"/>
      <c r="AGK89" s="637"/>
      <c r="AGL89" s="637"/>
      <c r="AGM89" s="637"/>
      <c r="AGN89" s="637"/>
      <c r="AGO89" s="637"/>
      <c r="AGP89" s="637"/>
      <c r="AGQ89" s="637"/>
      <c r="AGR89" s="637"/>
      <c r="AGS89" s="637"/>
      <c r="AGT89" s="637"/>
      <c r="AGU89" s="637"/>
      <c r="AGV89" s="637"/>
      <c r="AGW89" s="637"/>
      <c r="AGX89" s="637"/>
      <c r="AGY89" s="637"/>
      <c r="AGZ89" s="637"/>
      <c r="AHA89" s="637"/>
      <c r="AHB89" s="637"/>
      <c r="AHC89" s="637"/>
      <c r="AHD89" s="637"/>
      <c r="AHE89" s="637"/>
      <c r="AHF89" s="637"/>
      <c r="AHG89" s="637"/>
      <c r="AHH89" s="637"/>
      <c r="AHI89" s="637"/>
      <c r="AHJ89" s="637"/>
      <c r="AHK89" s="637"/>
      <c r="AHL89" s="637"/>
      <c r="AHM89" s="637"/>
      <c r="AHN89" s="637"/>
      <c r="AHO89" s="637"/>
      <c r="AHP89" s="637"/>
      <c r="AHQ89" s="637"/>
      <c r="AHR89" s="637"/>
      <c r="AHS89" s="637"/>
      <c r="AHT89" s="637"/>
      <c r="AHU89" s="637"/>
      <c r="AHV89" s="637"/>
      <c r="AHW89" s="637"/>
      <c r="AHX89" s="637"/>
      <c r="AHY89" s="637"/>
      <c r="AHZ89" s="637"/>
      <c r="AIA89" s="637"/>
      <c r="AIB89" s="637"/>
      <c r="AIC89" s="637"/>
      <c r="AID89" s="637"/>
      <c r="AIE89" s="637"/>
      <c r="AIF89" s="637"/>
      <c r="AIG89" s="637"/>
      <c r="AIH89" s="637"/>
      <c r="AII89" s="637"/>
      <c r="AIJ89" s="637"/>
      <c r="AIK89" s="637"/>
      <c r="AIL89" s="637"/>
      <c r="AIM89" s="637"/>
      <c r="AIN89" s="637"/>
      <c r="AIO89" s="637"/>
      <c r="AIP89" s="637"/>
      <c r="AIQ89" s="637"/>
      <c r="AIR89" s="637"/>
      <c r="AIS89" s="637"/>
      <c r="AIT89" s="637"/>
      <c r="AIU89" s="637"/>
      <c r="AIV89" s="637"/>
      <c r="AIW89" s="637"/>
      <c r="AIX89" s="637"/>
      <c r="AIY89" s="637"/>
      <c r="AIZ89" s="637"/>
      <c r="AJA89" s="637"/>
      <c r="AJB89" s="637"/>
      <c r="AJC89" s="637"/>
      <c r="AJD89" s="637"/>
      <c r="AJE89" s="637"/>
      <c r="AJF89" s="637"/>
      <c r="AJG89" s="637"/>
      <c r="AJH89" s="637"/>
      <c r="AJI89" s="637"/>
      <c r="AJJ89" s="637"/>
      <c r="AJK89" s="637"/>
      <c r="AJL89" s="637"/>
      <c r="AJM89" s="637"/>
      <c r="AJN89" s="637"/>
      <c r="AJO89" s="637"/>
      <c r="AJP89" s="637"/>
      <c r="AJQ89" s="637"/>
      <c r="AJR89" s="637"/>
      <c r="AJS89" s="637"/>
      <c r="AJT89" s="637"/>
      <c r="AJU89" s="637"/>
      <c r="AJV89" s="637"/>
      <c r="AJW89" s="637"/>
      <c r="AJX89" s="637"/>
      <c r="AJY89" s="637"/>
      <c r="AJZ89" s="637"/>
      <c r="AKA89" s="637"/>
      <c r="AKB89" s="637"/>
      <c r="AKC89" s="637"/>
      <c r="AKD89" s="637"/>
      <c r="AKE89" s="637"/>
      <c r="AKF89" s="637"/>
      <c r="AKG89" s="637"/>
      <c r="AKH89" s="637"/>
      <c r="AKI89" s="637"/>
      <c r="AKJ89" s="637"/>
      <c r="AKK89" s="637"/>
      <c r="AKL89" s="637"/>
      <c r="AKM89" s="637"/>
      <c r="AKN89" s="637"/>
      <c r="AKO89" s="637"/>
      <c r="AKP89" s="637"/>
      <c r="AKQ89" s="637"/>
      <c r="AKR89" s="637"/>
      <c r="AKS89" s="637"/>
      <c r="AKT89" s="637"/>
      <c r="AKU89" s="637"/>
      <c r="AKV89" s="637"/>
      <c r="AKW89" s="637"/>
      <c r="AKX89" s="637"/>
      <c r="AKY89" s="637"/>
      <c r="AKZ89" s="637"/>
      <c r="ALA89" s="637"/>
      <c r="ALB89" s="637"/>
      <c r="ALC89" s="637"/>
      <c r="ALD89" s="637"/>
      <c r="ALE89" s="637"/>
      <c r="ALF89" s="637"/>
      <c r="ALG89" s="637"/>
      <c r="ALH89" s="637"/>
      <c r="ALI89" s="637"/>
      <c r="ALJ89" s="637"/>
      <c r="ALK89" s="637"/>
      <c r="ALL89" s="637"/>
      <c r="ALM89" s="637"/>
      <c r="ALN89" s="637"/>
      <c r="ALO89" s="637"/>
      <c r="ALP89" s="637"/>
      <c r="ALQ89" s="637"/>
      <c r="ALR89" s="637"/>
      <c r="ALS89" s="637"/>
      <c r="ALT89" s="637"/>
      <c r="ALU89" s="637"/>
      <c r="ALV89" s="637"/>
      <c r="ALW89" s="637"/>
      <c r="ALX89" s="637"/>
      <c r="ALY89" s="637"/>
      <c r="ALZ89" s="637"/>
      <c r="AMA89" s="637"/>
      <c r="AMB89" s="637"/>
      <c r="AMC89" s="637"/>
      <c r="AMD89" s="637"/>
      <c r="AME89" s="637"/>
      <c r="AMF89" s="637"/>
      <c r="AMG89" s="637"/>
      <c r="AMH89" s="637"/>
      <c r="AMI89" s="637"/>
      <c r="AMJ89" s="637"/>
    </row>
    <row r="90" spans="1:1024" s="638" customFormat="1" ht="46.5">
      <c r="A90" s="984" t="s">
        <v>121</v>
      </c>
      <c r="B90" s="985" t="s">
        <v>1015</v>
      </c>
      <c r="C90" s="986" t="s">
        <v>1016</v>
      </c>
      <c r="D90" s="981" t="s">
        <v>4</v>
      </c>
      <c r="E90" s="982">
        <v>0</v>
      </c>
      <c r="F90" s="982">
        <f t="shared" si="10"/>
        <v>0</v>
      </c>
      <c r="G90" s="987"/>
      <c r="H90" s="987"/>
      <c r="I90" s="987"/>
      <c r="J90" s="987"/>
      <c r="K90" s="987"/>
      <c r="L90" s="987"/>
      <c r="M90" s="987"/>
      <c r="N90" s="987"/>
      <c r="O90" s="987"/>
      <c r="P90" s="987"/>
      <c r="Q90" s="987"/>
      <c r="R90" s="984"/>
      <c r="S90" s="637"/>
      <c r="T90" s="637"/>
      <c r="U90" s="637"/>
      <c r="V90" s="637"/>
      <c r="W90" s="637"/>
      <c r="X90" s="637"/>
      <c r="Y90" s="637"/>
      <c r="Z90" s="637"/>
      <c r="AA90" s="637"/>
      <c r="AB90" s="637"/>
      <c r="AC90" s="637"/>
      <c r="AD90" s="637"/>
      <c r="AE90" s="637"/>
      <c r="AF90" s="637"/>
      <c r="AG90" s="637"/>
      <c r="AH90" s="637"/>
      <c r="AI90" s="637"/>
      <c r="AJ90" s="637"/>
      <c r="AK90" s="637"/>
      <c r="AL90" s="637"/>
      <c r="AM90" s="637"/>
      <c r="AN90" s="637"/>
      <c r="AO90" s="637"/>
      <c r="AP90" s="637"/>
      <c r="AQ90" s="637"/>
      <c r="AR90" s="637"/>
      <c r="AS90" s="637"/>
      <c r="AT90" s="637"/>
      <c r="AU90" s="637"/>
      <c r="AV90" s="637"/>
      <c r="AW90" s="637"/>
      <c r="AX90" s="637"/>
      <c r="AY90" s="637"/>
      <c r="AZ90" s="637"/>
      <c r="BA90" s="637"/>
      <c r="BB90" s="637"/>
      <c r="BC90" s="637"/>
      <c r="BD90" s="637"/>
      <c r="BE90" s="637"/>
      <c r="BF90" s="637"/>
      <c r="BG90" s="637"/>
      <c r="BH90" s="637"/>
      <c r="BI90" s="637"/>
      <c r="BJ90" s="637"/>
      <c r="BK90" s="637"/>
      <c r="BL90" s="637"/>
      <c r="BM90" s="637"/>
      <c r="BN90" s="637"/>
      <c r="BO90" s="637"/>
      <c r="BP90" s="637"/>
      <c r="BQ90" s="637"/>
      <c r="BR90" s="637"/>
      <c r="BS90" s="637"/>
      <c r="BT90" s="637"/>
      <c r="BU90" s="637"/>
      <c r="BV90" s="637"/>
      <c r="BW90" s="637"/>
      <c r="BX90" s="637"/>
      <c r="BY90" s="637"/>
      <c r="BZ90" s="637"/>
      <c r="CA90" s="637"/>
      <c r="CB90" s="637"/>
      <c r="CC90" s="637"/>
      <c r="CD90" s="637"/>
      <c r="CE90" s="637"/>
      <c r="CF90" s="637"/>
      <c r="CG90" s="637"/>
      <c r="CH90" s="637"/>
      <c r="CI90" s="637"/>
      <c r="CJ90" s="637"/>
      <c r="CK90" s="637"/>
      <c r="CL90" s="637"/>
      <c r="CM90" s="637"/>
      <c r="CN90" s="637"/>
      <c r="CO90" s="637"/>
      <c r="CP90" s="637"/>
      <c r="CQ90" s="637"/>
      <c r="CR90" s="637"/>
      <c r="CS90" s="637"/>
      <c r="CT90" s="637"/>
      <c r="CU90" s="637"/>
      <c r="CV90" s="637"/>
      <c r="CW90" s="637"/>
      <c r="CX90" s="637"/>
      <c r="CY90" s="637"/>
      <c r="CZ90" s="637"/>
      <c r="DA90" s="637"/>
      <c r="DB90" s="637"/>
      <c r="DC90" s="637"/>
      <c r="DD90" s="637"/>
      <c r="DE90" s="637"/>
      <c r="DF90" s="637"/>
      <c r="DG90" s="637"/>
      <c r="DH90" s="637"/>
      <c r="DI90" s="637"/>
      <c r="DJ90" s="637"/>
      <c r="DK90" s="637"/>
      <c r="DL90" s="637"/>
      <c r="DM90" s="637"/>
      <c r="DN90" s="637"/>
      <c r="DO90" s="637"/>
      <c r="DP90" s="637"/>
      <c r="DQ90" s="637"/>
      <c r="DR90" s="637"/>
      <c r="DS90" s="637"/>
      <c r="DT90" s="637"/>
      <c r="DU90" s="637"/>
      <c r="DV90" s="637"/>
      <c r="DW90" s="637"/>
      <c r="DX90" s="637"/>
      <c r="DY90" s="637"/>
      <c r="DZ90" s="637"/>
      <c r="EA90" s="637"/>
      <c r="EB90" s="637"/>
      <c r="EC90" s="637"/>
      <c r="ED90" s="637"/>
      <c r="EE90" s="637"/>
      <c r="EF90" s="637"/>
      <c r="EG90" s="637"/>
      <c r="EH90" s="637"/>
      <c r="EI90" s="637"/>
      <c r="EJ90" s="637"/>
      <c r="EK90" s="637"/>
      <c r="EL90" s="637"/>
      <c r="EM90" s="637"/>
      <c r="EN90" s="637"/>
      <c r="EO90" s="637"/>
      <c r="EP90" s="637"/>
      <c r="EQ90" s="637"/>
      <c r="ER90" s="637"/>
      <c r="ES90" s="637"/>
      <c r="ET90" s="637"/>
      <c r="EU90" s="637"/>
      <c r="EV90" s="637"/>
      <c r="EW90" s="637"/>
      <c r="EX90" s="637"/>
      <c r="EY90" s="637"/>
      <c r="EZ90" s="637"/>
      <c r="FA90" s="637"/>
      <c r="FB90" s="637"/>
      <c r="FC90" s="637"/>
      <c r="FD90" s="637"/>
      <c r="FE90" s="637"/>
      <c r="FF90" s="637"/>
      <c r="FG90" s="637"/>
      <c r="FH90" s="637"/>
      <c r="FI90" s="637"/>
      <c r="FJ90" s="637"/>
      <c r="FK90" s="637"/>
      <c r="FL90" s="637"/>
      <c r="FM90" s="637"/>
      <c r="FN90" s="637"/>
      <c r="FO90" s="637"/>
      <c r="FP90" s="637"/>
      <c r="FQ90" s="637"/>
      <c r="FR90" s="637"/>
      <c r="FS90" s="637"/>
      <c r="FT90" s="637"/>
      <c r="FU90" s="637"/>
      <c r="FV90" s="637"/>
      <c r="FW90" s="637"/>
      <c r="FX90" s="637"/>
      <c r="FY90" s="637"/>
      <c r="FZ90" s="637"/>
      <c r="GA90" s="637"/>
      <c r="GB90" s="637"/>
      <c r="GC90" s="637"/>
      <c r="GD90" s="637"/>
      <c r="GE90" s="637"/>
      <c r="GF90" s="637"/>
      <c r="GG90" s="637"/>
      <c r="GH90" s="637"/>
      <c r="GI90" s="637"/>
      <c r="GJ90" s="637"/>
      <c r="GK90" s="637"/>
      <c r="GL90" s="637"/>
      <c r="GM90" s="637"/>
      <c r="GN90" s="637"/>
      <c r="GO90" s="637"/>
      <c r="GP90" s="637"/>
      <c r="GQ90" s="637"/>
      <c r="GR90" s="637"/>
      <c r="GS90" s="637"/>
      <c r="GT90" s="637"/>
      <c r="GU90" s="637"/>
      <c r="GV90" s="637"/>
      <c r="GW90" s="637"/>
      <c r="GX90" s="637"/>
      <c r="GY90" s="637"/>
      <c r="GZ90" s="637"/>
      <c r="HA90" s="637"/>
      <c r="HB90" s="637"/>
      <c r="HC90" s="637"/>
      <c r="HD90" s="637"/>
      <c r="HE90" s="637"/>
      <c r="HF90" s="637"/>
      <c r="HG90" s="637"/>
      <c r="HH90" s="637"/>
      <c r="HI90" s="637"/>
      <c r="HJ90" s="637"/>
      <c r="HK90" s="637"/>
      <c r="HL90" s="637"/>
      <c r="HM90" s="637"/>
      <c r="HN90" s="637"/>
      <c r="HO90" s="637"/>
      <c r="HP90" s="637"/>
      <c r="HQ90" s="637"/>
      <c r="HR90" s="637"/>
      <c r="HS90" s="637"/>
      <c r="HT90" s="637"/>
      <c r="HU90" s="637"/>
      <c r="HV90" s="637"/>
      <c r="HW90" s="637"/>
      <c r="HX90" s="637"/>
      <c r="HY90" s="637"/>
      <c r="HZ90" s="637"/>
      <c r="IA90" s="637"/>
      <c r="IB90" s="637"/>
      <c r="IC90" s="637"/>
      <c r="ID90" s="637"/>
      <c r="IE90" s="637"/>
      <c r="IF90" s="637"/>
      <c r="IG90" s="637"/>
      <c r="IH90" s="637"/>
      <c r="II90" s="637"/>
      <c r="IJ90" s="637"/>
      <c r="IK90" s="637"/>
      <c r="IL90" s="637"/>
      <c r="IM90" s="637"/>
      <c r="IN90" s="637"/>
      <c r="IO90" s="637"/>
      <c r="IP90" s="637"/>
      <c r="IQ90" s="637"/>
      <c r="IR90" s="637"/>
      <c r="IS90" s="637"/>
      <c r="IT90" s="637"/>
      <c r="IU90" s="637"/>
      <c r="IV90" s="637"/>
      <c r="IW90" s="637"/>
      <c r="IX90" s="637"/>
      <c r="IY90" s="637"/>
      <c r="IZ90" s="637"/>
      <c r="JA90" s="637"/>
      <c r="JB90" s="637"/>
      <c r="JC90" s="637"/>
      <c r="JD90" s="637"/>
      <c r="JE90" s="637"/>
      <c r="JF90" s="637"/>
      <c r="JG90" s="637"/>
      <c r="JH90" s="637"/>
      <c r="JI90" s="637"/>
      <c r="JJ90" s="637"/>
      <c r="JK90" s="637"/>
      <c r="JL90" s="637"/>
      <c r="JM90" s="637"/>
      <c r="JN90" s="637"/>
      <c r="JO90" s="637"/>
      <c r="JP90" s="637"/>
      <c r="JQ90" s="637"/>
      <c r="JR90" s="637"/>
      <c r="JS90" s="637"/>
      <c r="JT90" s="637"/>
      <c r="JU90" s="637"/>
      <c r="JV90" s="637"/>
      <c r="JW90" s="637"/>
      <c r="JX90" s="637"/>
      <c r="JY90" s="637"/>
      <c r="JZ90" s="637"/>
      <c r="KA90" s="637"/>
      <c r="KB90" s="637"/>
      <c r="KC90" s="637"/>
      <c r="KD90" s="637"/>
      <c r="KE90" s="637"/>
      <c r="KF90" s="637"/>
      <c r="KG90" s="637"/>
      <c r="KH90" s="637"/>
      <c r="KI90" s="637"/>
      <c r="KJ90" s="637"/>
      <c r="KK90" s="637"/>
      <c r="KL90" s="637"/>
      <c r="KM90" s="637"/>
      <c r="KN90" s="637"/>
      <c r="KO90" s="637"/>
      <c r="KP90" s="637"/>
      <c r="KQ90" s="637"/>
      <c r="KR90" s="637"/>
      <c r="KS90" s="637"/>
      <c r="KT90" s="637"/>
      <c r="KU90" s="637"/>
      <c r="KV90" s="637"/>
      <c r="KW90" s="637"/>
      <c r="KX90" s="637"/>
      <c r="KY90" s="637"/>
      <c r="KZ90" s="637"/>
      <c r="LA90" s="637"/>
      <c r="LB90" s="637"/>
      <c r="LC90" s="637"/>
      <c r="LD90" s="637"/>
      <c r="LE90" s="637"/>
      <c r="LF90" s="637"/>
      <c r="LG90" s="637"/>
      <c r="LH90" s="637"/>
      <c r="LI90" s="637"/>
      <c r="LJ90" s="637"/>
      <c r="LK90" s="637"/>
      <c r="LL90" s="637"/>
      <c r="LM90" s="637"/>
      <c r="LN90" s="637"/>
      <c r="LO90" s="637"/>
      <c r="LP90" s="637"/>
      <c r="LQ90" s="637"/>
      <c r="LR90" s="637"/>
      <c r="LS90" s="637"/>
      <c r="LT90" s="637"/>
      <c r="LU90" s="637"/>
      <c r="LV90" s="637"/>
      <c r="LW90" s="637"/>
      <c r="LX90" s="637"/>
      <c r="LY90" s="637"/>
      <c r="LZ90" s="637"/>
      <c r="MA90" s="637"/>
      <c r="MB90" s="637"/>
      <c r="MC90" s="637"/>
      <c r="MD90" s="637"/>
      <c r="ME90" s="637"/>
      <c r="MF90" s="637"/>
      <c r="MG90" s="637"/>
      <c r="MH90" s="637"/>
      <c r="MI90" s="637"/>
      <c r="MJ90" s="637"/>
      <c r="MK90" s="637"/>
      <c r="ML90" s="637"/>
      <c r="MM90" s="637"/>
      <c r="MN90" s="637"/>
      <c r="MO90" s="637"/>
      <c r="MP90" s="637"/>
      <c r="MQ90" s="637"/>
      <c r="MR90" s="637"/>
      <c r="MS90" s="637"/>
      <c r="MT90" s="637"/>
      <c r="MU90" s="637"/>
      <c r="MV90" s="637"/>
      <c r="MW90" s="637"/>
      <c r="MX90" s="637"/>
      <c r="MY90" s="637"/>
      <c r="MZ90" s="637"/>
      <c r="NA90" s="637"/>
      <c r="NB90" s="637"/>
      <c r="NC90" s="637"/>
      <c r="ND90" s="637"/>
      <c r="NE90" s="637"/>
      <c r="NF90" s="637"/>
      <c r="NG90" s="637"/>
      <c r="NH90" s="637"/>
      <c r="NI90" s="637"/>
      <c r="NJ90" s="637"/>
      <c r="NK90" s="637"/>
      <c r="NL90" s="637"/>
      <c r="NM90" s="637"/>
      <c r="NN90" s="637"/>
      <c r="NO90" s="637"/>
      <c r="NP90" s="637"/>
      <c r="NQ90" s="637"/>
      <c r="NR90" s="637"/>
      <c r="NS90" s="637"/>
      <c r="NT90" s="637"/>
      <c r="NU90" s="637"/>
      <c r="NV90" s="637"/>
      <c r="NW90" s="637"/>
      <c r="NX90" s="637"/>
      <c r="NY90" s="637"/>
      <c r="NZ90" s="637"/>
      <c r="OA90" s="637"/>
      <c r="OB90" s="637"/>
      <c r="OC90" s="637"/>
      <c r="OD90" s="637"/>
      <c r="OE90" s="637"/>
      <c r="OF90" s="637"/>
      <c r="OG90" s="637"/>
      <c r="OH90" s="637"/>
      <c r="OI90" s="637"/>
      <c r="OJ90" s="637"/>
      <c r="OK90" s="637"/>
      <c r="OL90" s="637"/>
      <c r="OM90" s="637"/>
      <c r="ON90" s="637"/>
      <c r="OO90" s="637"/>
      <c r="OP90" s="637"/>
      <c r="OQ90" s="637"/>
      <c r="OR90" s="637"/>
      <c r="OS90" s="637"/>
      <c r="OT90" s="637"/>
      <c r="OU90" s="637"/>
      <c r="OV90" s="637"/>
      <c r="OW90" s="637"/>
      <c r="OX90" s="637"/>
      <c r="OY90" s="637"/>
      <c r="OZ90" s="637"/>
      <c r="PA90" s="637"/>
      <c r="PB90" s="637"/>
      <c r="PC90" s="637"/>
      <c r="PD90" s="637"/>
      <c r="PE90" s="637"/>
      <c r="PF90" s="637"/>
      <c r="PG90" s="637"/>
      <c r="PH90" s="637"/>
      <c r="PI90" s="637"/>
      <c r="PJ90" s="637"/>
      <c r="PK90" s="637"/>
      <c r="PL90" s="637"/>
      <c r="PM90" s="637"/>
      <c r="PN90" s="637"/>
      <c r="PO90" s="637"/>
      <c r="PP90" s="637"/>
      <c r="PQ90" s="637"/>
      <c r="PR90" s="637"/>
      <c r="PS90" s="637"/>
      <c r="PT90" s="637"/>
      <c r="PU90" s="637"/>
      <c r="PV90" s="637"/>
      <c r="PW90" s="637"/>
      <c r="PX90" s="637"/>
      <c r="PY90" s="637"/>
      <c r="PZ90" s="637"/>
      <c r="QA90" s="637"/>
      <c r="QB90" s="637"/>
      <c r="QC90" s="637"/>
      <c r="QD90" s="637"/>
      <c r="QE90" s="637"/>
      <c r="QF90" s="637"/>
      <c r="QG90" s="637"/>
      <c r="QH90" s="637"/>
      <c r="QI90" s="637"/>
      <c r="QJ90" s="637"/>
      <c r="QK90" s="637"/>
      <c r="QL90" s="637"/>
      <c r="QM90" s="637"/>
      <c r="QN90" s="637"/>
      <c r="QO90" s="637"/>
      <c r="QP90" s="637"/>
      <c r="QQ90" s="637"/>
      <c r="QR90" s="637"/>
      <c r="QS90" s="637"/>
      <c r="QT90" s="637"/>
      <c r="QU90" s="637"/>
      <c r="QV90" s="637"/>
      <c r="QW90" s="637"/>
      <c r="QX90" s="637"/>
      <c r="QY90" s="637"/>
      <c r="QZ90" s="637"/>
      <c r="RA90" s="637"/>
      <c r="RB90" s="637"/>
      <c r="RC90" s="637"/>
      <c r="RD90" s="637"/>
      <c r="RE90" s="637"/>
      <c r="RF90" s="637"/>
      <c r="RG90" s="637"/>
      <c r="RH90" s="637"/>
      <c r="RI90" s="637"/>
      <c r="RJ90" s="637"/>
      <c r="RK90" s="637"/>
      <c r="RL90" s="637"/>
      <c r="RM90" s="637"/>
      <c r="RN90" s="637"/>
      <c r="RO90" s="637"/>
      <c r="RP90" s="637"/>
      <c r="RQ90" s="637"/>
      <c r="RR90" s="637"/>
      <c r="RS90" s="637"/>
      <c r="RT90" s="637"/>
      <c r="RU90" s="637"/>
      <c r="RV90" s="637"/>
      <c r="RW90" s="637"/>
      <c r="RX90" s="637"/>
      <c r="RY90" s="637"/>
      <c r="RZ90" s="637"/>
      <c r="SA90" s="637"/>
      <c r="SB90" s="637"/>
      <c r="SC90" s="637"/>
      <c r="SD90" s="637"/>
      <c r="SE90" s="637"/>
      <c r="SF90" s="637"/>
      <c r="SG90" s="637"/>
      <c r="SH90" s="637"/>
      <c r="SI90" s="637"/>
      <c r="SJ90" s="637"/>
      <c r="SK90" s="637"/>
      <c r="SL90" s="637"/>
      <c r="SM90" s="637"/>
      <c r="SN90" s="637"/>
      <c r="SO90" s="637"/>
      <c r="SP90" s="637"/>
      <c r="SQ90" s="637"/>
      <c r="SR90" s="637"/>
      <c r="SS90" s="637"/>
      <c r="ST90" s="637"/>
      <c r="SU90" s="637"/>
      <c r="SV90" s="637"/>
      <c r="SW90" s="637"/>
      <c r="SX90" s="637"/>
      <c r="SY90" s="637"/>
      <c r="SZ90" s="637"/>
      <c r="TA90" s="637"/>
      <c r="TB90" s="637"/>
      <c r="TC90" s="637"/>
      <c r="TD90" s="637"/>
      <c r="TE90" s="637"/>
      <c r="TF90" s="637"/>
      <c r="TG90" s="637"/>
      <c r="TH90" s="637"/>
      <c r="TI90" s="637"/>
      <c r="TJ90" s="637"/>
      <c r="TK90" s="637"/>
      <c r="TL90" s="637"/>
      <c r="TM90" s="637"/>
      <c r="TN90" s="637"/>
      <c r="TO90" s="637"/>
      <c r="TP90" s="637"/>
      <c r="TQ90" s="637"/>
      <c r="TR90" s="637"/>
      <c r="TS90" s="637"/>
      <c r="TT90" s="637"/>
      <c r="TU90" s="637"/>
      <c r="TV90" s="637"/>
      <c r="TW90" s="637"/>
      <c r="TX90" s="637"/>
      <c r="TY90" s="637"/>
      <c r="TZ90" s="637"/>
      <c r="UA90" s="637"/>
      <c r="UB90" s="637"/>
      <c r="UC90" s="637"/>
      <c r="UD90" s="637"/>
      <c r="UE90" s="637"/>
      <c r="UF90" s="637"/>
      <c r="UG90" s="637"/>
      <c r="UH90" s="637"/>
      <c r="UI90" s="637"/>
      <c r="UJ90" s="637"/>
      <c r="UK90" s="637"/>
      <c r="UL90" s="637"/>
      <c r="UM90" s="637"/>
      <c r="UN90" s="637"/>
      <c r="UO90" s="637"/>
      <c r="UP90" s="637"/>
      <c r="UQ90" s="637"/>
      <c r="UR90" s="637"/>
      <c r="US90" s="637"/>
      <c r="UT90" s="637"/>
      <c r="UU90" s="637"/>
      <c r="UV90" s="637"/>
      <c r="UW90" s="637"/>
      <c r="UX90" s="637"/>
      <c r="UY90" s="637"/>
      <c r="UZ90" s="637"/>
      <c r="VA90" s="637"/>
      <c r="VB90" s="637"/>
      <c r="VC90" s="637"/>
      <c r="VD90" s="637"/>
      <c r="VE90" s="637"/>
      <c r="VF90" s="637"/>
      <c r="VG90" s="637"/>
      <c r="VH90" s="637"/>
      <c r="VI90" s="637"/>
      <c r="VJ90" s="637"/>
      <c r="VK90" s="637"/>
      <c r="VL90" s="637"/>
      <c r="VM90" s="637"/>
      <c r="VN90" s="637"/>
      <c r="VO90" s="637"/>
      <c r="VP90" s="637"/>
      <c r="VQ90" s="637"/>
      <c r="VR90" s="637"/>
      <c r="VS90" s="637"/>
      <c r="VT90" s="637"/>
      <c r="VU90" s="637"/>
      <c r="VV90" s="637"/>
      <c r="VW90" s="637"/>
      <c r="VX90" s="637"/>
      <c r="VY90" s="637"/>
      <c r="VZ90" s="637"/>
      <c r="WA90" s="637"/>
      <c r="WB90" s="637"/>
      <c r="WC90" s="637"/>
      <c r="WD90" s="637"/>
      <c r="WE90" s="637"/>
      <c r="WF90" s="637"/>
      <c r="WG90" s="637"/>
      <c r="WH90" s="637"/>
      <c r="WI90" s="637"/>
      <c r="WJ90" s="637"/>
      <c r="WK90" s="637"/>
      <c r="WL90" s="637"/>
      <c r="WM90" s="637"/>
      <c r="WN90" s="637"/>
      <c r="WO90" s="637"/>
      <c r="WP90" s="637"/>
      <c r="WQ90" s="637"/>
      <c r="WR90" s="637"/>
      <c r="WS90" s="637"/>
      <c r="WT90" s="637"/>
      <c r="WU90" s="637"/>
      <c r="WV90" s="637"/>
      <c r="WW90" s="637"/>
      <c r="WX90" s="637"/>
      <c r="WY90" s="637"/>
      <c r="WZ90" s="637"/>
      <c r="XA90" s="637"/>
      <c r="XB90" s="637"/>
      <c r="XC90" s="637"/>
      <c r="XD90" s="637"/>
      <c r="XE90" s="637"/>
      <c r="XF90" s="637"/>
      <c r="XG90" s="637"/>
      <c r="XH90" s="637"/>
      <c r="XI90" s="637"/>
      <c r="XJ90" s="637"/>
      <c r="XK90" s="637"/>
      <c r="XL90" s="637"/>
      <c r="XM90" s="637"/>
      <c r="XN90" s="637"/>
      <c r="XO90" s="637"/>
      <c r="XP90" s="637"/>
      <c r="XQ90" s="637"/>
      <c r="XR90" s="637"/>
      <c r="XS90" s="637"/>
      <c r="XT90" s="637"/>
      <c r="XU90" s="637"/>
      <c r="XV90" s="637"/>
      <c r="XW90" s="637"/>
      <c r="XX90" s="637"/>
      <c r="XY90" s="637"/>
      <c r="XZ90" s="637"/>
      <c r="YA90" s="637"/>
      <c r="YB90" s="637"/>
      <c r="YC90" s="637"/>
      <c r="YD90" s="637"/>
      <c r="YE90" s="637"/>
      <c r="YF90" s="637"/>
      <c r="YG90" s="637"/>
      <c r="YH90" s="637"/>
      <c r="YI90" s="637"/>
      <c r="YJ90" s="637"/>
      <c r="YK90" s="637"/>
      <c r="YL90" s="637"/>
      <c r="YM90" s="637"/>
      <c r="YN90" s="637"/>
      <c r="YO90" s="637"/>
      <c r="YP90" s="637"/>
      <c r="YQ90" s="637"/>
      <c r="YR90" s="637"/>
      <c r="YS90" s="637"/>
      <c r="YT90" s="637"/>
      <c r="YU90" s="637"/>
      <c r="YV90" s="637"/>
      <c r="YW90" s="637"/>
      <c r="YX90" s="637"/>
      <c r="YY90" s="637"/>
      <c r="YZ90" s="637"/>
      <c r="ZA90" s="637"/>
      <c r="ZB90" s="637"/>
      <c r="ZC90" s="637"/>
      <c r="ZD90" s="637"/>
      <c r="ZE90" s="637"/>
      <c r="ZF90" s="637"/>
      <c r="ZG90" s="637"/>
      <c r="ZH90" s="637"/>
      <c r="ZI90" s="637"/>
      <c r="ZJ90" s="637"/>
      <c r="ZK90" s="637"/>
      <c r="ZL90" s="637"/>
      <c r="ZM90" s="637"/>
      <c r="ZN90" s="637"/>
      <c r="ZO90" s="637"/>
      <c r="ZP90" s="637"/>
      <c r="ZQ90" s="637"/>
      <c r="ZR90" s="637"/>
      <c r="ZS90" s="637"/>
      <c r="ZT90" s="637"/>
      <c r="ZU90" s="637"/>
      <c r="ZV90" s="637"/>
      <c r="ZW90" s="637"/>
      <c r="ZX90" s="637"/>
      <c r="ZY90" s="637"/>
      <c r="ZZ90" s="637"/>
      <c r="AAA90" s="637"/>
      <c r="AAB90" s="637"/>
      <c r="AAC90" s="637"/>
      <c r="AAD90" s="637"/>
      <c r="AAE90" s="637"/>
      <c r="AAF90" s="637"/>
      <c r="AAG90" s="637"/>
      <c r="AAH90" s="637"/>
      <c r="AAI90" s="637"/>
      <c r="AAJ90" s="637"/>
      <c r="AAK90" s="637"/>
      <c r="AAL90" s="637"/>
      <c r="AAM90" s="637"/>
      <c r="AAN90" s="637"/>
      <c r="AAO90" s="637"/>
      <c r="AAP90" s="637"/>
      <c r="AAQ90" s="637"/>
      <c r="AAR90" s="637"/>
      <c r="AAS90" s="637"/>
      <c r="AAT90" s="637"/>
      <c r="AAU90" s="637"/>
      <c r="AAV90" s="637"/>
      <c r="AAW90" s="637"/>
      <c r="AAX90" s="637"/>
      <c r="AAY90" s="637"/>
      <c r="AAZ90" s="637"/>
      <c r="ABA90" s="637"/>
      <c r="ABB90" s="637"/>
      <c r="ABC90" s="637"/>
      <c r="ABD90" s="637"/>
      <c r="ABE90" s="637"/>
      <c r="ABF90" s="637"/>
      <c r="ABG90" s="637"/>
      <c r="ABH90" s="637"/>
      <c r="ABI90" s="637"/>
      <c r="ABJ90" s="637"/>
      <c r="ABK90" s="637"/>
      <c r="ABL90" s="637"/>
      <c r="ABM90" s="637"/>
      <c r="ABN90" s="637"/>
      <c r="ABO90" s="637"/>
      <c r="ABP90" s="637"/>
      <c r="ABQ90" s="637"/>
      <c r="ABR90" s="637"/>
      <c r="ABS90" s="637"/>
      <c r="ABT90" s="637"/>
      <c r="ABU90" s="637"/>
      <c r="ABV90" s="637"/>
      <c r="ABW90" s="637"/>
      <c r="ABX90" s="637"/>
      <c r="ABY90" s="637"/>
      <c r="ABZ90" s="637"/>
      <c r="ACA90" s="637"/>
      <c r="ACB90" s="637"/>
      <c r="ACC90" s="637"/>
      <c r="ACD90" s="637"/>
      <c r="ACE90" s="637"/>
      <c r="ACF90" s="637"/>
      <c r="ACG90" s="637"/>
      <c r="ACH90" s="637"/>
      <c r="ACI90" s="637"/>
      <c r="ACJ90" s="637"/>
      <c r="ACK90" s="637"/>
      <c r="ACL90" s="637"/>
      <c r="ACM90" s="637"/>
      <c r="ACN90" s="637"/>
      <c r="ACO90" s="637"/>
      <c r="ACP90" s="637"/>
      <c r="ACQ90" s="637"/>
      <c r="ACR90" s="637"/>
      <c r="ACS90" s="637"/>
      <c r="ACT90" s="637"/>
      <c r="ACU90" s="637"/>
      <c r="ACV90" s="637"/>
      <c r="ACW90" s="637"/>
      <c r="ACX90" s="637"/>
      <c r="ACY90" s="637"/>
      <c r="ACZ90" s="637"/>
      <c r="ADA90" s="637"/>
      <c r="ADB90" s="637"/>
      <c r="ADC90" s="637"/>
      <c r="ADD90" s="637"/>
      <c r="ADE90" s="637"/>
      <c r="ADF90" s="637"/>
      <c r="ADG90" s="637"/>
      <c r="ADH90" s="637"/>
      <c r="ADI90" s="637"/>
      <c r="ADJ90" s="637"/>
      <c r="ADK90" s="637"/>
      <c r="ADL90" s="637"/>
      <c r="ADM90" s="637"/>
      <c r="ADN90" s="637"/>
      <c r="ADO90" s="637"/>
      <c r="ADP90" s="637"/>
      <c r="ADQ90" s="637"/>
      <c r="ADR90" s="637"/>
      <c r="ADS90" s="637"/>
      <c r="ADT90" s="637"/>
      <c r="ADU90" s="637"/>
      <c r="ADV90" s="637"/>
      <c r="ADW90" s="637"/>
      <c r="ADX90" s="637"/>
      <c r="ADY90" s="637"/>
      <c r="ADZ90" s="637"/>
      <c r="AEA90" s="637"/>
      <c r="AEB90" s="637"/>
      <c r="AEC90" s="637"/>
      <c r="AED90" s="637"/>
      <c r="AEE90" s="637"/>
      <c r="AEF90" s="637"/>
      <c r="AEG90" s="637"/>
      <c r="AEH90" s="637"/>
      <c r="AEI90" s="637"/>
      <c r="AEJ90" s="637"/>
      <c r="AEK90" s="637"/>
      <c r="AEL90" s="637"/>
      <c r="AEM90" s="637"/>
      <c r="AEN90" s="637"/>
      <c r="AEO90" s="637"/>
      <c r="AEP90" s="637"/>
      <c r="AEQ90" s="637"/>
      <c r="AER90" s="637"/>
      <c r="AES90" s="637"/>
      <c r="AET90" s="637"/>
      <c r="AEU90" s="637"/>
      <c r="AEV90" s="637"/>
      <c r="AEW90" s="637"/>
      <c r="AEX90" s="637"/>
      <c r="AEY90" s="637"/>
      <c r="AEZ90" s="637"/>
      <c r="AFA90" s="637"/>
      <c r="AFB90" s="637"/>
      <c r="AFC90" s="637"/>
      <c r="AFD90" s="637"/>
      <c r="AFE90" s="637"/>
      <c r="AFF90" s="637"/>
      <c r="AFG90" s="637"/>
      <c r="AFH90" s="637"/>
      <c r="AFI90" s="637"/>
      <c r="AFJ90" s="637"/>
      <c r="AFK90" s="637"/>
      <c r="AFL90" s="637"/>
      <c r="AFM90" s="637"/>
      <c r="AFN90" s="637"/>
      <c r="AFO90" s="637"/>
      <c r="AFP90" s="637"/>
      <c r="AFQ90" s="637"/>
      <c r="AFR90" s="637"/>
      <c r="AFS90" s="637"/>
      <c r="AFT90" s="637"/>
      <c r="AFU90" s="637"/>
      <c r="AFV90" s="637"/>
      <c r="AFW90" s="637"/>
      <c r="AFX90" s="637"/>
      <c r="AFY90" s="637"/>
      <c r="AFZ90" s="637"/>
      <c r="AGA90" s="637"/>
      <c r="AGB90" s="637"/>
      <c r="AGC90" s="637"/>
      <c r="AGD90" s="637"/>
      <c r="AGE90" s="637"/>
      <c r="AGF90" s="637"/>
      <c r="AGG90" s="637"/>
      <c r="AGH90" s="637"/>
      <c r="AGI90" s="637"/>
      <c r="AGJ90" s="637"/>
      <c r="AGK90" s="637"/>
      <c r="AGL90" s="637"/>
      <c r="AGM90" s="637"/>
      <c r="AGN90" s="637"/>
      <c r="AGO90" s="637"/>
      <c r="AGP90" s="637"/>
      <c r="AGQ90" s="637"/>
      <c r="AGR90" s="637"/>
      <c r="AGS90" s="637"/>
      <c r="AGT90" s="637"/>
      <c r="AGU90" s="637"/>
      <c r="AGV90" s="637"/>
      <c r="AGW90" s="637"/>
      <c r="AGX90" s="637"/>
      <c r="AGY90" s="637"/>
      <c r="AGZ90" s="637"/>
      <c r="AHA90" s="637"/>
      <c r="AHB90" s="637"/>
      <c r="AHC90" s="637"/>
      <c r="AHD90" s="637"/>
      <c r="AHE90" s="637"/>
      <c r="AHF90" s="637"/>
      <c r="AHG90" s="637"/>
      <c r="AHH90" s="637"/>
      <c r="AHI90" s="637"/>
      <c r="AHJ90" s="637"/>
      <c r="AHK90" s="637"/>
      <c r="AHL90" s="637"/>
      <c r="AHM90" s="637"/>
      <c r="AHN90" s="637"/>
      <c r="AHO90" s="637"/>
      <c r="AHP90" s="637"/>
      <c r="AHQ90" s="637"/>
      <c r="AHR90" s="637"/>
      <c r="AHS90" s="637"/>
      <c r="AHT90" s="637"/>
      <c r="AHU90" s="637"/>
      <c r="AHV90" s="637"/>
      <c r="AHW90" s="637"/>
      <c r="AHX90" s="637"/>
      <c r="AHY90" s="637"/>
      <c r="AHZ90" s="637"/>
      <c r="AIA90" s="637"/>
      <c r="AIB90" s="637"/>
      <c r="AIC90" s="637"/>
      <c r="AID90" s="637"/>
      <c r="AIE90" s="637"/>
      <c r="AIF90" s="637"/>
      <c r="AIG90" s="637"/>
      <c r="AIH90" s="637"/>
      <c r="AII90" s="637"/>
      <c r="AIJ90" s="637"/>
      <c r="AIK90" s="637"/>
      <c r="AIL90" s="637"/>
      <c r="AIM90" s="637"/>
      <c r="AIN90" s="637"/>
      <c r="AIO90" s="637"/>
      <c r="AIP90" s="637"/>
      <c r="AIQ90" s="637"/>
      <c r="AIR90" s="637"/>
      <c r="AIS90" s="637"/>
      <c r="AIT90" s="637"/>
      <c r="AIU90" s="637"/>
      <c r="AIV90" s="637"/>
      <c r="AIW90" s="637"/>
      <c r="AIX90" s="637"/>
      <c r="AIY90" s="637"/>
      <c r="AIZ90" s="637"/>
      <c r="AJA90" s="637"/>
      <c r="AJB90" s="637"/>
      <c r="AJC90" s="637"/>
      <c r="AJD90" s="637"/>
      <c r="AJE90" s="637"/>
      <c r="AJF90" s="637"/>
      <c r="AJG90" s="637"/>
      <c r="AJH90" s="637"/>
      <c r="AJI90" s="637"/>
      <c r="AJJ90" s="637"/>
      <c r="AJK90" s="637"/>
      <c r="AJL90" s="637"/>
      <c r="AJM90" s="637"/>
      <c r="AJN90" s="637"/>
      <c r="AJO90" s="637"/>
      <c r="AJP90" s="637"/>
      <c r="AJQ90" s="637"/>
      <c r="AJR90" s="637"/>
      <c r="AJS90" s="637"/>
      <c r="AJT90" s="637"/>
      <c r="AJU90" s="637"/>
      <c r="AJV90" s="637"/>
      <c r="AJW90" s="637"/>
      <c r="AJX90" s="637"/>
      <c r="AJY90" s="637"/>
      <c r="AJZ90" s="637"/>
      <c r="AKA90" s="637"/>
      <c r="AKB90" s="637"/>
      <c r="AKC90" s="637"/>
      <c r="AKD90" s="637"/>
      <c r="AKE90" s="637"/>
      <c r="AKF90" s="637"/>
      <c r="AKG90" s="637"/>
      <c r="AKH90" s="637"/>
      <c r="AKI90" s="637"/>
      <c r="AKJ90" s="637"/>
      <c r="AKK90" s="637"/>
      <c r="AKL90" s="637"/>
      <c r="AKM90" s="637"/>
      <c r="AKN90" s="637"/>
      <c r="AKO90" s="637"/>
      <c r="AKP90" s="637"/>
      <c r="AKQ90" s="637"/>
      <c r="AKR90" s="637"/>
      <c r="AKS90" s="637"/>
      <c r="AKT90" s="637"/>
      <c r="AKU90" s="637"/>
      <c r="AKV90" s="637"/>
      <c r="AKW90" s="637"/>
      <c r="AKX90" s="637"/>
      <c r="AKY90" s="637"/>
      <c r="AKZ90" s="637"/>
      <c r="ALA90" s="637"/>
      <c r="ALB90" s="637"/>
      <c r="ALC90" s="637"/>
      <c r="ALD90" s="637"/>
      <c r="ALE90" s="637"/>
      <c r="ALF90" s="637"/>
      <c r="ALG90" s="637"/>
      <c r="ALH90" s="637"/>
      <c r="ALI90" s="637"/>
      <c r="ALJ90" s="637"/>
      <c r="ALK90" s="637"/>
      <c r="ALL90" s="637"/>
      <c r="ALM90" s="637"/>
      <c r="ALN90" s="637"/>
      <c r="ALO90" s="637"/>
      <c r="ALP90" s="637"/>
      <c r="ALQ90" s="637"/>
      <c r="ALR90" s="637"/>
      <c r="ALS90" s="637"/>
      <c r="ALT90" s="637"/>
      <c r="ALU90" s="637"/>
      <c r="ALV90" s="637"/>
      <c r="ALW90" s="637"/>
      <c r="ALX90" s="637"/>
      <c r="ALY90" s="637"/>
      <c r="ALZ90" s="637"/>
      <c r="AMA90" s="637"/>
      <c r="AMB90" s="637"/>
      <c r="AMC90" s="637"/>
      <c r="AMD90" s="637"/>
      <c r="AME90" s="637"/>
      <c r="AMF90" s="637"/>
      <c r="AMG90" s="637"/>
      <c r="AMH90" s="637"/>
      <c r="AMI90" s="637"/>
      <c r="AMJ90" s="637"/>
    </row>
    <row r="91" spans="1:1024" s="638" customFormat="1" ht="12.75">
      <c r="A91" s="984"/>
      <c r="B91" s="985"/>
      <c r="C91" s="986"/>
      <c r="D91" s="981" t="s">
        <v>861</v>
      </c>
      <c r="E91" s="982">
        <v>962</v>
      </c>
      <c r="F91" s="982">
        <f t="shared" si="10"/>
        <v>962</v>
      </c>
      <c r="G91" s="987">
        <v>551</v>
      </c>
      <c r="H91" s="987">
        <v>154</v>
      </c>
      <c r="I91" s="987">
        <v>238</v>
      </c>
      <c r="J91" s="987">
        <v>19</v>
      </c>
      <c r="K91" s="987"/>
      <c r="L91" s="987"/>
      <c r="M91" s="987"/>
      <c r="N91" s="987"/>
      <c r="O91" s="987"/>
      <c r="P91" s="987"/>
      <c r="Q91" s="987"/>
      <c r="R91" s="984"/>
      <c r="S91" s="637"/>
      <c r="T91" s="637"/>
      <c r="U91" s="637"/>
      <c r="V91" s="637"/>
      <c r="W91" s="637"/>
      <c r="X91" s="637"/>
      <c r="Y91" s="637"/>
      <c r="Z91" s="637"/>
      <c r="AA91" s="637"/>
      <c r="AB91" s="637"/>
      <c r="AC91" s="637"/>
      <c r="AD91" s="637"/>
      <c r="AE91" s="637"/>
      <c r="AF91" s="637"/>
      <c r="AG91" s="637"/>
      <c r="AH91" s="637"/>
      <c r="AI91" s="637"/>
      <c r="AJ91" s="637"/>
      <c r="AK91" s="637"/>
      <c r="AL91" s="637"/>
      <c r="AM91" s="637"/>
      <c r="AN91" s="637"/>
      <c r="AO91" s="637"/>
      <c r="AP91" s="637"/>
      <c r="AQ91" s="637"/>
      <c r="AR91" s="637"/>
      <c r="AS91" s="637"/>
      <c r="AT91" s="637"/>
      <c r="AU91" s="637"/>
      <c r="AV91" s="637"/>
      <c r="AW91" s="637"/>
      <c r="AX91" s="637"/>
      <c r="AY91" s="637"/>
      <c r="AZ91" s="637"/>
      <c r="BA91" s="637"/>
      <c r="BB91" s="637"/>
      <c r="BC91" s="637"/>
      <c r="BD91" s="637"/>
      <c r="BE91" s="637"/>
      <c r="BF91" s="637"/>
      <c r="BG91" s="637"/>
      <c r="BH91" s="637"/>
      <c r="BI91" s="637"/>
      <c r="BJ91" s="637"/>
      <c r="BK91" s="637"/>
      <c r="BL91" s="637"/>
      <c r="BM91" s="637"/>
      <c r="BN91" s="637"/>
      <c r="BO91" s="637"/>
      <c r="BP91" s="637"/>
      <c r="BQ91" s="637"/>
      <c r="BR91" s="637"/>
      <c r="BS91" s="637"/>
      <c r="BT91" s="637"/>
      <c r="BU91" s="637"/>
      <c r="BV91" s="637"/>
      <c r="BW91" s="637"/>
      <c r="BX91" s="637"/>
      <c r="BY91" s="637"/>
      <c r="BZ91" s="637"/>
      <c r="CA91" s="637"/>
      <c r="CB91" s="637"/>
      <c r="CC91" s="637"/>
      <c r="CD91" s="637"/>
      <c r="CE91" s="637"/>
      <c r="CF91" s="637"/>
      <c r="CG91" s="637"/>
      <c r="CH91" s="637"/>
      <c r="CI91" s="637"/>
      <c r="CJ91" s="637"/>
      <c r="CK91" s="637"/>
      <c r="CL91" s="637"/>
      <c r="CM91" s="637"/>
      <c r="CN91" s="637"/>
      <c r="CO91" s="637"/>
      <c r="CP91" s="637"/>
      <c r="CQ91" s="637"/>
      <c r="CR91" s="637"/>
      <c r="CS91" s="637"/>
      <c r="CT91" s="637"/>
      <c r="CU91" s="637"/>
      <c r="CV91" s="637"/>
      <c r="CW91" s="637"/>
      <c r="CX91" s="637"/>
      <c r="CY91" s="637"/>
      <c r="CZ91" s="637"/>
      <c r="DA91" s="637"/>
      <c r="DB91" s="637"/>
      <c r="DC91" s="637"/>
      <c r="DD91" s="637"/>
      <c r="DE91" s="637"/>
      <c r="DF91" s="637"/>
      <c r="DG91" s="637"/>
      <c r="DH91" s="637"/>
      <c r="DI91" s="637"/>
      <c r="DJ91" s="637"/>
      <c r="DK91" s="637"/>
      <c r="DL91" s="637"/>
      <c r="DM91" s="637"/>
      <c r="DN91" s="637"/>
      <c r="DO91" s="637"/>
      <c r="DP91" s="637"/>
      <c r="DQ91" s="637"/>
      <c r="DR91" s="637"/>
      <c r="DS91" s="637"/>
      <c r="DT91" s="637"/>
      <c r="DU91" s="637"/>
      <c r="DV91" s="637"/>
      <c r="DW91" s="637"/>
      <c r="DX91" s="637"/>
      <c r="DY91" s="637"/>
      <c r="DZ91" s="637"/>
      <c r="EA91" s="637"/>
      <c r="EB91" s="637"/>
      <c r="EC91" s="637"/>
      <c r="ED91" s="637"/>
      <c r="EE91" s="637"/>
      <c r="EF91" s="637"/>
      <c r="EG91" s="637"/>
      <c r="EH91" s="637"/>
      <c r="EI91" s="637"/>
      <c r="EJ91" s="637"/>
      <c r="EK91" s="637"/>
      <c r="EL91" s="637"/>
      <c r="EM91" s="637"/>
      <c r="EN91" s="637"/>
      <c r="EO91" s="637"/>
      <c r="EP91" s="637"/>
      <c r="EQ91" s="637"/>
      <c r="ER91" s="637"/>
      <c r="ES91" s="637"/>
      <c r="ET91" s="637"/>
      <c r="EU91" s="637"/>
      <c r="EV91" s="637"/>
      <c r="EW91" s="637"/>
      <c r="EX91" s="637"/>
      <c r="EY91" s="637"/>
      <c r="EZ91" s="637"/>
      <c r="FA91" s="637"/>
      <c r="FB91" s="637"/>
      <c r="FC91" s="637"/>
      <c r="FD91" s="637"/>
      <c r="FE91" s="637"/>
      <c r="FF91" s="637"/>
      <c r="FG91" s="637"/>
      <c r="FH91" s="637"/>
      <c r="FI91" s="637"/>
      <c r="FJ91" s="637"/>
      <c r="FK91" s="637"/>
      <c r="FL91" s="637"/>
      <c r="FM91" s="637"/>
      <c r="FN91" s="637"/>
      <c r="FO91" s="637"/>
      <c r="FP91" s="637"/>
      <c r="FQ91" s="637"/>
      <c r="FR91" s="637"/>
      <c r="FS91" s="637"/>
      <c r="FT91" s="637"/>
      <c r="FU91" s="637"/>
      <c r="FV91" s="637"/>
      <c r="FW91" s="637"/>
      <c r="FX91" s="637"/>
      <c r="FY91" s="637"/>
      <c r="FZ91" s="637"/>
      <c r="GA91" s="637"/>
      <c r="GB91" s="637"/>
      <c r="GC91" s="637"/>
      <c r="GD91" s="637"/>
      <c r="GE91" s="637"/>
      <c r="GF91" s="637"/>
      <c r="GG91" s="637"/>
      <c r="GH91" s="637"/>
      <c r="GI91" s="637"/>
      <c r="GJ91" s="637"/>
      <c r="GK91" s="637"/>
      <c r="GL91" s="637"/>
      <c r="GM91" s="637"/>
      <c r="GN91" s="637"/>
      <c r="GO91" s="637"/>
      <c r="GP91" s="637"/>
      <c r="GQ91" s="637"/>
      <c r="GR91" s="637"/>
      <c r="GS91" s="637"/>
      <c r="GT91" s="637"/>
      <c r="GU91" s="637"/>
      <c r="GV91" s="637"/>
      <c r="GW91" s="637"/>
      <c r="GX91" s="637"/>
      <c r="GY91" s="637"/>
      <c r="GZ91" s="637"/>
      <c r="HA91" s="637"/>
      <c r="HB91" s="637"/>
      <c r="HC91" s="637"/>
      <c r="HD91" s="637"/>
      <c r="HE91" s="637"/>
      <c r="HF91" s="637"/>
      <c r="HG91" s="637"/>
      <c r="HH91" s="637"/>
      <c r="HI91" s="637"/>
      <c r="HJ91" s="637"/>
      <c r="HK91" s="637"/>
      <c r="HL91" s="637"/>
      <c r="HM91" s="637"/>
      <c r="HN91" s="637"/>
      <c r="HO91" s="637"/>
      <c r="HP91" s="637"/>
      <c r="HQ91" s="637"/>
      <c r="HR91" s="637"/>
      <c r="HS91" s="637"/>
      <c r="HT91" s="637"/>
      <c r="HU91" s="637"/>
      <c r="HV91" s="637"/>
      <c r="HW91" s="637"/>
      <c r="HX91" s="637"/>
      <c r="HY91" s="637"/>
      <c r="HZ91" s="637"/>
      <c r="IA91" s="637"/>
      <c r="IB91" s="637"/>
      <c r="IC91" s="637"/>
      <c r="ID91" s="637"/>
      <c r="IE91" s="637"/>
      <c r="IF91" s="637"/>
      <c r="IG91" s="637"/>
      <c r="IH91" s="637"/>
      <c r="II91" s="637"/>
      <c r="IJ91" s="637"/>
      <c r="IK91" s="637"/>
      <c r="IL91" s="637"/>
      <c r="IM91" s="637"/>
      <c r="IN91" s="637"/>
      <c r="IO91" s="637"/>
      <c r="IP91" s="637"/>
      <c r="IQ91" s="637"/>
      <c r="IR91" s="637"/>
      <c r="IS91" s="637"/>
      <c r="IT91" s="637"/>
      <c r="IU91" s="637"/>
      <c r="IV91" s="637"/>
      <c r="IW91" s="637"/>
      <c r="IX91" s="637"/>
      <c r="IY91" s="637"/>
      <c r="IZ91" s="637"/>
      <c r="JA91" s="637"/>
      <c r="JB91" s="637"/>
      <c r="JC91" s="637"/>
      <c r="JD91" s="637"/>
      <c r="JE91" s="637"/>
      <c r="JF91" s="637"/>
      <c r="JG91" s="637"/>
      <c r="JH91" s="637"/>
      <c r="JI91" s="637"/>
      <c r="JJ91" s="637"/>
      <c r="JK91" s="637"/>
      <c r="JL91" s="637"/>
      <c r="JM91" s="637"/>
      <c r="JN91" s="637"/>
      <c r="JO91" s="637"/>
      <c r="JP91" s="637"/>
      <c r="JQ91" s="637"/>
      <c r="JR91" s="637"/>
      <c r="JS91" s="637"/>
      <c r="JT91" s="637"/>
      <c r="JU91" s="637"/>
      <c r="JV91" s="637"/>
      <c r="JW91" s="637"/>
      <c r="JX91" s="637"/>
      <c r="JY91" s="637"/>
      <c r="JZ91" s="637"/>
      <c r="KA91" s="637"/>
      <c r="KB91" s="637"/>
      <c r="KC91" s="637"/>
      <c r="KD91" s="637"/>
      <c r="KE91" s="637"/>
      <c r="KF91" s="637"/>
      <c r="KG91" s="637"/>
      <c r="KH91" s="637"/>
      <c r="KI91" s="637"/>
      <c r="KJ91" s="637"/>
      <c r="KK91" s="637"/>
      <c r="KL91" s="637"/>
      <c r="KM91" s="637"/>
      <c r="KN91" s="637"/>
      <c r="KO91" s="637"/>
      <c r="KP91" s="637"/>
      <c r="KQ91" s="637"/>
      <c r="KR91" s="637"/>
      <c r="KS91" s="637"/>
      <c r="KT91" s="637"/>
      <c r="KU91" s="637"/>
      <c r="KV91" s="637"/>
      <c r="KW91" s="637"/>
      <c r="KX91" s="637"/>
      <c r="KY91" s="637"/>
      <c r="KZ91" s="637"/>
      <c r="LA91" s="637"/>
      <c r="LB91" s="637"/>
      <c r="LC91" s="637"/>
      <c r="LD91" s="637"/>
      <c r="LE91" s="637"/>
      <c r="LF91" s="637"/>
      <c r="LG91" s="637"/>
      <c r="LH91" s="637"/>
      <c r="LI91" s="637"/>
      <c r="LJ91" s="637"/>
      <c r="LK91" s="637"/>
      <c r="LL91" s="637"/>
      <c r="LM91" s="637"/>
      <c r="LN91" s="637"/>
      <c r="LO91" s="637"/>
      <c r="LP91" s="637"/>
      <c r="LQ91" s="637"/>
      <c r="LR91" s="637"/>
      <c r="LS91" s="637"/>
      <c r="LT91" s="637"/>
      <c r="LU91" s="637"/>
      <c r="LV91" s="637"/>
      <c r="LW91" s="637"/>
      <c r="LX91" s="637"/>
      <c r="LY91" s="637"/>
      <c r="LZ91" s="637"/>
      <c r="MA91" s="637"/>
      <c r="MB91" s="637"/>
      <c r="MC91" s="637"/>
      <c r="MD91" s="637"/>
      <c r="ME91" s="637"/>
      <c r="MF91" s="637"/>
      <c r="MG91" s="637"/>
      <c r="MH91" s="637"/>
      <c r="MI91" s="637"/>
      <c r="MJ91" s="637"/>
      <c r="MK91" s="637"/>
      <c r="ML91" s="637"/>
      <c r="MM91" s="637"/>
      <c r="MN91" s="637"/>
      <c r="MO91" s="637"/>
      <c r="MP91" s="637"/>
      <c r="MQ91" s="637"/>
      <c r="MR91" s="637"/>
      <c r="MS91" s="637"/>
      <c r="MT91" s="637"/>
      <c r="MU91" s="637"/>
      <c r="MV91" s="637"/>
      <c r="MW91" s="637"/>
      <c r="MX91" s="637"/>
      <c r="MY91" s="637"/>
      <c r="MZ91" s="637"/>
      <c r="NA91" s="637"/>
      <c r="NB91" s="637"/>
      <c r="NC91" s="637"/>
      <c r="ND91" s="637"/>
      <c r="NE91" s="637"/>
      <c r="NF91" s="637"/>
      <c r="NG91" s="637"/>
      <c r="NH91" s="637"/>
      <c r="NI91" s="637"/>
      <c r="NJ91" s="637"/>
      <c r="NK91" s="637"/>
      <c r="NL91" s="637"/>
      <c r="NM91" s="637"/>
      <c r="NN91" s="637"/>
      <c r="NO91" s="637"/>
      <c r="NP91" s="637"/>
      <c r="NQ91" s="637"/>
      <c r="NR91" s="637"/>
      <c r="NS91" s="637"/>
      <c r="NT91" s="637"/>
      <c r="NU91" s="637"/>
      <c r="NV91" s="637"/>
      <c r="NW91" s="637"/>
      <c r="NX91" s="637"/>
      <c r="NY91" s="637"/>
      <c r="NZ91" s="637"/>
      <c r="OA91" s="637"/>
      <c r="OB91" s="637"/>
      <c r="OC91" s="637"/>
      <c r="OD91" s="637"/>
      <c r="OE91" s="637"/>
      <c r="OF91" s="637"/>
      <c r="OG91" s="637"/>
      <c r="OH91" s="637"/>
      <c r="OI91" s="637"/>
      <c r="OJ91" s="637"/>
      <c r="OK91" s="637"/>
      <c r="OL91" s="637"/>
      <c r="OM91" s="637"/>
      <c r="ON91" s="637"/>
      <c r="OO91" s="637"/>
      <c r="OP91" s="637"/>
      <c r="OQ91" s="637"/>
      <c r="OR91" s="637"/>
      <c r="OS91" s="637"/>
      <c r="OT91" s="637"/>
      <c r="OU91" s="637"/>
      <c r="OV91" s="637"/>
      <c r="OW91" s="637"/>
      <c r="OX91" s="637"/>
      <c r="OY91" s="637"/>
      <c r="OZ91" s="637"/>
      <c r="PA91" s="637"/>
      <c r="PB91" s="637"/>
      <c r="PC91" s="637"/>
      <c r="PD91" s="637"/>
      <c r="PE91" s="637"/>
      <c r="PF91" s="637"/>
      <c r="PG91" s="637"/>
      <c r="PH91" s="637"/>
      <c r="PI91" s="637"/>
      <c r="PJ91" s="637"/>
      <c r="PK91" s="637"/>
      <c r="PL91" s="637"/>
      <c r="PM91" s="637"/>
      <c r="PN91" s="637"/>
      <c r="PO91" s="637"/>
      <c r="PP91" s="637"/>
      <c r="PQ91" s="637"/>
      <c r="PR91" s="637"/>
      <c r="PS91" s="637"/>
      <c r="PT91" s="637"/>
      <c r="PU91" s="637"/>
      <c r="PV91" s="637"/>
      <c r="PW91" s="637"/>
      <c r="PX91" s="637"/>
      <c r="PY91" s="637"/>
      <c r="PZ91" s="637"/>
      <c r="QA91" s="637"/>
      <c r="QB91" s="637"/>
      <c r="QC91" s="637"/>
      <c r="QD91" s="637"/>
      <c r="QE91" s="637"/>
      <c r="QF91" s="637"/>
      <c r="QG91" s="637"/>
      <c r="QH91" s="637"/>
      <c r="QI91" s="637"/>
      <c r="QJ91" s="637"/>
      <c r="QK91" s="637"/>
      <c r="QL91" s="637"/>
      <c r="QM91" s="637"/>
      <c r="QN91" s="637"/>
      <c r="QO91" s="637"/>
      <c r="QP91" s="637"/>
      <c r="QQ91" s="637"/>
      <c r="QR91" s="637"/>
      <c r="QS91" s="637"/>
      <c r="QT91" s="637"/>
      <c r="QU91" s="637"/>
      <c r="QV91" s="637"/>
      <c r="QW91" s="637"/>
      <c r="QX91" s="637"/>
      <c r="QY91" s="637"/>
      <c r="QZ91" s="637"/>
      <c r="RA91" s="637"/>
      <c r="RB91" s="637"/>
      <c r="RC91" s="637"/>
      <c r="RD91" s="637"/>
      <c r="RE91" s="637"/>
      <c r="RF91" s="637"/>
      <c r="RG91" s="637"/>
      <c r="RH91" s="637"/>
      <c r="RI91" s="637"/>
      <c r="RJ91" s="637"/>
      <c r="RK91" s="637"/>
      <c r="RL91" s="637"/>
      <c r="RM91" s="637"/>
      <c r="RN91" s="637"/>
      <c r="RO91" s="637"/>
      <c r="RP91" s="637"/>
      <c r="RQ91" s="637"/>
      <c r="RR91" s="637"/>
      <c r="RS91" s="637"/>
      <c r="RT91" s="637"/>
      <c r="RU91" s="637"/>
      <c r="RV91" s="637"/>
      <c r="RW91" s="637"/>
      <c r="RX91" s="637"/>
      <c r="RY91" s="637"/>
      <c r="RZ91" s="637"/>
      <c r="SA91" s="637"/>
      <c r="SB91" s="637"/>
      <c r="SC91" s="637"/>
      <c r="SD91" s="637"/>
      <c r="SE91" s="637"/>
      <c r="SF91" s="637"/>
      <c r="SG91" s="637"/>
      <c r="SH91" s="637"/>
      <c r="SI91" s="637"/>
      <c r="SJ91" s="637"/>
      <c r="SK91" s="637"/>
      <c r="SL91" s="637"/>
      <c r="SM91" s="637"/>
      <c r="SN91" s="637"/>
      <c r="SO91" s="637"/>
      <c r="SP91" s="637"/>
      <c r="SQ91" s="637"/>
      <c r="SR91" s="637"/>
      <c r="SS91" s="637"/>
      <c r="ST91" s="637"/>
      <c r="SU91" s="637"/>
      <c r="SV91" s="637"/>
      <c r="SW91" s="637"/>
      <c r="SX91" s="637"/>
      <c r="SY91" s="637"/>
      <c r="SZ91" s="637"/>
      <c r="TA91" s="637"/>
      <c r="TB91" s="637"/>
      <c r="TC91" s="637"/>
      <c r="TD91" s="637"/>
      <c r="TE91" s="637"/>
      <c r="TF91" s="637"/>
      <c r="TG91" s="637"/>
      <c r="TH91" s="637"/>
      <c r="TI91" s="637"/>
      <c r="TJ91" s="637"/>
      <c r="TK91" s="637"/>
      <c r="TL91" s="637"/>
      <c r="TM91" s="637"/>
      <c r="TN91" s="637"/>
      <c r="TO91" s="637"/>
      <c r="TP91" s="637"/>
      <c r="TQ91" s="637"/>
      <c r="TR91" s="637"/>
      <c r="TS91" s="637"/>
      <c r="TT91" s="637"/>
      <c r="TU91" s="637"/>
      <c r="TV91" s="637"/>
      <c r="TW91" s="637"/>
      <c r="TX91" s="637"/>
      <c r="TY91" s="637"/>
      <c r="TZ91" s="637"/>
      <c r="UA91" s="637"/>
      <c r="UB91" s="637"/>
      <c r="UC91" s="637"/>
      <c r="UD91" s="637"/>
      <c r="UE91" s="637"/>
      <c r="UF91" s="637"/>
      <c r="UG91" s="637"/>
      <c r="UH91" s="637"/>
      <c r="UI91" s="637"/>
      <c r="UJ91" s="637"/>
      <c r="UK91" s="637"/>
      <c r="UL91" s="637"/>
      <c r="UM91" s="637"/>
      <c r="UN91" s="637"/>
      <c r="UO91" s="637"/>
      <c r="UP91" s="637"/>
      <c r="UQ91" s="637"/>
      <c r="UR91" s="637"/>
      <c r="US91" s="637"/>
      <c r="UT91" s="637"/>
      <c r="UU91" s="637"/>
      <c r="UV91" s="637"/>
      <c r="UW91" s="637"/>
      <c r="UX91" s="637"/>
      <c r="UY91" s="637"/>
      <c r="UZ91" s="637"/>
      <c r="VA91" s="637"/>
      <c r="VB91" s="637"/>
      <c r="VC91" s="637"/>
      <c r="VD91" s="637"/>
      <c r="VE91" s="637"/>
      <c r="VF91" s="637"/>
      <c r="VG91" s="637"/>
      <c r="VH91" s="637"/>
      <c r="VI91" s="637"/>
      <c r="VJ91" s="637"/>
      <c r="VK91" s="637"/>
      <c r="VL91" s="637"/>
      <c r="VM91" s="637"/>
      <c r="VN91" s="637"/>
      <c r="VO91" s="637"/>
      <c r="VP91" s="637"/>
      <c r="VQ91" s="637"/>
      <c r="VR91" s="637"/>
      <c r="VS91" s="637"/>
      <c r="VT91" s="637"/>
      <c r="VU91" s="637"/>
      <c r="VV91" s="637"/>
      <c r="VW91" s="637"/>
      <c r="VX91" s="637"/>
      <c r="VY91" s="637"/>
      <c r="VZ91" s="637"/>
      <c r="WA91" s="637"/>
      <c r="WB91" s="637"/>
      <c r="WC91" s="637"/>
      <c r="WD91" s="637"/>
      <c r="WE91" s="637"/>
      <c r="WF91" s="637"/>
      <c r="WG91" s="637"/>
      <c r="WH91" s="637"/>
      <c r="WI91" s="637"/>
      <c r="WJ91" s="637"/>
      <c r="WK91" s="637"/>
      <c r="WL91" s="637"/>
      <c r="WM91" s="637"/>
      <c r="WN91" s="637"/>
      <c r="WO91" s="637"/>
      <c r="WP91" s="637"/>
      <c r="WQ91" s="637"/>
      <c r="WR91" s="637"/>
      <c r="WS91" s="637"/>
      <c r="WT91" s="637"/>
      <c r="WU91" s="637"/>
      <c r="WV91" s="637"/>
      <c r="WW91" s="637"/>
      <c r="WX91" s="637"/>
      <c r="WY91" s="637"/>
      <c r="WZ91" s="637"/>
      <c r="XA91" s="637"/>
      <c r="XB91" s="637"/>
      <c r="XC91" s="637"/>
      <c r="XD91" s="637"/>
      <c r="XE91" s="637"/>
      <c r="XF91" s="637"/>
      <c r="XG91" s="637"/>
      <c r="XH91" s="637"/>
      <c r="XI91" s="637"/>
      <c r="XJ91" s="637"/>
      <c r="XK91" s="637"/>
      <c r="XL91" s="637"/>
      <c r="XM91" s="637"/>
      <c r="XN91" s="637"/>
      <c r="XO91" s="637"/>
      <c r="XP91" s="637"/>
      <c r="XQ91" s="637"/>
      <c r="XR91" s="637"/>
      <c r="XS91" s="637"/>
      <c r="XT91" s="637"/>
      <c r="XU91" s="637"/>
      <c r="XV91" s="637"/>
      <c r="XW91" s="637"/>
      <c r="XX91" s="637"/>
      <c r="XY91" s="637"/>
      <c r="XZ91" s="637"/>
      <c r="YA91" s="637"/>
      <c r="YB91" s="637"/>
      <c r="YC91" s="637"/>
      <c r="YD91" s="637"/>
      <c r="YE91" s="637"/>
      <c r="YF91" s="637"/>
      <c r="YG91" s="637"/>
      <c r="YH91" s="637"/>
      <c r="YI91" s="637"/>
      <c r="YJ91" s="637"/>
      <c r="YK91" s="637"/>
      <c r="YL91" s="637"/>
      <c r="YM91" s="637"/>
      <c r="YN91" s="637"/>
      <c r="YO91" s="637"/>
      <c r="YP91" s="637"/>
      <c r="YQ91" s="637"/>
      <c r="YR91" s="637"/>
      <c r="YS91" s="637"/>
      <c r="YT91" s="637"/>
      <c r="YU91" s="637"/>
      <c r="YV91" s="637"/>
      <c r="YW91" s="637"/>
      <c r="YX91" s="637"/>
      <c r="YY91" s="637"/>
      <c r="YZ91" s="637"/>
      <c r="ZA91" s="637"/>
      <c r="ZB91" s="637"/>
      <c r="ZC91" s="637"/>
      <c r="ZD91" s="637"/>
      <c r="ZE91" s="637"/>
      <c r="ZF91" s="637"/>
      <c r="ZG91" s="637"/>
      <c r="ZH91" s="637"/>
      <c r="ZI91" s="637"/>
      <c r="ZJ91" s="637"/>
      <c r="ZK91" s="637"/>
      <c r="ZL91" s="637"/>
      <c r="ZM91" s="637"/>
      <c r="ZN91" s="637"/>
      <c r="ZO91" s="637"/>
      <c r="ZP91" s="637"/>
      <c r="ZQ91" s="637"/>
      <c r="ZR91" s="637"/>
      <c r="ZS91" s="637"/>
      <c r="ZT91" s="637"/>
      <c r="ZU91" s="637"/>
      <c r="ZV91" s="637"/>
      <c r="ZW91" s="637"/>
      <c r="ZX91" s="637"/>
      <c r="ZY91" s="637"/>
      <c r="ZZ91" s="637"/>
      <c r="AAA91" s="637"/>
      <c r="AAB91" s="637"/>
      <c r="AAC91" s="637"/>
      <c r="AAD91" s="637"/>
      <c r="AAE91" s="637"/>
      <c r="AAF91" s="637"/>
      <c r="AAG91" s="637"/>
      <c r="AAH91" s="637"/>
      <c r="AAI91" s="637"/>
      <c r="AAJ91" s="637"/>
      <c r="AAK91" s="637"/>
      <c r="AAL91" s="637"/>
      <c r="AAM91" s="637"/>
      <c r="AAN91" s="637"/>
      <c r="AAO91" s="637"/>
      <c r="AAP91" s="637"/>
      <c r="AAQ91" s="637"/>
      <c r="AAR91" s="637"/>
      <c r="AAS91" s="637"/>
      <c r="AAT91" s="637"/>
      <c r="AAU91" s="637"/>
      <c r="AAV91" s="637"/>
      <c r="AAW91" s="637"/>
      <c r="AAX91" s="637"/>
      <c r="AAY91" s="637"/>
      <c r="AAZ91" s="637"/>
      <c r="ABA91" s="637"/>
      <c r="ABB91" s="637"/>
      <c r="ABC91" s="637"/>
      <c r="ABD91" s="637"/>
      <c r="ABE91" s="637"/>
      <c r="ABF91" s="637"/>
      <c r="ABG91" s="637"/>
      <c r="ABH91" s="637"/>
      <c r="ABI91" s="637"/>
      <c r="ABJ91" s="637"/>
      <c r="ABK91" s="637"/>
      <c r="ABL91" s="637"/>
      <c r="ABM91" s="637"/>
      <c r="ABN91" s="637"/>
      <c r="ABO91" s="637"/>
      <c r="ABP91" s="637"/>
      <c r="ABQ91" s="637"/>
      <c r="ABR91" s="637"/>
      <c r="ABS91" s="637"/>
      <c r="ABT91" s="637"/>
      <c r="ABU91" s="637"/>
      <c r="ABV91" s="637"/>
      <c r="ABW91" s="637"/>
      <c r="ABX91" s="637"/>
      <c r="ABY91" s="637"/>
      <c r="ABZ91" s="637"/>
      <c r="ACA91" s="637"/>
      <c r="ACB91" s="637"/>
      <c r="ACC91" s="637"/>
      <c r="ACD91" s="637"/>
      <c r="ACE91" s="637"/>
      <c r="ACF91" s="637"/>
      <c r="ACG91" s="637"/>
      <c r="ACH91" s="637"/>
      <c r="ACI91" s="637"/>
      <c r="ACJ91" s="637"/>
      <c r="ACK91" s="637"/>
      <c r="ACL91" s="637"/>
      <c r="ACM91" s="637"/>
      <c r="ACN91" s="637"/>
      <c r="ACO91" s="637"/>
      <c r="ACP91" s="637"/>
      <c r="ACQ91" s="637"/>
      <c r="ACR91" s="637"/>
      <c r="ACS91" s="637"/>
      <c r="ACT91" s="637"/>
      <c r="ACU91" s="637"/>
      <c r="ACV91" s="637"/>
      <c r="ACW91" s="637"/>
      <c r="ACX91" s="637"/>
      <c r="ACY91" s="637"/>
      <c r="ACZ91" s="637"/>
      <c r="ADA91" s="637"/>
      <c r="ADB91" s="637"/>
      <c r="ADC91" s="637"/>
      <c r="ADD91" s="637"/>
      <c r="ADE91" s="637"/>
      <c r="ADF91" s="637"/>
      <c r="ADG91" s="637"/>
      <c r="ADH91" s="637"/>
      <c r="ADI91" s="637"/>
      <c r="ADJ91" s="637"/>
      <c r="ADK91" s="637"/>
      <c r="ADL91" s="637"/>
      <c r="ADM91" s="637"/>
      <c r="ADN91" s="637"/>
      <c r="ADO91" s="637"/>
      <c r="ADP91" s="637"/>
      <c r="ADQ91" s="637"/>
      <c r="ADR91" s="637"/>
      <c r="ADS91" s="637"/>
      <c r="ADT91" s="637"/>
      <c r="ADU91" s="637"/>
      <c r="ADV91" s="637"/>
      <c r="ADW91" s="637"/>
      <c r="ADX91" s="637"/>
      <c r="ADY91" s="637"/>
      <c r="ADZ91" s="637"/>
      <c r="AEA91" s="637"/>
      <c r="AEB91" s="637"/>
      <c r="AEC91" s="637"/>
      <c r="AED91" s="637"/>
      <c r="AEE91" s="637"/>
      <c r="AEF91" s="637"/>
      <c r="AEG91" s="637"/>
      <c r="AEH91" s="637"/>
      <c r="AEI91" s="637"/>
      <c r="AEJ91" s="637"/>
      <c r="AEK91" s="637"/>
      <c r="AEL91" s="637"/>
      <c r="AEM91" s="637"/>
      <c r="AEN91" s="637"/>
      <c r="AEO91" s="637"/>
      <c r="AEP91" s="637"/>
      <c r="AEQ91" s="637"/>
      <c r="AER91" s="637"/>
      <c r="AES91" s="637"/>
      <c r="AET91" s="637"/>
      <c r="AEU91" s="637"/>
      <c r="AEV91" s="637"/>
      <c r="AEW91" s="637"/>
      <c r="AEX91" s="637"/>
      <c r="AEY91" s="637"/>
      <c r="AEZ91" s="637"/>
      <c r="AFA91" s="637"/>
      <c r="AFB91" s="637"/>
      <c r="AFC91" s="637"/>
      <c r="AFD91" s="637"/>
      <c r="AFE91" s="637"/>
      <c r="AFF91" s="637"/>
      <c r="AFG91" s="637"/>
      <c r="AFH91" s="637"/>
      <c r="AFI91" s="637"/>
      <c r="AFJ91" s="637"/>
      <c r="AFK91" s="637"/>
      <c r="AFL91" s="637"/>
      <c r="AFM91" s="637"/>
      <c r="AFN91" s="637"/>
      <c r="AFO91" s="637"/>
      <c r="AFP91" s="637"/>
      <c r="AFQ91" s="637"/>
      <c r="AFR91" s="637"/>
      <c r="AFS91" s="637"/>
      <c r="AFT91" s="637"/>
      <c r="AFU91" s="637"/>
      <c r="AFV91" s="637"/>
      <c r="AFW91" s="637"/>
      <c r="AFX91" s="637"/>
      <c r="AFY91" s="637"/>
      <c r="AFZ91" s="637"/>
      <c r="AGA91" s="637"/>
      <c r="AGB91" s="637"/>
      <c r="AGC91" s="637"/>
      <c r="AGD91" s="637"/>
      <c r="AGE91" s="637"/>
      <c r="AGF91" s="637"/>
      <c r="AGG91" s="637"/>
      <c r="AGH91" s="637"/>
      <c r="AGI91" s="637"/>
      <c r="AGJ91" s="637"/>
      <c r="AGK91" s="637"/>
      <c r="AGL91" s="637"/>
      <c r="AGM91" s="637"/>
      <c r="AGN91" s="637"/>
      <c r="AGO91" s="637"/>
      <c r="AGP91" s="637"/>
      <c r="AGQ91" s="637"/>
      <c r="AGR91" s="637"/>
      <c r="AGS91" s="637"/>
      <c r="AGT91" s="637"/>
      <c r="AGU91" s="637"/>
      <c r="AGV91" s="637"/>
      <c r="AGW91" s="637"/>
      <c r="AGX91" s="637"/>
      <c r="AGY91" s="637"/>
      <c r="AGZ91" s="637"/>
      <c r="AHA91" s="637"/>
      <c r="AHB91" s="637"/>
      <c r="AHC91" s="637"/>
      <c r="AHD91" s="637"/>
      <c r="AHE91" s="637"/>
      <c r="AHF91" s="637"/>
      <c r="AHG91" s="637"/>
      <c r="AHH91" s="637"/>
      <c r="AHI91" s="637"/>
      <c r="AHJ91" s="637"/>
      <c r="AHK91" s="637"/>
      <c r="AHL91" s="637"/>
      <c r="AHM91" s="637"/>
      <c r="AHN91" s="637"/>
      <c r="AHO91" s="637"/>
      <c r="AHP91" s="637"/>
      <c r="AHQ91" s="637"/>
      <c r="AHR91" s="637"/>
      <c r="AHS91" s="637"/>
      <c r="AHT91" s="637"/>
      <c r="AHU91" s="637"/>
      <c r="AHV91" s="637"/>
      <c r="AHW91" s="637"/>
      <c r="AHX91" s="637"/>
      <c r="AHY91" s="637"/>
      <c r="AHZ91" s="637"/>
      <c r="AIA91" s="637"/>
      <c r="AIB91" s="637"/>
      <c r="AIC91" s="637"/>
      <c r="AID91" s="637"/>
      <c r="AIE91" s="637"/>
      <c r="AIF91" s="637"/>
      <c r="AIG91" s="637"/>
      <c r="AIH91" s="637"/>
      <c r="AII91" s="637"/>
      <c r="AIJ91" s="637"/>
      <c r="AIK91" s="637"/>
      <c r="AIL91" s="637"/>
      <c r="AIM91" s="637"/>
      <c r="AIN91" s="637"/>
      <c r="AIO91" s="637"/>
      <c r="AIP91" s="637"/>
      <c r="AIQ91" s="637"/>
      <c r="AIR91" s="637"/>
      <c r="AIS91" s="637"/>
      <c r="AIT91" s="637"/>
      <c r="AIU91" s="637"/>
      <c r="AIV91" s="637"/>
      <c r="AIW91" s="637"/>
      <c r="AIX91" s="637"/>
      <c r="AIY91" s="637"/>
      <c r="AIZ91" s="637"/>
      <c r="AJA91" s="637"/>
      <c r="AJB91" s="637"/>
      <c r="AJC91" s="637"/>
      <c r="AJD91" s="637"/>
      <c r="AJE91" s="637"/>
      <c r="AJF91" s="637"/>
      <c r="AJG91" s="637"/>
      <c r="AJH91" s="637"/>
      <c r="AJI91" s="637"/>
      <c r="AJJ91" s="637"/>
      <c r="AJK91" s="637"/>
      <c r="AJL91" s="637"/>
      <c r="AJM91" s="637"/>
      <c r="AJN91" s="637"/>
      <c r="AJO91" s="637"/>
      <c r="AJP91" s="637"/>
      <c r="AJQ91" s="637"/>
      <c r="AJR91" s="637"/>
      <c r="AJS91" s="637"/>
      <c r="AJT91" s="637"/>
      <c r="AJU91" s="637"/>
      <c r="AJV91" s="637"/>
      <c r="AJW91" s="637"/>
      <c r="AJX91" s="637"/>
      <c r="AJY91" s="637"/>
      <c r="AJZ91" s="637"/>
      <c r="AKA91" s="637"/>
      <c r="AKB91" s="637"/>
      <c r="AKC91" s="637"/>
      <c r="AKD91" s="637"/>
      <c r="AKE91" s="637"/>
      <c r="AKF91" s="637"/>
      <c r="AKG91" s="637"/>
      <c r="AKH91" s="637"/>
      <c r="AKI91" s="637"/>
      <c r="AKJ91" s="637"/>
      <c r="AKK91" s="637"/>
      <c r="AKL91" s="637"/>
      <c r="AKM91" s="637"/>
      <c r="AKN91" s="637"/>
      <c r="AKO91" s="637"/>
      <c r="AKP91" s="637"/>
      <c r="AKQ91" s="637"/>
      <c r="AKR91" s="637"/>
      <c r="AKS91" s="637"/>
      <c r="AKT91" s="637"/>
      <c r="AKU91" s="637"/>
      <c r="AKV91" s="637"/>
      <c r="AKW91" s="637"/>
      <c r="AKX91" s="637"/>
      <c r="AKY91" s="637"/>
      <c r="AKZ91" s="637"/>
      <c r="ALA91" s="637"/>
      <c r="ALB91" s="637"/>
      <c r="ALC91" s="637"/>
      <c r="ALD91" s="637"/>
      <c r="ALE91" s="637"/>
      <c r="ALF91" s="637"/>
      <c r="ALG91" s="637"/>
      <c r="ALH91" s="637"/>
      <c r="ALI91" s="637"/>
      <c r="ALJ91" s="637"/>
      <c r="ALK91" s="637"/>
      <c r="ALL91" s="637"/>
      <c r="ALM91" s="637"/>
      <c r="ALN91" s="637"/>
      <c r="ALO91" s="637"/>
      <c r="ALP91" s="637"/>
      <c r="ALQ91" s="637"/>
      <c r="ALR91" s="637"/>
      <c r="ALS91" s="637"/>
      <c r="ALT91" s="637"/>
      <c r="ALU91" s="637"/>
      <c r="ALV91" s="637"/>
      <c r="ALW91" s="637"/>
      <c r="ALX91" s="637"/>
      <c r="ALY91" s="637"/>
      <c r="ALZ91" s="637"/>
      <c r="AMA91" s="637"/>
      <c r="AMB91" s="637"/>
      <c r="AMC91" s="637"/>
      <c r="AMD91" s="637"/>
      <c r="AME91" s="637"/>
      <c r="AMF91" s="637"/>
      <c r="AMG91" s="637"/>
      <c r="AMH91" s="637"/>
      <c r="AMI91" s="637"/>
      <c r="AMJ91" s="637"/>
    </row>
    <row r="92" spans="1:1024" s="638" customFormat="1" ht="12.75">
      <c r="A92" s="984"/>
      <c r="B92" s="985"/>
      <c r="C92" s="986"/>
      <c r="D92" s="981" t="s">
        <v>1041</v>
      </c>
      <c r="E92" s="982">
        <v>962</v>
      </c>
      <c r="F92" s="982">
        <f t="shared" si="10"/>
        <v>962</v>
      </c>
      <c r="G92" s="987">
        <v>551</v>
      </c>
      <c r="H92" s="987">
        <v>154</v>
      </c>
      <c r="I92" s="987">
        <v>238</v>
      </c>
      <c r="J92" s="987">
        <v>19</v>
      </c>
      <c r="K92" s="987"/>
      <c r="L92" s="987"/>
      <c r="M92" s="987"/>
      <c r="N92" s="987"/>
      <c r="O92" s="987"/>
      <c r="P92" s="987"/>
      <c r="Q92" s="987"/>
      <c r="R92" s="984"/>
      <c r="S92" s="637"/>
      <c r="T92" s="637"/>
      <c r="U92" s="637"/>
      <c r="V92" s="637"/>
      <c r="W92" s="637"/>
      <c r="X92" s="637"/>
      <c r="Y92" s="637"/>
      <c r="Z92" s="637"/>
      <c r="AA92" s="637"/>
      <c r="AB92" s="637"/>
      <c r="AC92" s="637"/>
      <c r="AD92" s="637"/>
      <c r="AE92" s="637"/>
      <c r="AF92" s="637"/>
      <c r="AG92" s="637"/>
      <c r="AH92" s="637"/>
      <c r="AI92" s="637"/>
      <c r="AJ92" s="637"/>
      <c r="AK92" s="637"/>
      <c r="AL92" s="637"/>
      <c r="AM92" s="637"/>
      <c r="AN92" s="637"/>
      <c r="AO92" s="637"/>
      <c r="AP92" s="637"/>
      <c r="AQ92" s="637"/>
      <c r="AR92" s="637"/>
      <c r="AS92" s="637"/>
      <c r="AT92" s="637"/>
      <c r="AU92" s="637"/>
      <c r="AV92" s="637"/>
      <c r="AW92" s="637"/>
      <c r="AX92" s="637"/>
      <c r="AY92" s="637"/>
      <c r="AZ92" s="637"/>
      <c r="BA92" s="637"/>
      <c r="BB92" s="637"/>
      <c r="BC92" s="637"/>
      <c r="BD92" s="637"/>
      <c r="BE92" s="637"/>
      <c r="BF92" s="637"/>
      <c r="BG92" s="637"/>
      <c r="BH92" s="637"/>
      <c r="BI92" s="637"/>
      <c r="BJ92" s="637"/>
      <c r="BK92" s="637"/>
      <c r="BL92" s="637"/>
      <c r="BM92" s="637"/>
      <c r="BN92" s="637"/>
      <c r="BO92" s="637"/>
      <c r="BP92" s="637"/>
      <c r="BQ92" s="637"/>
      <c r="BR92" s="637"/>
      <c r="BS92" s="637"/>
      <c r="BT92" s="637"/>
      <c r="BU92" s="637"/>
      <c r="BV92" s="637"/>
      <c r="BW92" s="637"/>
      <c r="BX92" s="637"/>
      <c r="BY92" s="637"/>
      <c r="BZ92" s="637"/>
      <c r="CA92" s="637"/>
      <c r="CB92" s="637"/>
      <c r="CC92" s="637"/>
      <c r="CD92" s="637"/>
      <c r="CE92" s="637"/>
      <c r="CF92" s="637"/>
      <c r="CG92" s="637"/>
      <c r="CH92" s="637"/>
      <c r="CI92" s="637"/>
      <c r="CJ92" s="637"/>
      <c r="CK92" s="637"/>
      <c r="CL92" s="637"/>
      <c r="CM92" s="637"/>
      <c r="CN92" s="637"/>
      <c r="CO92" s="637"/>
      <c r="CP92" s="637"/>
      <c r="CQ92" s="637"/>
      <c r="CR92" s="637"/>
      <c r="CS92" s="637"/>
      <c r="CT92" s="637"/>
      <c r="CU92" s="637"/>
      <c r="CV92" s="637"/>
      <c r="CW92" s="637"/>
      <c r="CX92" s="637"/>
      <c r="CY92" s="637"/>
      <c r="CZ92" s="637"/>
      <c r="DA92" s="637"/>
      <c r="DB92" s="637"/>
      <c r="DC92" s="637"/>
      <c r="DD92" s="637"/>
      <c r="DE92" s="637"/>
      <c r="DF92" s="637"/>
      <c r="DG92" s="637"/>
      <c r="DH92" s="637"/>
      <c r="DI92" s="637"/>
      <c r="DJ92" s="637"/>
      <c r="DK92" s="637"/>
      <c r="DL92" s="637"/>
      <c r="DM92" s="637"/>
      <c r="DN92" s="637"/>
      <c r="DO92" s="637"/>
      <c r="DP92" s="637"/>
      <c r="DQ92" s="637"/>
      <c r="DR92" s="637"/>
      <c r="DS92" s="637"/>
      <c r="DT92" s="637"/>
      <c r="DU92" s="637"/>
      <c r="DV92" s="637"/>
      <c r="DW92" s="637"/>
      <c r="DX92" s="637"/>
      <c r="DY92" s="637"/>
      <c r="DZ92" s="637"/>
      <c r="EA92" s="637"/>
      <c r="EB92" s="637"/>
      <c r="EC92" s="637"/>
      <c r="ED92" s="637"/>
      <c r="EE92" s="637"/>
      <c r="EF92" s="637"/>
      <c r="EG92" s="637"/>
      <c r="EH92" s="637"/>
      <c r="EI92" s="637"/>
      <c r="EJ92" s="637"/>
      <c r="EK92" s="637"/>
      <c r="EL92" s="637"/>
      <c r="EM92" s="637"/>
      <c r="EN92" s="637"/>
      <c r="EO92" s="637"/>
      <c r="EP92" s="637"/>
      <c r="EQ92" s="637"/>
      <c r="ER92" s="637"/>
      <c r="ES92" s="637"/>
      <c r="ET92" s="637"/>
      <c r="EU92" s="637"/>
      <c r="EV92" s="637"/>
      <c r="EW92" s="637"/>
      <c r="EX92" s="637"/>
      <c r="EY92" s="637"/>
      <c r="EZ92" s="637"/>
      <c r="FA92" s="637"/>
      <c r="FB92" s="637"/>
      <c r="FC92" s="637"/>
      <c r="FD92" s="637"/>
      <c r="FE92" s="637"/>
      <c r="FF92" s="637"/>
      <c r="FG92" s="637"/>
      <c r="FH92" s="637"/>
      <c r="FI92" s="637"/>
      <c r="FJ92" s="637"/>
      <c r="FK92" s="637"/>
      <c r="FL92" s="637"/>
      <c r="FM92" s="637"/>
      <c r="FN92" s="637"/>
      <c r="FO92" s="637"/>
      <c r="FP92" s="637"/>
      <c r="FQ92" s="637"/>
      <c r="FR92" s="637"/>
      <c r="FS92" s="637"/>
      <c r="FT92" s="637"/>
      <c r="FU92" s="637"/>
      <c r="FV92" s="637"/>
      <c r="FW92" s="637"/>
      <c r="FX92" s="637"/>
      <c r="FY92" s="637"/>
      <c r="FZ92" s="637"/>
      <c r="GA92" s="637"/>
      <c r="GB92" s="637"/>
      <c r="GC92" s="637"/>
      <c r="GD92" s="637"/>
      <c r="GE92" s="637"/>
      <c r="GF92" s="637"/>
      <c r="GG92" s="637"/>
      <c r="GH92" s="637"/>
      <c r="GI92" s="637"/>
      <c r="GJ92" s="637"/>
      <c r="GK92" s="637"/>
      <c r="GL92" s="637"/>
      <c r="GM92" s="637"/>
      <c r="GN92" s="637"/>
      <c r="GO92" s="637"/>
      <c r="GP92" s="637"/>
      <c r="GQ92" s="637"/>
      <c r="GR92" s="637"/>
      <c r="GS92" s="637"/>
      <c r="GT92" s="637"/>
      <c r="GU92" s="637"/>
      <c r="GV92" s="637"/>
      <c r="GW92" s="637"/>
      <c r="GX92" s="637"/>
      <c r="GY92" s="637"/>
      <c r="GZ92" s="637"/>
      <c r="HA92" s="637"/>
      <c r="HB92" s="637"/>
      <c r="HC92" s="637"/>
      <c r="HD92" s="637"/>
      <c r="HE92" s="637"/>
      <c r="HF92" s="637"/>
      <c r="HG92" s="637"/>
      <c r="HH92" s="637"/>
      <c r="HI92" s="637"/>
      <c r="HJ92" s="637"/>
      <c r="HK92" s="637"/>
      <c r="HL92" s="637"/>
      <c r="HM92" s="637"/>
      <c r="HN92" s="637"/>
      <c r="HO92" s="637"/>
      <c r="HP92" s="637"/>
      <c r="HQ92" s="637"/>
      <c r="HR92" s="637"/>
      <c r="HS92" s="637"/>
      <c r="HT92" s="637"/>
      <c r="HU92" s="637"/>
      <c r="HV92" s="637"/>
      <c r="HW92" s="637"/>
      <c r="HX92" s="637"/>
      <c r="HY92" s="637"/>
      <c r="HZ92" s="637"/>
      <c r="IA92" s="637"/>
      <c r="IB92" s="637"/>
      <c r="IC92" s="637"/>
      <c r="ID92" s="637"/>
      <c r="IE92" s="637"/>
      <c r="IF92" s="637"/>
      <c r="IG92" s="637"/>
      <c r="IH92" s="637"/>
      <c r="II92" s="637"/>
      <c r="IJ92" s="637"/>
      <c r="IK92" s="637"/>
      <c r="IL92" s="637"/>
      <c r="IM92" s="637"/>
      <c r="IN92" s="637"/>
      <c r="IO92" s="637"/>
      <c r="IP92" s="637"/>
      <c r="IQ92" s="637"/>
      <c r="IR92" s="637"/>
      <c r="IS92" s="637"/>
      <c r="IT92" s="637"/>
      <c r="IU92" s="637"/>
      <c r="IV92" s="637"/>
      <c r="IW92" s="637"/>
      <c r="IX92" s="637"/>
      <c r="IY92" s="637"/>
      <c r="IZ92" s="637"/>
      <c r="JA92" s="637"/>
      <c r="JB92" s="637"/>
      <c r="JC92" s="637"/>
      <c r="JD92" s="637"/>
      <c r="JE92" s="637"/>
      <c r="JF92" s="637"/>
      <c r="JG92" s="637"/>
      <c r="JH92" s="637"/>
      <c r="JI92" s="637"/>
      <c r="JJ92" s="637"/>
      <c r="JK92" s="637"/>
      <c r="JL92" s="637"/>
      <c r="JM92" s="637"/>
      <c r="JN92" s="637"/>
      <c r="JO92" s="637"/>
      <c r="JP92" s="637"/>
      <c r="JQ92" s="637"/>
      <c r="JR92" s="637"/>
      <c r="JS92" s="637"/>
      <c r="JT92" s="637"/>
      <c r="JU92" s="637"/>
      <c r="JV92" s="637"/>
      <c r="JW92" s="637"/>
      <c r="JX92" s="637"/>
      <c r="JY92" s="637"/>
      <c r="JZ92" s="637"/>
      <c r="KA92" s="637"/>
      <c r="KB92" s="637"/>
      <c r="KC92" s="637"/>
      <c r="KD92" s="637"/>
      <c r="KE92" s="637"/>
      <c r="KF92" s="637"/>
      <c r="KG92" s="637"/>
      <c r="KH92" s="637"/>
      <c r="KI92" s="637"/>
      <c r="KJ92" s="637"/>
      <c r="KK92" s="637"/>
      <c r="KL92" s="637"/>
      <c r="KM92" s="637"/>
      <c r="KN92" s="637"/>
      <c r="KO92" s="637"/>
      <c r="KP92" s="637"/>
      <c r="KQ92" s="637"/>
      <c r="KR92" s="637"/>
      <c r="KS92" s="637"/>
      <c r="KT92" s="637"/>
      <c r="KU92" s="637"/>
      <c r="KV92" s="637"/>
      <c r="KW92" s="637"/>
      <c r="KX92" s="637"/>
      <c r="KY92" s="637"/>
      <c r="KZ92" s="637"/>
      <c r="LA92" s="637"/>
      <c r="LB92" s="637"/>
      <c r="LC92" s="637"/>
      <c r="LD92" s="637"/>
      <c r="LE92" s="637"/>
      <c r="LF92" s="637"/>
      <c r="LG92" s="637"/>
      <c r="LH92" s="637"/>
      <c r="LI92" s="637"/>
      <c r="LJ92" s="637"/>
      <c r="LK92" s="637"/>
      <c r="LL92" s="637"/>
      <c r="LM92" s="637"/>
      <c r="LN92" s="637"/>
      <c r="LO92" s="637"/>
      <c r="LP92" s="637"/>
      <c r="LQ92" s="637"/>
      <c r="LR92" s="637"/>
      <c r="LS92" s="637"/>
      <c r="LT92" s="637"/>
      <c r="LU92" s="637"/>
      <c r="LV92" s="637"/>
      <c r="LW92" s="637"/>
      <c r="LX92" s="637"/>
      <c r="LY92" s="637"/>
      <c r="LZ92" s="637"/>
      <c r="MA92" s="637"/>
      <c r="MB92" s="637"/>
      <c r="MC92" s="637"/>
      <c r="MD92" s="637"/>
      <c r="ME92" s="637"/>
      <c r="MF92" s="637"/>
      <c r="MG92" s="637"/>
      <c r="MH92" s="637"/>
      <c r="MI92" s="637"/>
      <c r="MJ92" s="637"/>
      <c r="MK92" s="637"/>
      <c r="ML92" s="637"/>
      <c r="MM92" s="637"/>
      <c r="MN92" s="637"/>
      <c r="MO92" s="637"/>
      <c r="MP92" s="637"/>
      <c r="MQ92" s="637"/>
      <c r="MR92" s="637"/>
      <c r="MS92" s="637"/>
      <c r="MT92" s="637"/>
      <c r="MU92" s="637"/>
      <c r="MV92" s="637"/>
      <c r="MW92" s="637"/>
      <c r="MX92" s="637"/>
      <c r="MY92" s="637"/>
      <c r="MZ92" s="637"/>
      <c r="NA92" s="637"/>
      <c r="NB92" s="637"/>
      <c r="NC92" s="637"/>
      <c r="ND92" s="637"/>
      <c r="NE92" s="637"/>
      <c r="NF92" s="637"/>
      <c r="NG92" s="637"/>
      <c r="NH92" s="637"/>
      <c r="NI92" s="637"/>
      <c r="NJ92" s="637"/>
      <c r="NK92" s="637"/>
      <c r="NL92" s="637"/>
      <c r="NM92" s="637"/>
      <c r="NN92" s="637"/>
      <c r="NO92" s="637"/>
      <c r="NP92" s="637"/>
      <c r="NQ92" s="637"/>
      <c r="NR92" s="637"/>
      <c r="NS92" s="637"/>
      <c r="NT92" s="637"/>
      <c r="NU92" s="637"/>
      <c r="NV92" s="637"/>
      <c r="NW92" s="637"/>
      <c r="NX92" s="637"/>
      <c r="NY92" s="637"/>
      <c r="NZ92" s="637"/>
      <c r="OA92" s="637"/>
      <c r="OB92" s="637"/>
      <c r="OC92" s="637"/>
      <c r="OD92" s="637"/>
      <c r="OE92" s="637"/>
      <c r="OF92" s="637"/>
      <c r="OG92" s="637"/>
      <c r="OH92" s="637"/>
      <c r="OI92" s="637"/>
      <c r="OJ92" s="637"/>
      <c r="OK92" s="637"/>
      <c r="OL92" s="637"/>
      <c r="OM92" s="637"/>
      <c r="ON92" s="637"/>
      <c r="OO92" s="637"/>
      <c r="OP92" s="637"/>
      <c r="OQ92" s="637"/>
      <c r="OR92" s="637"/>
      <c r="OS92" s="637"/>
      <c r="OT92" s="637"/>
      <c r="OU92" s="637"/>
      <c r="OV92" s="637"/>
      <c r="OW92" s="637"/>
      <c r="OX92" s="637"/>
      <c r="OY92" s="637"/>
      <c r="OZ92" s="637"/>
      <c r="PA92" s="637"/>
      <c r="PB92" s="637"/>
      <c r="PC92" s="637"/>
      <c r="PD92" s="637"/>
      <c r="PE92" s="637"/>
      <c r="PF92" s="637"/>
      <c r="PG92" s="637"/>
      <c r="PH92" s="637"/>
      <c r="PI92" s="637"/>
      <c r="PJ92" s="637"/>
      <c r="PK92" s="637"/>
      <c r="PL92" s="637"/>
      <c r="PM92" s="637"/>
      <c r="PN92" s="637"/>
      <c r="PO92" s="637"/>
      <c r="PP92" s="637"/>
      <c r="PQ92" s="637"/>
      <c r="PR92" s="637"/>
      <c r="PS92" s="637"/>
      <c r="PT92" s="637"/>
      <c r="PU92" s="637"/>
      <c r="PV92" s="637"/>
      <c r="PW92" s="637"/>
      <c r="PX92" s="637"/>
      <c r="PY92" s="637"/>
      <c r="PZ92" s="637"/>
      <c r="QA92" s="637"/>
      <c r="QB92" s="637"/>
      <c r="QC92" s="637"/>
      <c r="QD92" s="637"/>
      <c r="QE92" s="637"/>
      <c r="QF92" s="637"/>
      <c r="QG92" s="637"/>
      <c r="QH92" s="637"/>
      <c r="QI92" s="637"/>
      <c r="QJ92" s="637"/>
      <c r="QK92" s="637"/>
      <c r="QL92" s="637"/>
      <c r="QM92" s="637"/>
      <c r="QN92" s="637"/>
      <c r="QO92" s="637"/>
      <c r="QP92" s="637"/>
      <c r="QQ92" s="637"/>
      <c r="QR92" s="637"/>
      <c r="QS92" s="637"/>
      <c r="QT92" s="637"/>
      <c r="QU92" s="637"/>
      <c r="QV92" s="637"/>
      <c r="QW92" s="637"/>
      <c r="QX92" s="637"/>
      <c r="QY92" s="637"/>
      <c r="QZ92" s="637"/>
      <c r="RA92" s="637"/>
      <c r="RB92" s="637"/>
      <c r="RC92" s="637"/>
      <c r="RD92" s="637"/>
      <c r="RE92" s="637"/>
      <c r="RF92" s="637"/>
      <c r="RG92" s="637"/>
      <c r="RH92" s="637"/>
      <c r="RI92" s="637"/>
      <c r="RJ92" s="637"/>
      <c r="RK92" s="637"/>
      <c r="RL92" s="637"/>
      <c r="RM92" s="637"/>
      <c r="RN92" s="637"/>
      <c r="RO92" s="637"/>
      <c r="RP92" s="637"/>
      <c r="RQ92" s="637"/>
      <c r="RR92" s="637"/>
      <c r="RS92" s="637"/>
      <c r="RT92" s="637"/>
      <c r="RU92" s="637"/>
      <c r="RV92" s="637"/>
      <c r="RW92" s="637"/>
      <c r="RX92" s="637"/>
      <c r="RY92" s="637"/>
      <c r="RZ92" s="637"/>
      <c r="SA92" s="637"/>
      <c r="SB92" s="637"/>
      <c r="SC92" s="637"/>
      <c r="SD92" s="637"/>
      <c r="SE92" s="637"/>
      <c r="SF92" s="637"/>
      <c r="SG92" s="637"/>
      <c r="SH92" s="637"/>
      <c r="SI92" s="637"/>
      <c r="SJ92" s="637"/>
      <c r="SK92" s="637"/>
      <c r="SL92" s="637"/>
      <c r="SM92" s="637"/>
      <c r="SN92" s="637"/>
      <c r="SO92" s="637"/>
      <c r="SP92" s="637"/>
      <c r="SQ92" s="637"/>
      <c r="SR92" s="637"/>
      <c r="SS92" s="637"/>
      <c r="ST92" s="637"/>
      <c r="SU92" s="637"/>
      <c r="SV92" s="637"/>
      <c r="SW92" s="637"/>
      <c r="SX92" s="637"/>
      <c r="SY92" s="637"/>
      <c r="SZ92" s="637"/>
      <c r="TA92" s="637"/>
      <c r="TB92" s="637"/>
      <c r="TC92" s="637"/>
      <c r="TD92" s="637"/>
      <c r="TE92" s="637"/>
      <c r="TF92" s="637"/>
      <c r="TG92" s="637"/>
      <c r="TH92" s="637"/>
      <c r="TI92" s="637"/>
      <c r="TJ92" s="637"/>
      <c r="TK92" s="637"/>
      <c r="TL92" s="637"/>
      <c r="TM92" s="637"/>
      <c r="TN92" s="637"/>
      <c r="TO92" s="637"/>
      <c r="TP92" s="637"/>
      <c r="TQ92" s="637"/>
      <c r="TR92" s="637"/>
      <c r="TS92" s="637"/>
      <c r="TT92" s="637"/>
      <c r="TU92" s="637"/>
      <c r="TV92" s="637"/>
      <c r="TW92" s="637"/>
      <c r="TX92" s="637"/>
      <c r="TY92" s="637"/>
      <c r="TZ92" s="637"/>
      <c r="UA92" s="637"/>
      <c r="UB92" s="637"/>
      <c r="UC92" s="637"/>
      <c r="UD92" s="637"/>
      <c r="UE92" s="637"/>
      <c r="UF92" s="637"/>
      <c r="UG92" s="637"/>
      <c r="UH92" s="637"/>
      <c r="UI92" s="637"/>
      <c r="UJ92" s="637"/>
      <c r="UK92" s="637"/>
      <c r="UL92" s="637"/>
      <c r="UM92" s="637"/>
      <c r="UN92" s="637"/>
      <c r="UO92" s="637"/>
      <c r="UP92" s="637"/>
      <c r="UQ92" s="637"/>
      <c r="UR92" s="637"/>
      <c r="US92" s="637"/>
      <c r="UT92" s="637"/>
      <c r="UU92" s="637"/>
      <c r="UV92" s="637"/>
      <c r="UW92" s="637"/>
      <c r="UX92" s="637"/>
      <c r="UY92" s="637"/>
      <c r="UZ92" s="637"/>
      <c r="VA92" s="637"/>
      <c r="VB92" s="637"/>
      <c r="VC92" s="637"/>
      <c r="VD92" s="637"/>
      <c r="VE92" s="637"/>
      <c r="VF92" s="637"/>
      <c r="VG92" s="637"/>
      <c r="VH92" s="637"/>
      <c r="VI92" s="637"/>
      <c r="VJ92" s="637"/>
      <c r="VK92" s="637"/>
      <c r="VL92" s="637"/>
      <c r="VM92" s="637"/>
      <c r="VN92" s="637"/>
      <c r="VO92" s="637"/>
      <c r="VP92" s="637"/>
      <c r="VQ92" s="637"/>
      <c r="VR92" s="637"/>
      <c r="VS92" s="637"/>
      <c r="VT92" s="637"/>
      <c r="VU92" s="637"/>
      <c r="VV92" s="637"/>
      <c r="VW92" s="637"/>
      <c r="VX92" s="637"/>
      <c r="VY92" s="637"/>
      <c r="VZ92" s="637"/>
      <c r="WA92" s="637"/>
      <c r="WB92" s="637"/>
      <c r="WC92" s="637"/>
      <c r="WD92" s="637"/>
      <c r="WE92" s="637"/>
      <c r="WF92" s="637"/>
      <c r="WG92" s="637"/>
      <c r="WH92" s="637"/>
      <c r="WI92" s="637"/>
      <c r="WJ92" s="637"/>
      <c r="WK92" s="637"/>
      <c r="WL92" s="637"/>
      <c r="WM92" s="637"/>
      <c r="WN92" s="637"/>
      <c r="WO92" s="637"/>
      <c r="WP92" s="637"/>
      <c r="WQ92" s="637"/>
      <c r="WR92" s="637"/>
      <c r="WS92" s="637"/>
      <c r="WT92" s="637"/>
      <c r="WU92" s="637"/>
      <c r="WV92" s="637"/>
      <c r="WW92" s="637"/>
      <c r="WX92" s="637"/>
      <c r="WY92" s="637"/>
      <c r="WZ92" s="637"/>
      <c r="XA92" s="637"/>
      <c r="XB92" s="637"/>
      <c r="XC92" s="637"/>
      <c r="XD92" s="637"/>
      <c r="XE92" s="637"/>
      <c r="XF92" s="637"/>
      <c r="XG92" s="637"/>
      <c r="XH92" s="637"/>
      <c r="XI92" s="637"/>
      <c r="XJ92" s="637"/>
      <c r="XK92" s="637"/>
      <c r="XL92" s="637"/>
      <c r="XM92" s="637"/>
      <c r="XN92" s="637"/>
      <c r="XO92" s="637"/>
      <c r="XP92" s="637"/>
      <c r="XQ92" s="637"/>
      <c r="XR92" s="637"/>
      <c r="XS92" s="637"/>
      <c r="XT92" s="637"/>
      <c r="XU92" s="637"/>
      <c r="XV92" s="637"/>
      <c r="XW92" s="637"/>
      <c r="XX92" s="637"/>
      <c r="XY92" s="637"/>
      <c r="XZ92" s="637"/>
      <c r="YA92" s="637"/>
      <c r="YB92" s="637"/>
      <c r="YC92" s="637"/>
      <c r="YD92" s="637"/>
      <c r="YE92" s="637"/>
      <c r="YF92" s="637"/>
      <c r="YG92" s="637"/>
      <c r="YH92" s="637"/>
      <c r="YI92" s="637"/>
      <c r="YJ92" s="637"/>
      <c r="YK92" s="637"/>
      <c r="YL92" s="637"/>
      <c r="YM92" s="637"/>
      <c r="YN92" s="637"/>
      <c r="YO92" s="637"/>
      <c r="YP92" s="637"/>
      <c r="YQ92" s="637"/>
      <c r="YR92" s="637"/>
      <c r="YS92" s="637"/>
      <c r="YT92" s="637"/>
      <c r="YU92" s="637"/>
      <c r="YV92" s="637"/>
      <c r="YW92" s="637"/>
      <c r="YX92" s="637"/>
      <c r="YY92" s="637"/>
      <c r="YZ92" s="637"/>
      <c r="ZA92" s="637"/>
      <c r="ZB92" s="637"/>
      <c r="ZC92" s="637"/>
      <c r="ZD92" s="637"/>
      <c r="ZE92" s="637"/>
      <c r="ZF92" s="637"/>
      <c r="ZG92" s="637"/>
      <c r="ZH92" s="637"/>
      <c r="ZI92" s="637"/>
      <c r="ZJ92" s="637"/>
      <c r="ZK92" s="637"/>
      <c r="ZL92" s="637"/>
      <c r="ZM92" s="637"/>
      <c r="ZN92" s="637"/>
      <c r="ZO92" s="637"/>
      <c r="ZP92" s="637"/>
      <c r="ZQ92" s="637"/>
      <c r="ZR92" s="637"/>
      <c r="ZS92" s="637"/>
      <c r="ZT92" s="637"/>
      <c r="ZU92" s="637"/>
      <c r="ZV92" s="637"/>
      <c r="ZW92" s="637"/>
      <c r="ZX92" s="637"/>
      <c r="ZY92" s="637"/>
      <c r="ZZ92" s="637"/>
      <c r="AAA92" s="637"/>
      <c r="AAB92" s="637"/>
      <c r="AAC92" s="637"/>
      <c r="AAD92" s="637"/>
      <c r="AAE92" s="637"/>
      <c r="AAF92" s="637"/>
      <c r="AAG92" s="637"/>
      <c r="AAH92" s="637"/>
      <c r="AAI92" s="637"/>
      <c r="AAJ92" s="637"/>
      <c r="AAK92" s="637"/>
      <c r="AAL92" s="637"/>
      <c r="AAM92" s="637"/>
      <c r="AAN92" s="637"/>
      <c r="AAO92" s="637"/>
      <c r="AAP92" s="637"/>
      <c r="AAQ92" s="637"/>
      <c r="AAR92" s="637"/>
      <c r="AAS92" s="637"/>
      <c r="AAT92" s="637"/>
      <c r="AAU92" s="637"/>
      <c r="AAV92" s="637"/>
      <c r="AAW92" s="637"/>
      <c r="AAX92" s="637"/>
      <c r="AAY92" s="637"/>
      <c r="AAZ92" s="637"/>
      <c r="ABA92" s="637"/>
      <c r="ABB92" s="637"/>
      <c r="ABC92" s="637"/>
      <c r="ABD92" s="637"/>
      <c r="ABE92" s="637"/>
      <c r="ABF92" s="637"/>
      <c r="ABG92" s="637"/>
      <c r="ABH92" s="637"/>
      <c r="ABI92" s="637"/>
      <c r="ABJ92" s="637"/>
      <c r="ABK92" s="637"/>
      <c r="ABL92" s="637"/>
      <c r="ABM92" s="637"/>
      <c r="ABN92" s="637"/>
      <c r="ABO92" s="637"/>
      <c r="ABP92" s="637"/>
      <c r="ABQ92" s="637"/>
      <c r="ABR92" s="637"/>
      <c r="ABS92" s="637"/>
      <c r="ABT92" s="637"/>
      <c r="ABU92" s="637"/>
      <c r="ABV92" s="637"/>
      <c r="ABW92" s="637"/>
      <c r="ABX92" s="637"/>
      <c r="ABY92" s="637"/>
      <c r="ABZ92" s="637"/>
      <c r="ACA92" s="637"/>
      <c r="ACB92" s="637"/>
      <c r="ACC92" s="637"/>
      <c r="ACD92" s="637"/>
      <c r="ACE92" s="637"/>
      <c r="ACF92" s="637"/>
      <c r="ACG92" s="637"/>
      <c r="ACH92" s="637"/>
      <c r="ACI92" s="637"/>
      <c r="ACJ92" s="637"/>
      <c r="ACK92" s="637"/>
      <c r="ACL92" s="637"/>
      <c r="ACM92" s="637"/>
      <c r="ACN92" s="637"/>
      <c r="ACO92" s="637"/>
      <c r="ACP92" s="637"/>
      <c r="ACQ92" s="637"/>
      <c r="ACR92" s="637"/>
      <c r="ACS92" s="637"/>
      <c r="ACT92" s="637"/>
      <c r="ACU92" s="637"/>
      <c r="ACV92" s="637"/>
      <c r="ACW92" s="637"/>
      <c r="ACX92" s="637"/>
      <c r="ACY92" s="637"/>
      <c r="ACZ92" s="637"/>
      <c r="ADA92" s="637"/>
      <c r="ADB92" s="637"/>
      <c r="ADC92" s="637"/>
      <c r="ADD92" s="637"/>
      <c r="ADE92" s="637"/>
      <c r="ADF92" s="637"/>
      <c r="ADG92" s="637"/>
      <c r="ADH92" s="637"/>
      <c r="ADI92" s="637"/>
      <c r="ADJ92" s="637"/>
      <c r="ADK92" s="637"/>
      <c r="ADL92" s="637"/>
      <c r="ADM92" s="637"/>
      <c r="ADN92" s="637"/>
      <c r="ADO92" s="637"/>
      <c r="ADP92" s="637"/>
      <c r="ADQ92" s="637"/>
      <c r="ADR92" s="637"/>
      <c r="ADS92" s="637"/>
      <c r="ADT92" s="637"/>
      <c r="ADU92" s="637"/>
      <c r="ADV92" s="637"/>
      <c r="ADW92" s="637"/>
      <c r="ADX92" s="637"/>
      <c r="ADY92" s="637"/>
      <c r="ADZ92" s="637"/>
      <c r="AEA92" s="637"/>
      <c r="AEB92" s="637"/>
      <c r="AEC92" s="637"/>
      <c r="AED92" s="637"/>
      <c r="AEE92" s="637"/>
      <c r="AEF92" s="637"/>
      <c r="AEG92" s="637"/>
      <c r="AEH92" s="637"/>
      <c r="AEI92" s="637"/>
      <c r="AEJ92" s="637"/>
      <c r="AEK92" s="637"/>
      <c r="AEL92" s="637"/>
      <c r="AEM92" s="637"/>
      <c r="AEN92" s="637"/>
      <c r="AEO92" s="637"/>
      <c r="AEP92" s="637"/>
      <c r="AEQ92" s="637"/>
      <c r="AER92" s="637"/>
      <c r="AES92" s="637"/>
      <c r="AET92" s="637"/>
      <c r="AEU92" s="637"/>
      <c r="AEV92" s="637"/>
      <c r="AEW92" s="637"/>
      <c r="AEX92" s="637"/>
      <c r="AEY92" s="637"/>
      <c r="AEZ92" s="637"/>
      <c r="AFA92" s="637"/>
      <c r="AFB92" s="637"/>
      <c r="AFC92" s="637"/>
      <c r="AFD92" s="637"/>
      <c r="AFE92" s="637"/>
      <c r="AFF92" s="637"/>
      <c r="AFG92" s="637"/>
      <c r="AFH92" s="637"/>
      <c r="AFI92" s="637"/>
      <c r="AFJ92" s="637"/>
      <c r="AFK92" s="637"/>
      <c r="AFL92" s="637"/>
      <c r="AFM92" s="637"/>
      <c r="AFN92" s="637"/>
      <c r="AFO92" s="637"/>
      <c r="AFP92" s="637"/>
      <c r="AFQ92" s="637"/>
      <c r="AFR92" s="637"/>
      <c r="AFS92" s="637"/>
      <c r="AFT92" s="637"/>
      <c r="AFU92" s="637"/>
      <c r="AFV92" s="637"/>
      <c r="AFW92" s="637"/>
      <c r="AFX92" s="637"/>
      <c r="AFY92" s="637"/>
      <c r="AFZ92" s="637"/>
      <c r="AGA92" s="637"/>
      <c r="AGB92" s="637"/>
      <c r="AGC92" s="637"/>
      <c r="AGD92" s="637"/>
      <c r="AGE92" s="637"/>
      <c r="AGF92" s="637"/>
      <c r="AGG92" s="637"/>
      <c r="AGH92" s="637"/>
      <c r="AGI92" s="637"/>
      <c r="AGJ92" s="637"/>
      <c r="AGK92" s="637"/>
      <c r="AGL92" s="637"/>
      <c r="AGM92" s="637"/>
      <c r="AGN92" s="637"/>
      <c r="AGO92" s="637"/>
      <c r="AGP92" s="637"/>
      <c r="AGQ92" s="637"/>
      <c r="AGR92" s="637"/>
      <c r="AGS92" s="637"/>
      <c r="AGT92" s="637"/>
      <c r="AGU92" s="637"/>
      <c r="AGV92" s="637"/>
      <c r="AGW92" s="637"/>
      <c r="AGX92" s="637"/>
      <c r="AGY92" s="637"/>
      <c r="AGZ92" s="637"/>
      <c r="AHA92" s="637"/>
      <c r="AHB92" s="637"/>
      <c r="AHC92" s="637"/>
      <c r="AHD92" s="637"/>
      <c r="AHE92" s="637"/>
      <c r="AHF92" s="637"/>
      <c r="AHG92" s="637"/>
      <c r="AHH92" s="637"/>
      <c r="AHI92" s="637"/>
      <c r="AHJ92" s="637"/>
      <c r="AHK92" s="637"/>
      <c r="AHL92" s="637"/>
      <c r="AHM92" s="637"/>
      <c r="AHN92" s="637"/>
      <c r="AHO92" s="637"/>
      <c r="AHP92" s="637"/>
      <c r="AHQ92" s="637"/>
      <c r="AHR92" s="637"/>
      <c r="AHS92" s="637"/>
      <c r="AHT92" s="637"/>
      <c r="AHU92" s="637"/>
      <c r="AHV92" s="637"/>
      <c r="AHW92" s="637"/>
      <c r="AHX92" s="637"/>
      <c r="AHY92" s="637"/>
      <c r="AHZ92" s="637"/>
      <c r="AIA92" s="637"/>
      <c r="AIB92" s="637"/>
      <c r="AIC92" s="637"/>
      <c r="AID92" s="637"/>
      <c r="AIE92" s="637"/>
      <c r="AIF92" s="637"/>
      <c r="AIG92" s="637"/>
      <c r="AIH92" s="637"/>
      <c r="AII92" s="637"/>
      <c r="AIJ92" s="637"/>
      <c r="AIK92" s="637"/>
      <c r="AIL92" s="637"/>
      <c r="AIM92" s="637"/>
      <c r="AIN92" s="637"/>
      <c r="AIO92" s="637"/>
      <c r="AIP92" s="637"/>
      <c r="AIQ92" s="637"/>
      <c r="AIR92" s="637"/>
      <c r="AIS92" s="637"/>
      <c r="AIT92" s="637"/>
      <c r="AIU92" s="637"/>
      <c r="AIV92" s="637"/>
      <c r="AIW92" s="637"/>
      <c r="AIX92" s="637"/>
      <c r="AIY92" s="637"/>
      <c r="AIZ92" s="637"/>
      <c r="AJA92" s="637"/>
      <c r="AJB92" s="637"/>
      <c r="AJC92" s="637"/>
      <c r="AJD92" s="637"/>
      <c r="AJE92" s="637"/>
      <c r="AJF92" s="637"/>
      <c r="AJG92" s="637"/>
      <c r="AJH92" s="637"/>
      <c r="AJI92" s="637"/>
      <c r="AJJ92" s="637"/>
      <c r="AJK92" s="637"/>
      <c r="AJL92" s="637"/>
      <c r="AJM92" s="637"/>
      <c r="AJN92" s="637"/>
      <c r="AJO92" s="637"/>
      <c r="AJP92" s="637"/>
      <c r="AJQ92" s="637"/>
      <c r="AJR92" s="637"/>
      <c r="AJS92" s="637"/>
      <c r="AJT92" s="637"/>
      <c r="AJU92" s="637"/>
      <c r="AJV92" s="637"/>
      <c r="AJW92" s="637"/>
      <c r="AJX92" s="637"/>
      <c r="AJY92" s="637"/>
      <c r="AJZ92" s="637"/>
      <c r="AKA92" s="637"/>
      <c r="AKB92" s="637"/>
      <c r="AKC92" s="637"/>
      <c r="AKD92" s="637"/>
      <c r="AKE92" s="637"/>
      <c r="AKF92" s="637"/>
      <c r="AKG92" s="637"/>
      <c r="AKH92" s="637"/>
      <c r="AKI92" s="637"/>
      <c r="AKJ92" s="637"/>
      <c r="AKK92" s="637"/>
      <c r="AKL92" s="637"/>
      <c r="AKM92" s="637"/>
      <c r="AKN92" s="637"/>
      <c r="AKO92" s="637"/>
      <c r="AKP92" s="637"/>
      <c r="AKQ92" s="637"/>
      <c r="AKR92" s="637"/>
      <c r="AKS92" s="637"/>
      <c r="AKT92" s="637"/>
      <c r="AKU92" s="637"/>
      <c r="AKV92" s="637"/>
      <c r="AKW92" s="637"/>
      <c r="AKX92" s="637"/>
      <c r="AKY92" s="637"/>
      <c r="AKZ92" s="637"/>
      <c r="ALA92" s="637"/>
      <c r="ALB92" s="637"/>
      <c r="ALC92" s="637"/>
      <c r="ALD92" s="637"/>
      <c r="ALE92" s="637"/>
      <c r="ALF92" s="637"/>
      <c r="ALG92" s="637"/>
      <c r="ALH92" s="637"/>
      <c r="ALI92" s="637"/>
      <c r="ALJ92" s="637"/>
      <c r="ALK92" s="637"/>
      <c r="ALL92" s="637"/>
      <c r="ALM92" s="637"/>
      <c r="ALN92" s="637"/>
      <c r="ALO92" s="637"/>
      <c r="ALP92" s="637"/>
      <c r="ALQ92" s="637"/>
      <c r="ALR92" s="637"/>
      <c r="ALS92" s="637"/>
      <c r="ALT92" s="637"/>
      <c r="ALU92" s="637"/>
      <c r="ALV92" s="637"/>
      <c r="ALW92" s="637"/>
      <c r="ALX92" s="637"/>
      <c r="ALY92" s="637"/>
      <c r="ALZ92" s="637"/>
      <c r="AMA92" s="637"/>
      <c r="AMB92" s="637"/>
      <c r="AMC92" s="637"/>
      <c r="AMD92" s="637"/>
      <c r="AME92" s="637"/>
      <c r="AMF92" s="637"/>
      <c r="AMG92" s="637"/>
      <c r="AMH92" s="637"/>
      <c r="AMI92" s="637"/>
      <c r="AMJ92" s="637"/>
    </row>
    <row r="93" spans="1:1024" s="638" customFormat="1" ht="12.75" hidden="1">
      <c r="A93" s="984"/>
      <c r="B93" s="985"/>
      <c r="C93" s="986"/>
      <c r="D93" s="1006"/>
      <c r="E93" s="1007">
        <v>962</v>
      </c>
      <c r="F93" s="1008">
        <f t="shared" si="10"/>
        <v>962</v>
      </c>
      <c r="G93" s="1011">
        <v>551</v>
      </c>
      <c r="H93" s="1011">
        <v>154</v>
      </c>
      <c r="I93" s="1011">
        <v>238</v>
      </c>
      <c r="J93" s="1011">
        <v>19</v>
      </c>
      <c r="K93" s="1011"/>
      <c r="L93" s="1011"/>
      <c r="M93" s="1011"/>
      <c r="N93" s="1011"/>
      <c r="O93" s="1011"/>
      <c r="P93" s="1011"/>
      <c r="Q93" s="1011"/>
      <c r="R93" s="1010"/>
      <c r="S93" s="637"/>
      <c r="T93" s="637"/>
      <c r="U93" s="637"/>
      <c r="V93" s="637"/>
      <c r="W93" s="637"/>
      <c r="X93" s="637"/>
      <c r="Y93" s="637"/>
      <c r="Z93" s="637"/>
      <c r="AA93" s="637"/>
      <c r="AB93" s="637"/>
      <c r="AC93" s="637"/>
      <c r="AD93" s="637"/>
      <c r="AE93" s="637"/>
      <c r="AF93" s="637"/>
      <c r="AG93" s="637"/>
      <c r="AH93" s="637"/>
      <c r="AI93" s="637"/>
      <c r="AJ93" s="637"/>
      <c r="AK93" s="637"/>
      <c r="AL93" s="637"/>
      <c r="AM93" s="637"/>
      <c r="AN93" s="637"/>
      <c r="AO93" s="637"/>
      <c r="AP93" s="637"/>
      <c r="AQ93" s="637"/>
      <c r="AR93" s="637"/>
      <c r="AS93" s="637"/>
      <c r="AT93" s="637"/>
      <c r="AU93" s="637"/>
      <c r="AV93" s="637"/>
      <c r="AW93" s="637"/>
      <c r="AX93" s="637"/>
      <c r="AY93" s="637"/>
      <c r="AZ93" s="637"/>
      <c r="BA93" s="637"/>
      <c r="BB93" s="637"/>
      <c r="BC93" s="637"/>
      <c r="BD93" s="637"/>
      <c r="BE93" s="637"/>
      <c r="BF93" s="637"/>
      <c r="BG93" s="637"/>
      <c r="BH93" s="637"/>
      <c r="BI93" s="637"/>
      <c r="BJ93" s="637"/>
      <c r="BK93" s="637"/>
      <c r="BL93" s="637"/>
      <c r="BM93" s="637"/>
      <c r="BN93" s="637"/>
      <c r="BO93" s="637"/>
      <c r="BP93" s="637"/>
      <c r="BQ93" s="637"/>
      <c r="BR93" s="637"/>
      <c r="BS93" s="637"/>
      <c r="BT93" s="637"/>
      <c r="BU93" s="637"/>
      <c r="BV93" s="637"/>
      <c r="BW93" s="637"/>
      <c r="BX93" s="637"/>
      <c r="BY93" s="637"/>
      <c r="BZ93" s="637"/>
      <c r="CA93" s="637"/>
      <c r="CB93" s="637"/>
      <c r="CC93" s="637"/>
      <c r="CD93" s="637"/>
      <c r="CE93" s="637"/>
      <c r="CF93" s="637"/>
      <c r="CG93" s="637"/>
      <c r="CH93" s="637"/>
      <c r="CI93" s="637"/>
      <c r="CJ93" s="637"/>
      <c r="CK93" s="637"/>
      <c r="CL93" s="637"/>
      <c r="CM93" s="637"/>
      <c r="CN93" s="637"/>
      <c r="CO93" s="637"/>
      <c r="CP93" s="637"/>
      <c r="CQ93" s="637"/>
      <c r="CR93" s="637"/>
      <c r="CS93" s="637"/>
      <c r="CT93" s="637"/>
      <c r="CU93" s="637"/>
      <c r="CV93" s="637"/>
      <c r="CW93" s="637"/>
      <c r="CX93" s="637"/>
      <c r="CY93" s="637"/>
      <c r="CZ93" s="637"/>
      <c r="DA93" s="637"/>
      <c r="DB93" s="637"/>
      <c r="DC93" s="637"/>
      <c r="DD93" s="637"/>
      <c r="DE93" s="637"/>
      <c r="DF93" s="637"/>
      <c r="DG93" s="637"/>
      <c r="DH93" s="637"/>
      <c r="DI93" s="637"/>
      <c r="DJ93" s="637"/>
      <c r="DK93" s="637"/>
      <c r="DL93" s="637"/>
      <c r="DM93" s="637"/>
      <c r="DN93" s="637"/>
      <c r="DO93" s="637"/>
      <c r="DP93" s="637"/>
      <c r="DQ93" s="637"/>
      <c r="DR93" s="637"/>
      <c r="DS93" s="637"/>
      <c r="DT93" s="637"/>
      <c r="DU93" s="637"/>
      <c r="DV93" s="637"/>
      <c r="DW93" s="637"/>
      <c r="DX93" s="637"/>
      <c r="DY93" s="637"/>
      <c r="DZ93" s="637"/>
      <c r="EA93" s="637"/>
      <c r="EB93" s="637"/>
      <c r="EC93" s="637"/>
      <c r="ED93" s="637"/>
      <c r="EE93" s="637"/>
      <c r="EF93" s="637"/>
      <c r="EG93" s="637"/>
      <c r="EH93" s="637"/>
      <c r="EI93" s="637"/>
      <c r="EJ93" s="637"/>
      <c r="EK93" s="637"/>
      <c r="EL93" s="637"/>
      <c r="EM93" s="637"/>
      <c r="EN93" s="637"/>
      <c r="EO93" s="637"/>
      <c r="EP93" s="637"/>
      <c r="EQ93" s="637"/>
      <c r="ER93" s="637"/>
      <c r="ES93" s="637"/>
      <c r="ET93" s="637"/>
      <c r="EU93" s="637"/>
      <c r="EV93" s="637"/>
      <c r="EW93" s="637"/>
      <c r="EX93" s="637"/>
      <c r="EY93" s="637"/>
      <c r="EZ93" s="637"/>
      <c r="FA93" s="637"/>
      <c r="FB93" s="637"/>
      <c r="FC93" s="637"/>
      <c r="FD93" s="637"/>
      <c r="FE93" s="637"/>
      <c r="FF93" s="637"/>
      <c r="FG93" s="637"/>
      <c r="FH93" s="637"/>
      <c r="FI93" s="637"/>
      <c r="FJ93" s="637"/>
      <c r="FK93" s="637"/>
      <c r="FL93" s="637"/>
      <c r="FM93" s="637"/>
      <c r="FN93" s="637"/>
      <c r="FO93" s="637"/>
      <c r="FP93" s="637"/>
      <c r="FQ93" s="637"/>
      <c r="FR93" s="637"/>
      <c r="FS93" s="637"/>
      <c r="FT93" s="637"/>
      <c r="FU93" s="637"/>
      <c r="FV93" s="637"/>
      <c r="FW93" s="637"/>
      <c r="FX93" s="637"/>
      <c r="FY93" s="637"/>
      <c r="FZ93" s="637"/>
      <c r="GA93" s="637"/>
      <c r="GB93" s="637"/>
      <c r="GC93" s="637"/>
      <c r="GD93" s="637"/>
      <c r="GE93" s="637"/>
      <c r="GF93" s="637"/>
      <c r="GG93" s="637"/>
      <c r="GH93" s="637"/>
      <c r="GI93" s="637"/>
      <c r="GJ93" s="637"/>
      <c r="GK93" s="637"/>
      <c r="GL93" s="637"/>
      <c r="GM93" s="637"/>
      <c r="GN93" s="637"/>
      <c r="GO93" s="637"/>
      <c r="GP93" s="637"/>
      <c r="GQ93" s="637"/>
      <c r="GR93" s="637"/>
      <c r="GS93" s="637"/>
      <c r="GT93" s="637"/>
      <c r="GU93" s="637"/>
      <c r="GV93" s="637"/>
      <c r="GW93" s="637"/>
      <c r="GX93" s="637"/>
      <c r="GY93" s="637"/>
      <c r="GZ93" s="637"/>
      <c r="HA93" s="637"/>
      <c r="HB93" s="637"/>
      <c r="HC93" s="637"/>
      <c r="HD93" s="637"/>
      <c r="HE93" s="637"/>
      <c r="HF93" s="637"/>
      <c r="HG93" s="637"/>
      <c r="HH93" s="637"/>
      <c r="HI93" s="637"/>
      <c r="HJ93" s="637"/>
      <c r="HK93" s="637"/>
      <c r="HL93" s="637"/>
      <c r="HM93" s="637"/>
      <c r="HN93" s="637"/>
      <c r="HO93" s="637"/>
      <c r="HP93" s="637"/>
      <c r="HQ93" s="637"/>
      <c r="HR93" s="637"/>
      <c r="HS93" s="637"/>
      <c r="HT93" s="637"/>
      <c r="HU93" s="637"/>
      <c r="HV93" s="637"/>
      <c r="HW93" s="637"/>
      <c r="HX93" s="637"/>
      <c r="HY93" s="637"/>
      <c r="HZ93" s="637"/>
      <c r="IA93" s="637"/>
      <c r="IB93" s="637"/>
      <c r="IC93" s="637"/>
      <c r="ID93" s="637"/>
      <c r="IE93" s="637"/>
      <c r="IF93" s="637"/>
      <c r="IG93" s="637"/>
      <c r="IH93" s="637"/>
      <c r="II93" s="637"/>
      <c r="IJ93" s="637"/>
      <c r="IK93" s="637"/>
      <c r="IL93" s="637"/>
      <c r="IM93" s="637"/>
      <c r="IN93" s="637"/>
      <c r="IO93" s="637"/>
      <c r="IP93" s="637"/>
      <c r="IQ93" s="637"/>
      <c r="IR93" s="637"/>
      <c r="IS93" s="637"/>
      <c r="IT93" s="637"/>
      <c r="IU93" s="637"/>
      <c r="IV93" s="637"/>
      <c r="IW93" s="637"/>
      <c r="IX93" s="637"/>
      <c r="IY93" s="637"/>
      <c r="IZ93" s="637"/>
      <c r="JA93" s="637"/>
      <c r="JB93" s="637"/>
      <c r="JC93" s="637"/>
      <c r="JD93" s="637"/>
      <c r="JE93" s="637"/>
      <c r="JF93" s="637"/>
      <c r="JG93" s="637"/>
      <c r="JH93" s="637"/>
      <c r="JI93" s="637"/>
      <c r="JJ93" s="637"/>
      <c r="JK93" s="637"/>
      <c r="JL93" s="637"/>
      <c r="JM93" s="637"/>
      <c r="JN93" s="637"/>
      <c r="JO93" s="637"/>
      <c r="JP93" s="637"/>
      <c r="JQ93" s="637"/>
      <c r="JR93" s="637"/>
      <c r="JS93" s="637"/>
      <c r="JT93" s="637"/>
      <c r="JU93" s="637"/>
      <c r="JV93" s="637"/>
      <c r="JW93" s="637"/>
      <c r="JX93" s="637"/>
      <c r="JY93" s="637"/>
      <c r="JZ93" s="637"/>
      <c r="KA93" s="637"/>
      <c r="KB93" s="637"/>
      <c r="KC93" s="637"/>
      <c r="KD93" s="637"/>
      <c r="KE93" s="637"/>
      <c r="KF93" s="637"/>
      <c r="KG93" s="637"/>
      <c r="KH93" s="637"/>
      <c r="KI93" s="637"/>
      <c r="KJ93" s="637"/>
      <c r="KK93" s="637"/>
      <c r="KL93" s="637"/>
      <c r="KM93" s="637"/>
      <c r="KN93" s="637"/>
      <c r="KO93" s="637"/>
      <c r="KP93" s="637"/>
      <c r="KQ93" s="637"/>
      <c r="KR93" s="637"/>
      <c r="KS93" s="637"/>
      <c r="KT93" s="637"/>
      <c r="KU93" s="637"/>
      <c r="KV93" s="637"/>
      <c r="KW93" s="637"/>
      <c r="KX93" s="637"/>
      <c r="KY93" s="637"/>
      <c r="KZ93" s="637"/>
      <c r="LA93" s="637"/>
      <c r="LB93" s="637"/>
      <c r="LC93" s="637"/>
      <c r="LD93" s="637"/>
      <c r="LE93" s="637"/>
      <c r="LF93" s="637"/>
      <c r="LG93" s="637"/>
      <c r="LH93" s="637"/>
      <c r="LI93" s="637"/>
      <c r="LJ93" s="637"/>
      <c r="LK93" s="637"/>
      <c r="LL93" s="637"/>
      <c r="LM93" s="637"/>
      <c r="LN93" s="637"/>
      <c r="LO93" s="637"/>
      <c r="LP93" s="637"/>
      <c r="LQ93" s="637"/>
      <c r="LR93" s="637"/>
      <c r="LS93" s="637"/>
      <c r="LT93" s="637"/>
      <c r="LU93" s="637"/>
      <c r="LV93" s="637"/>
      <c r="LW93" s="637"/>
      <c r="LX93" s="637"/>
      <c r="LY93" s="637"/>
      <c r="LZ93" s="637"/>
      <c r="MA93" s="637"/>
      <c r="MB93" s="637"/>
      <c r="MC93" s="637"/>
      <c r="MD93" s="637"/>
      <c r="ME93" s="637"/>
      <c r="MF93" s="637"/>
      <c r="MG93" s="637"/>
      <c r="MH93" s="637"/>
      <c r="MI93" s="637"/>
      <c r="MJ93" s="637"/>
      <c r="MK93" s="637"/>
      <c r="ML93" s="637"/>
      <c r="MM93" s="637"/>
      <c r="MN93" s="637"/>
      <c r="MO93" s="637"/>
      <c r="MP93" s="637"/>
      <c r="MQ93" s="637"/>
      <c r="MR93" s="637"/>
      <c r="MS93" s="637"/>
      <c r="MT93" s="637"/>
      <c r="MU93" s="637"/>
      <c r="MV93" s="637"/>
      <c r="MW93" s="637"/>
      <c r="MX93" s="637"/>
      <c r="MY93" s="637"/>
      <c r="MZ93" s="637"/>
      <c r="NA93" s="637"/>
      <c r="NB93" s="637"/>
      <c r="NC93" s="637"/>
      <c r="ND93" s="637"/>
      <c r="NE93" s="637"/>
      <c r="NF93" s="637"/>
      <c r="NG93" s="637"/>
      <c r="NH93" s="637"/>
      <c r="NI93" s="637"/>
      <c r="NJ93" s="637"/>
      <c r="NK93" s="637"/>
      <c r="NL93" s="637"/>
      <c r="NM93" s="637"/>
      <c r="NN93" s="637"/>
      <c r="NO93" s="637"/>
      <c r="NP93" s="637"/>
      <c r="NQ93" s="637"/>
      <c r="NR93" s="637"/>
      <c r="NS93" s="637"/>
      <c r="NT93" s="637"/>
      <c r="NU93" s="637"/>
      <c r="NV93" s="637"/>
      <c r="NW93" s="637"/>
      <c r="NX93" s="637"/>
      <c r="NY93" s="637"/>
      <c r="NZ93" s="637"/>
      <c r="OA93" s="637"/>
      <c r="OB93" s="637"/>
      <c r="OC93" s="637"/>
      <c r="OD93" s="637"/>
      <c r="OE93" s="637"/>
      <c r="OF93" s="637"/>
      <c r="OG93" s="637"/>
      <c r="OH93" s="637"/>
      <c r="OI93" s="637"/>
      <c r="OJ93" s="637"/>
      <c r="OK93" s="637"/>
      <c r="OL93" s="637"/>
      <c r="OM93" s="637"/>
      <c r="ON93" s="637"/>
      <c r="OO93" s="637"/>
      <c r="OP93" s="637"/>
      <c r="OQ93" s="637"/>
      <c r="OR93" s="637"/>
      <c r="OS93" s="637"/>
      <c r="OT93" s="637"/>
      <c r="OU93" s="637"/>
      <c r="OV93" s="637"/>
      <c r="OW93" s="637"/>
      <c r="OX93" s="637"/>
      <c r="OY93" s="637"/>
      <c r="OZ93" s="637"/>
      <c r="PA93" s="637"/>
      <c r="PB93" s="637"/>
      <c r="PC93" s="637"/>
      <c r="PD93" s="637"/>
      <c r="PE93" s="637"/>
      <c r="PF93" s="637"/>
      <c r="PG93" s="637"/>
      <c r="PH93" s="637"/>
      <c r="PI93" s="637"/>
      <c r="PJ93" s="637"/>
      <c r="PK93" s="637"/>
      <c r="PL93" s="637"/>
      <c r="PM93" s="637"/>
      <c r="PN93" s="637"/>
      <c r="PO93" s="637"/>
      <c r="PP93" s="637"/>
      <c r="PQ93" s="637"/>
      <c r="PR93" s="637"/>
      <c r="PS93" s="637"/>
      <c r="PT93" s="637"/>
      <c r="PU93" s="637"/>
      <c r="PV93" s="637"/>
      <c r="PW93" s="637"/>
      <c r="PX93" s="637"/>
      <c r="PY93" s="637"/>
      <c r="PZ93" s="637"/>
      <c r="QA93" s="637"/>
      <c r="QB93" s="637"/>
      <c r="QC93" s="637"/>
      <c r="QD93" s="637"/>
      <c r="QE93" s="637"/>
      <c r="QF93" s="637"/>
      <c r="QG93" s="637"/>
      <c r="QH93" s="637"/>
      <c r="QI93" s="637"/>
      <c r="QJ93" s="637"/>
      <c r="QK93" s="637"/>
      <c r="QL93" s="637"/>
      <c r="QM93" s="637"/>
      <c r="QN93" s="637"/>
      <c r="QO93" s="637"/>
      <c r="QP93" s="637"/>
      <c r="QQ93" s="637"/>
      <c r="QR93" s="637"/>
      <c r="QS93" s="637"/>
      <c r="QT93" s="637"/>
      <c r="QU93" s="637"/>
      <c r="QV93" s="637"/>
      <c r="QW93" s="637"/>
      <c r="QX93" s="637"/>
      <c r="QY93" s="637"/>
      <c r="QZ93" s="637"/>
      <c r="RA93" s="637"/>
      <c r="RB93" s="637"/>
      <c r="RC93" s="637"/>
      <c r="RD93" s="637"/>
      <c r="RE93" s="637"/>
      <c r="RF93" s="637"/>
      <c r="RG93" s="637"/>
      <c r="RH93" s="637"/>
      <c r="RI93" s="637"/>
      <c r="RJ93" s="637"/>
      <c r="RK93" s="637"/>
      <c r="RL93" s="637"/>
      <c r="RM93" s="637"/>
      <c r="RN93" s="637"/>
      <c r="RO93" s="637"/>
      <c r="RP93" s="637"/>
      <c r="RQ93" s="637"/>
      <c r="RR93" s="637"/>
      <c r="RS93" s="637"/>
      <c r="RT93" s="637"/>
      <c r="RU93" s="637"/>
      <c r="RV93" s="637"/>
      <c r="RW93" s="637"/>
      <c r="RX93" s="637"/>
      <c r="RY93" s="637"/>
      <c r="RZ93" s="637"/>
      <c r="SA93" s="637"/>
      <c r="SB93" s="637"/>
      <c r="SC93" s="637"/>
      <c r="SD93" s="637"/>
      <c r="SE93" s="637"/>
      <c r="SF93" s="637"/>
      <c r="SG93" s="637"/>
      <c r="SH93" s="637"/>
      <c r="SI93" s="637"/>
      <c r="SJ93" s="637"/>
      <c r="SK93" s="637"/>
      <c r="SL93" s="637"/>
      <c r="SM93" s="637"/>
      <c r="SN93" s="637"/>
      <c r="SO93" s="637"/>
      <c r="SP93" s="637"/>
      <c r="SQ93" s="637"/>
      <c r="SR93" s="637"/>
      <c r="SS93" s="637"/>
      <c r="ST93" s="637"/>
      <c r="SU93" s="637"/>
      <c r="SV93" s="637"/>
      <c r="SW93" s="637"/>
      <c r="SX93" s="637"/>
      <c r="SY93" s="637"/>
      <c r="SZ93" s="637"/>
      <c r="TA93" s="637"/>
      <c r="TB93" s="637"/>
      <c r="TC93" s="637"/>
      <c r="TD93" s="637"/>
      <c r="TE93" s="637"/>
      <c r="TF93" s="637"/>
      <c r="TG93" s="637"/>
      <c r="TH93" s="637"/>
      <c r="TI93" s="637"/>
      <c r="TJ93" s="637"/>
      <c r="TK93" s="637"/>
      <c r="TL93" s="637"/>
      <c r="TM93" s="637"/>
      <c r="TN93" s="637"/>
      <c r="TO93" s="637"/>
      <c r="TP93" s="637"/>
      <c r="TQ93" s="637"/>
      <c r="TR93" s="637"/>
      <c r="TS93" s="637"/>
      <c r="TT93" s="637"/>
      <c r="TU93" s="637"/>
      <c r="TV93" s="637"/>
      <c r="TW93" s="637"/>
      <c r="TX93" s="637"/>
      <c r="TY93" s="637"/>
      <c r="TZ93" s="637"/>
      <c r="UA93" s="637"/>
      <c r="UB93" s="637"/>
      <c r="UC93" s="637"/>
      <c r="UD93" s="637"/>
      <c r="UE93" s="637"/>
      <c r="UF93" s="637"/>
      <c r="UG93" s="637"/>
      <c r="UH93" s="637"/>
      <c r="UI93" s="637"/>
      <c r="UJ93" s="637"/>
      <c r="UK93" s="637"/>
      <c r="UL93" s="637"/>
      <c r="UM93" s="637"/>
      <c r="UN93" s="637"/>
      <c r="UO93" s="637"/>
      <c r="UP93" s="637"/>
      <c r="UQ93" s="637"/>
      <c r="UR93" s="637"/>
      <c r="US93" s="637"/>
      <c r="UT93" s="637"/>
      <c r="UU93" s="637"/>
      <c r="UV93" s="637"/>
      <c r="UW93" s="637"/>
      <c r="UX93" s="637"/>
      <c r="UY93" s="637"/>
      <c r="UZ93" s="637"/>
      <c r="VA93" s="637"/>
      <c r="VB93" s="637"/>
      <c r="VC93" s="637"/>
      <c r="VD93" s="637"/>
      <c r="VE93" s="637"/>
      <c r="VF93" s="637"/>
      <c r="VG93" s="637"/>
      <c r="VH93" s="637"/>
      <c r="VI93" s="637"/>
      <c r="VJ93" s="637"/>
      <c r="VK93" s="637"/>
      <c r="VL93" s="637"/>
      <c r="VM93" s="637"/>
      <c r="VN93" s="637"/>
      <c r="VO93" s="637"/>
      <c r="VP93" s="637"/>
      <c r="VQ93" s="637"/>
      <c r="VR93" s="637"/>
      <c r="VS93" s="637"/>
      <c r="VT93" s="637"/>
      <c r="VU93" s="637"/>
      <c r="VV93" s="637"/>
      <c r="VW93" s="637"/>
      <c r="VX93" s="637"/>
      <c r="VY93" s="637"/>
      <c r="VZ93" s="637"/>
      <c r="WA93" s="637"/>
      <c r="WB93" s="637"/>
      <c r="WC93" s="637"/>
      <c r="WD93" s="637"/>
      <c r="WE93" s="637"/>
      <c r="WF93" s="637"/>
      <c r="WG93" s="637"/>
      <c r="WH93" s="637"/>
      <c r="WI93" s="637"/>
      <c r="WJ93" s="637"/>
      <c r="WK93" s="637"/>
      <c r="WL93" s="637"/>
      <c r="WM93" s="637"/>
      <c r="WN93" s="637"/>
      <c r="WO93" s="637"/>
      <c r="WP93" s="637"/>
      <c r="WQ93" s="637"/>
      <c r="WR93" s="637"/>
      <c r="WS93" s="637"/>
      <c r="WT93" s="637"/>
      <c r="WU93" s="637"/>
      <c r="WV93" s="637"/>
      <c r="WW93" s="637"/>
      <c r="WX93" s="637"/>
      <c r="WY93" s="637"/>
      <c r="WZ93" s="637"/>
      <c r="XA93" s="637"/>
      <c r="XB93" s="637"/>
      <c r="XC93" s="637"/>
      <c r="XD93" s="637"/>
      <c r="XE93" s="637"/>
      <c r="XF93" s="637"/>
      <c r="XG93" s="637"/>
      <c r="XH93" s="637"/>
      <c r="XI93" s="637"/>
      <c r="XJ93" s="637"/>
      <c r="XK93" s="637"/>
      <c r="XL93" s="637"/>
      <c r="XM93" s="637"/>
      <c r="XN93" s="637"/>
      <c r="XO93" s="637"/>
      <c r="XP93" s="637"/>
      <c r="XQ93" s="637"/>
      <c r="XR93" s="637"/>
      <c r="XS93" s="637"/>
      <c r="XT93" s="637"/>
      <c r="XU93" s="637"/>
      <c r="XV93" s="637"/>
      <c r="XW93" s="637"/>
      <c r="XX93" s="637"/>
      <c r="XY93" s="637"/>
      <c r="XZ93" s="637"/>
      <c r="YA93" s="637"/>
      <c r="YB93" s="637"/>
      <c r="YC93" s="637"/>
      <c r="YD93" s="637"/>
      <c r="YE93" s="637"/>
      <c r="YF93" s="637"/>
      <c r="YG93" s="637"/>
      <c r="YH93" s="637"/>
      <c r="YI93" s="637"/>
      <c r="YJ93" s="637"/>
      <c r="YK93" s="637"/>
      <c r="YL93" s="637"/>
      <c r="YM93" s="637"/>
      <c r="YN93" s="637"/>
      <c r="YO93" s="637"/>
      <c r="YP93" s="637"/>
      <c r="YQ93" s="637"/>
      <c r="YR93" s="637"/>
      <c r="YS93" s="637"/>
      <c r="YT93" s="637"/>
      <c r="YU93" s="637"/>
      <c r="YV93" s="637"/>
      <c r="YW93" s="637"/>
      <c r="YX93" s="637"/>
      <c r="YY93" s="637"/>
      <c r="YZ93" s="637"/>
      <c r="ZA93" s="637"/>
      <c r="ZB93" s="637"/>
      <c r="ZC93" s="637"/>
      <c r="ZD93" s="637"/>
      <c r="ZE93" s="637"/>
      <c r="ZF93" s="637"/>
      <c r="ZG93" s="637"/>
      <c r="ZH93" s="637"/>
      <c r="ZI93" s="637"/>
      <c r="ZJ93" s="637"/>
      <c r="ZK93" s="637"/>
      <c r="ZL93" s="637"/>
      <c r="ZM93" s="637"/>
      <c r="ZN93" s="637"/>
      <c r="ZO93" s="637"/>
      <c r="ZP93" s="637"/>
      <c r="ZQ93" s="637"/>
      <c r="ZR93" s="637"/>
      <c r="ZS93" s="637"/>
      <c r="ZT93" s="637"/>
      <c r="ZU93" s="637"/>
      <c r="ZV93" s="637"/>
      <c r="ZW93" s="637"/>
      <c r="ZX93" s="637"/>
      <c r="ZY93" s="637"/>
      <c r="ZZ93" s="637"/>
      <c r="AAA93" s="637"/>
      <c r="AAB93" s="637"/>
      <c r="AAC93" s="637"/>
      <c r="AAD93" s="637"/>
      <c r="AAE93" s="637"/>
      <c r="AAF93" s="637"/>
      <c r="AAG93" s="637"/>
      <c r="AAH93" s="637"/>
      <c r="AAI93" s="637"/>
      <c r="AAJ93" s="637"/>
      <c r="AAK93" s="637"/>
      <c r="AAL93" s="637"/>
      <c r="AAM93" s="637"/>
      <c r="AAN93" s="637"/>
      <c r="AAO93" s="637"/>
      <c r="AAP93" s="637"/>
      <c r="AAQ93" s="637"/>
      <c r="AAR93" s="637"/>
      <c r="AAS93" s="637"/>
      <c r="AAT93" s="637"/>
      <c r="AAU93" s="637"/>
      <c r="AAV93" s="637"/>
      <c r="AAW93" s="637"/>
      <c r="AAX93" s="637"/>
      <c r="AAY93" s="637"/>
      <c r="AAZ93" s="637"/>
      <c r="ABA93" s="637"/>
      <c r="ABB93" s="637"/>
      <c r="ABC93" s="637"/>
      <c r="ABD93" s="637"/>
      <c r="ABE93" s="637"/>
      <c r="ABF93" s="637"/>
      <c r="ABG93" s="637"/>
      <c r="ABH93" s="637"/>
      <c r="ABI93" s="637"/>
      <c r="ABJ93" s="637"/>
      <c r="ABK93" s="637"/>
      <c r="ABL93" s="637"/>
      <c r="ABM93" s="637"/>
      <c r="ABN93" s="637"/>
      <c r="ABO93" s="637"/>
      <c r="ABP93" s="637"/>
      <c r="ABQ93" s="637"/>
      <c r="ABR93" s="637"/>
      <c r="ABS93" s="637"/>
      <c r="ABT93" s="637"/>
      <c r="ABU93" s="637"/>
      <c r="ABV93" s="637"/>
      <c r="ABW93" s="637"/>
      <c r="ABX93" s="637"/>
      <c r="ABY93" s="637"/>
      <c r="ABZ93" s="637"/>
      <c r="ACA93" s="637"/>
      <c r="ACB93" s="637"/>
      <c r="ACC93" s="637"/>
      <c r="ACD93" s="637"/>
      <c r="ACE93" s="637"/>
      <c r="ACF93" s="637"/>
      <c r="ACG93" s="637"/>
      <c r="ACH93" s="637"/>
      <c r="ACI93" s="637"/>
      <c r="ACJ93" s="637"/>
      <c r="ACK93" s="637"/>
      <c r="ACL93" s="637"/>
      <c r="ACM93" s="637"/>
      <c r="ACN93" s="637"/>
      <c r="ACO93" s="637"/>
      <c r="ACP93" s="637"/>
      <c r="ACQ93" s="637"/>
      <c r="ACR93" s="637"/>
      <c r="ACS93" s="637"/>
      <c r="ACT93" s="637"/>
      <c r="ACU93" s="637"/>
      <c r="ACV93" s="637"/>
      <c r="ACW93" s="637"/>
      <c r="ACX93" s="637"/>
      <c r="ACY93" s="637"/>
      <c r="ACZ93" s="637"/>
      <c r="ADA93" s="637"/>
      <c r="ADB93" s="637"/>
      <c r="ADC93" s="637"/>
      <c r="ADD93" s="637"/>
      <c r="ADE93" s="637"/>
      <c r="ADF93" s="637"/>
      <c r="ADG93" s="637"/>
      <c r="ADH93" s="637"/>
      <c r="ADI93" s="637"/>
      <c r="ADJ93" s="637"/>
      <c r="ADK93" s="637"/>
      <c r="ADL93" s="637"/>
      <c r="ADM93" s="637"/>
      <c r="ADN93" s="637"/>
      <c r="ADO93" s="637"/>
      <c r="ADP93" s="637"/>
      <c r="ADQ93" s="637"/>
      <c r="ADR93" s="637"/>
      <c r="ADS93" s="637"/>
      <c r="ADT93" s="637"/>
      <c r="ADU93" s="637"/>
      <c r="ADV93" s="637"/>
      <c r="ADW93" s="637"/>
      <c r="ADX93" s="637"/>
      <c r="ADY93" s="637"/>
      <c r="ADZ93" s="637"/>
      <c r="AEA93" s="637"/>
      <c r="AEB93" s="637"/>
      <c r="AEC93" s="637"/>
      <c r="AED93" s="637"/>
      <c r="AEE93" s="637"/>
      <c r="AEF93" s="637"/>
      <c r="AEG93" s="637"/>
      <c r="AEH93" s="637"/>
      <c r="AEI93" s="637"/>
      <c r="AEJ93" s="637"/>
      <c r="AEK93" s="637"/>
      <c r="AEL93" s="637"/>
      <c r="AEM93" s="637"/>
      <c r="AEN93" s="637"/>
      <c r="AEO93" s="637"/>
      <c r="AEP93" s="637"/>
      <c r="AEQ93" s="637"/>
      <c r="AER93" s="637"/>
      <c r="AES93" s="637"/>
      <c r="AET93" s="637"/>
      <c r="AEU93" s="637"/>
      <c r="AEV93" s="637"/>
      <c r="AEW93" s="637"/>
      <c r="AEX93" s="637"/>
      <c r="AEY93" s="637"/>
      <c r="AEZ93" s="637"/>
      <c r="AFA93" s="637"/>
      <c r="AFB93" s="637"/>
      <c r="AFC93" s="637"/>
      <c r="AFD93" s="637"/>
      <c r="AFE93" s="637"/>
      <c r="AFF93" s="637"/>
      <c r="AFG93" s="637"/>
      <c r="AFH93" s="637"/>
      <c r="AFI93" s="637"/>
      <c r="AFJ93" s="637"/>
      <c r="AFK93" s="637"/>
      <c r="AFL93" s="637"/>
      <c r="AFM93" s="637"/>
      <c r="AFN93" s="637"/>
      <c r="AFO93" s="637"/>
      <c r="AFP93" s="637"/>
      <c r="AFQ93" s="637"/>
      <c r="AFR93" s="637"/>
      <c r="AFS93" s="637"/>
      <c r="AFT93" s="637"/>
      <c r="AFU93" s="637"/>
      <c r="AFV93" s="637"/>
      <c r="AFW93" s="637"/>
      <c r="AFX93" s="637"/>
      <c r="AFY93" s="637"/>
      <c r="AFZ93" s="637"/>
      <c r="AGA93" s="637"/>
      <c r="AGB93" s="637"/>
      <c r="AGC93" s="637"/>
      <c r="AGD93" s="637"/>
      <c r="AGE93" s="637"/>
      <c r="AGF93" s="637"/>
      <c r="AGG93" s="637"/>
      <c r="AGH93" s="637"/>
      <c r="AGI93" s="637"/>
      <c r="AGJ93" s="637"/>
      <c r="AGK93" s="637"/>
      <c r="AGL93" s="637"/>
      <c r="AGM93" s="637"/>
      <c r="AGN93" s="637"/>
      <c r="AGO93" s="637"/>
      <c r="AGP93" s="637"/>
      <c r="AGQ93" s="637"/>
      <c r="AGR93" s="637"/>
      <c r="AGS93" s="637"/>
      <c r="AGT93" s="637"/>
      <c r="AGU93" s="637"/>
      <c r="AGV93" s="637"/>
      <c r="AGW93" s="637"/>
      <c r="AGX93" s="637"/>
      <c r="AGY93" s="637"/>
      <c r="AGZ93" s="637"/>
      <c r="AHA93" s="637"/>
      <c r="AHB93" s="637"/>
      <c r="AHC93" s="637"/>
      <c r="AHD93" s="637"/>
      <c r="AHE93" s="637"/>
      <c r="AHF93" s="637"/>
      <c r="AHG93" s="637"/>
      <c r="AHH93" s="637"/>
      <c r="AHI93" s="637"/>
      <c r="AHJ93" s="637"/>
      <c r="AHK93" s="637"/>
      <c r="AHL93" s="637"/>
      <c r="AHM93" s="637"/>
      <c r="AHN93" s="637"/>
      <c r="AHO93" s="637"/>
      <c r="AHP93" s="637"/>
      <c r="AHQ93" s="637"/>
      <c r="AHR93" s="637"/>
      <c r="AHS93" s="637"/>
      <c r="AHT93" s="637"/>
      <c r="AHU93" s="637"/>
      <c r="AHV93" s="637"/>
      <c r="AHW93" s="637"/>
      <c r="AHX93" s="637"/>
      <c r="AHY93" s="637"/>
      <c r="AHZ93" s="637"/>
      <c r="AIA93" s="637"/>
      <c r="AIB93" s="637"/>
      <c r="AIC93" s="637"/>
      <c r="AID93" s="637"/>
      <c r="AIE93" s="637"/>
      <c r="AIF93" s="637"/>
      <c r="AIG93" s="637"/>
      <c r="AIH93" s="637"/>
      <c r="AII93" s="637"/>
      <c r="AIJ93" s="637"/>
      <c r="AIK93" s="637"/>
      <c r="AIL93" s="637"/>
      <c r="AIM93" s="637"/>
      <c r="AIN93" s="637"/>
      <c r="AIO93" s="637"/>
      <c r="AIP93" s="637"/>
      <c r="AIQ93" s="637"/>
      <c r="AIR93" s="637"/>
      <c r="AIS93" s="637"/>
      <c r="AIT93" s="637"/>
      <c r="AIU93" s="637"/>
      <c r="AIV93" s="637"/>
      <c r="AIW93" s="637"/>
      <c r="AIX93" s="637"/>
      <c r="AIY93" s="637"/>
      <c r="AIZ93" s="637"/>
      <c r="AJA93" s="637"/>
      <c r="AJB93" s="637"/>
      <c r="AJC93" s="637"/>
      <c r="AJD93" s="637"/>
      <c r="AJE93" s="637"/>
      <c r="AJF93" s="637"/>
      <c r="AJG93" s="637"/>
      <c r="AJH93" s="637"/>
      <c r="AJI93" s="637"/>
      <c r="AJJ93" s="637"/>
      <c r="AJK93" s="637"/>
      <c r="AJL93" s="637"/>
      <c r="AJM93" s="637"/>
      <c r="AJN93" s="637"/>
      <c r="AJO93" s="637"/>
      <c r="AJP93" s="637"/>
      <c r="AJQ93" s="637"/>
      <c r="AJR93" s="637"/>
      <c r="AJS93" s="637"/>
      <c r="AJT93" s="637"/>
      <c r="AJU93" s="637"/>
      <c r="AJV93" s="637"/>
      <c r="AJW93" s="637"/>
      <c r="AJX93" s="637"/>
      <c r="AJY93" s="637"/>
      <c r="AJZ93" s="637"/>
      <c r="AKA93" s="637"/>
      <c r="AKB93" s="637"/>
      <c r="AKC93" s="637"/>
      <c r="AKD93" s="637"/>
      <c r="AKE93" s="637"/>
      <c r="AKF93" s="637"/>
      <c r="AKG93" s="637"/>
      <c r="AKH93" s="637"/>
      <c r="AKI93" s="637"/>
      <c r="AKJ93" s="637"/>
      <c r="AKK93" s="637"/>
      <c r="AKL93" s="637"/>
      <c r="AKM93" s="637"/>
      <c r="AKN93" s="637"/>
      <c r="AKO93" s="637"/>
      <c r="AKP93" s="637"/>
      <c r="AKQ93" s="637"/>
      <c r="AKR93" s="637"/>
      <c r="AKS93" s="637"/>
      <c r="AKT93" s="637"/>
      <c r="AKU93" s="637"/>
      <c r="AKV93" s="637"/>
      <c r="AKW93" s="637"/>
      <c r="AKX93" s="637"/>
      <c r="AKY93" s="637"/>
      <c r="AKZ93" s="637"/>
      <c r="ALA93" s="637"/>
      <c r="ALB93" s="637"/>
      <c r="ALC93" s="637"/>
      <c r="ALD93" s="637"/>
      <c r="ALE93" s="637"/>
      <c r="ALF93" s="637"/>
      <c r="ALG93" s="637"/>
      <c r="ALH93" s="637"/>
      <c r="ALI93" s="637"/>
      <c r="ALJ93" s="637"/>
      <c r="ALK93" s="637"/>
      <c r="ALL93" s="637"/>
      <c r="ALM93" s="637"/>
      <c r="ALN93" s="637"/>
      <c r="ALO93" s="637"/>
      <c r="ALP93" s="637"/>
      <c r="ALQ93" s="637"/>
      <c r="ALR93" s="637"/>
      <c r="ALS93" s="637"/>
      <c r="ALT93" s="637"/>
      <c r="ALU93" s="637"/>
      <c r="ALV93" s="637"/>
      <c r="ALW93" s="637"/>
      <c r="ALX93" s="637"/>
      <c r="ALY93" s="637"/>
      <c r="ALZ93" s="637"/>
      <c r="AMA93" s="637"/>
      <c r="AMB93" s="637"/>
      <c r="AMC93" s="637"/>
      <c r="AMD93" s="637"/>
      <c r="AME93" s="637"/>
      <c r="AMF93" s="637"/>
      <c r="AMG93" s="637"/>
      <c r="AMH93" s="637"/>
      <c r="AMI93" s="637"/>
      <c r="AMJ93" s="637"/>
    </row>
    <row r="94" spans="1:1024" s="638" customFormat="1" ht="12.75">
      <c r="A94" s="984" t="s">
        <v>121</v>
      </c>
      <c r="B94" s="985" t="s">
        <v>1013</v>
      </c>
      <c r="C94" s="1012" t="s">
        <v>1014</v>
      </c>
      <c r="D94" s="981" t="s">
        <v>4</v>
      </c>
      <c r="E94" s="982">
        <v>0</v>
      </c>
      <c r="F94" s="982">
        <f t="shared" si="10"/>
        <v>0</v>
      </c>
      <c r="G94" s="987"/>
      <c r="H94" s="987"/>
      <c r="I94" s="987"/>
      <c r="J94" s="987"/>
      <c r="K94" s="987"/>
      <c r="L94" s="987"/>
      <c r="M94" s="987"/>
      <c r="N94" s="987"/>
      <c r="O94" s="987"/>
      <c r="P94" s="987"/>
      <c r="Q94" s="987"/>
      <c r="R94" s="984"/>
      <c r="S94" s="637"/>
      <c r="T94" s="637"/>
      <c r="U94" s="637"/>
      <c r="V94" s="637"/>
      <c r="W94" s="637"/>
      <c r="X94" s="637"/>
      <c r="Y94" s="637"/>
      <c r="Z94" s="637"/>
      <c r="AA94" s="637"/>
      <c r="AB94" s="637"/>
      <c r="AC94" s="637"/>
      <c r="AD94" s="637"/>
      <c r="AE94" s="637"/>
      <c r="AF94" s="637"/>
      <c r="AG94" s="637"/>
      <c r="AH94" s="637"/>
      <c r="AI94" s="637"/>
      <c r="AJ94" s="637"/>
      <c r="AK94" s="637"/>
      <c r="AL94" s="637"/>
      <c r="AM94" s="637"/>
      <c r="AN94" s="637"/>
      <c r="AO94" s="637"/>
      <c r="AP94" s="637"/>
      <c r="AQ94" s="637"/>
      <c r="AR94" s="637"/>
      <c r="AS94" s="637"/>
      <c r="AT94" s="637"/>
      <c r="AU94" s="637"/>
      <c r="AV94" s="637"/>
      <c r="AW94" s="637"/>
      <c r="AX94" s="637"/>
      <c r="AY94" s="637"/>
      <c r="AZ94" s="637"/>
      <c r="BA94" s="637"/>
      <c r="BB94" s="637"/>
      <c r="BC94" s="637"/>
      <c r="BD94" s="637"/>
      <c r="BE94" s="637"/>
      <c r="BF94" s="637"/>
      <c r="BG94" s="637"/>
      <c r="BH94" s="637"/>
      <c r="BI94" s="637"/>
      <c r="BJ94" s="637"/>
      <c r="BK94" s="637"/>
      <c r="BL94" s="637"/>
      <c r="BM94" s="637"/>
      <c r="BN94" s="637"/>
      <c r="BO94" s="637"/>
      <c r="BP94" s="637"/>
      <c r="BQ94" s="637"/>
      <c r="BR94" s="637"/>
      <c r="BS94" s="637"/>
      <c r="BT94" s="637"/>
      <c r="BU94" s="637"/>
      <c r="BV94" s="637"/>
      <c r="BW94" s="637"/>
      <c r="BX94" s="637"/>
      <c r="BY94" s="637"/>
      <c r="BZ94" s="637"/>
      <c r="CA94" s="637"/>
      <c r="CB94" s="637"/>
      <c r="CC94" s="637"/>
      <c r="CD94" s="637"/>
      <c r="CE94" s="637"/>
      <c r="CF94" s="637"/>
      <c r="CG94" s="637"/>
      <c r="CH94" s="637"/>
      <c r="CI94" s="637"/>
      <c r="CJ94" s="637"/>
      <c r="CK94" s="637"/>
      <c r="CL94" s="637"/>
      <c r="CM94" s="637"/>
      <c r="CN94" s="637"/>
      <c r="CO94" s="637"/>
      <c r="CP94" s="637"/>
      <c r="CQ94" s="637"/>
      <c r="CR94" s="637"/>
      <c r="CS94" s="637"/>
      <c r="CT94" s="637"/>
      <c r="CU94" s="637"/>
      <c r="CV94" s="637"/>
      <c r="CW94" s="637"/>
      <c r="CX94" s="637"/>
      <c r="CY94" s="637"/>
      <c r="CZ94" s="637"/>
      <c r="DA94" s="637"/>
      <c r="DB94" s="637"/>
      <c r="DC94" s="637"/>
      <c r="DD94" s="637"/>
      <c r="DE94" s="637"/>
      <c r="DF94" s="637"/>
      <c r="DG94" s="637"/>
      <c r="DH94" s="637"/>
      <c r="DI94" s="637"/>
      <c r="DJ94" s="637"/>
      <c r="DK94" s="637"/>
      <c r="DL94" s="637"/>
      <c r="DM94" s="637"/>
      <c r="DN94" s="637"/>
      <c r="DO94" s="637"/>
      <c r="DP94" s="637"/>
      <c r="DQ94" s="637"/>
      <c r="DR94" s="637"/>
      <c r="DS94" s="637"/>
      <c r="DT94" s="637"/>
      <c r="DU94" s="637"/>
      <c r="DV94" s="637"/>
      <c r="DW94" s="637"/>
      <c r="DX94" s="637"/>
      <c r="DY94" s="637"/>
      <c r="DZ94" s="637"/>
      <c r="EA94" s="637"/>
      <c r="EB94" s="637"/>
      <c r="EC94" s="637"/>
      <c r="ED94" s="637"/>
      <c r="EE94" s="637"/>
      <c r="EF94" s="637"/>
      <c r="EG94" s="637"/>
      <c r="EH94" s="637"/>
      <c r="EI94" s="637"/>
      <c r="EJ94" s="637"/>
      <c r="EK94" s="637"/>
      <c r="EL94" s="637"/>
      <c r="EM94" s="637"/>
      <c r="EN94" s="637"/>
      <c r="EO94" s="637"/>
      <c r="EP94" s="637"/>
      <c r="EQ94" s="637"/>
      <c r="ER94" s="637"/>
      <c r="ES94" s="637"/>
      <c r="ET94" s="637"/>
      <c r="EU94" s="637"/>
      <c r="EV94" s="637"/>
      <c r="EW94" s="637"/>
      <c r="EX94" s="637"/>
      <c r="EY94" s="637"/>
      <c r="EZ94" s="637"/>
      <c r="FA94" s="637"/>
      <c r="FB94" s="637"/>
      <c r="FC94" s="637"/>
      <c r="FD94" s="637"/>
      <c r="FE94" s="637"/>
      <c r="FF94" s="637"/>
      <c r="FG94" s="637"/>
      <c r="FH94" s="637"/>
      <c r="FI94" s="637"/>
      <c r="FJ94" s="637"/>
      <c r="FK94" s="637"/>
      <c r="FL94" s="637"/>
      <c r="FM94" s="637"/>
      <c r="FN94" s="637"/>
      <c r="FO94" s="637"/>
      <c r="FP94" s="637"/>
      <c r="FQ94" s="637"/>
      <c r="FR94" s="637"/>
      <c r="FS94" s="637"/>
      <c r="FT94" s="637"/>
      <c r="FU94" s="637"/>
      <c r="FV94" s="637"/>
      <c r="FW94" s="637"/>
      <c r="FX94" s="637"/>
      <c r="FY94" s="637"/>
      <c r="FZ94" s="637"/>
      <c r="GA94" s="637"/>
      <c r="GB94" s="637"/>
      <c r="GC94" s="637"/>
      <c r="GD94" s="637"/>
      <c r="GE94" s="637"/>
      <c r="GF94" s="637"/>
      <c r="GG94" s="637"/>
      <c r="GH94" s="637"/>
      <c r="GI94" s="637"/>
      <c r="GJ94" s="637"/>
      <c r="GK94" s="637"/>
      <c r="GL94" s="637"/>
      <c r="GM94" s="637"/>
      <c r="GN94" s="637"/>
      <c r="GO94" s="637"/>
      <c r="GP94" s="637"/>
      <c r="GQ94" s="637"/>
      <c r="GR94" s="637"/>
      <c r="GS94" s="637"/>
      <c r="GT94" s="637"/>
      <c r="GU94" s="637"/>
      <c r="GV94" s="637"/>
      <c r="GW94" s="637"/>
      <c r="GX94" s="637"/>
      <c r="GY94" s="637"/>
      <c r="GZ94" s="637"/>
      <c r="HA94" s="637"/>
      <c r="HB94" s="637"/>
      <c r="HC94" s="637"/>
      <c r="HD94" s="637"/>
      <c r="HE94" s="637"/>
      <c r="HF94" s="637"/>
      <c r="HG94" s="637"/>
      <c r="HH94" s="637"/>
      <c r="HI94" s="637"/>
      <c r="HJ94" s="637"/>
      <c r="HK94" s="637"/>
      <c r="HL94" s="637"/>
      <c r="HM94" s="637"/>
      <c r="HN94" s="637"/>
      <c r="HO94" s="637"/>
      <c r="HP94" s="637"/>
      <c r="HQ94" s="637"/>
      <c r="HR94" s="637"/>
      <c r="HS94" s="637"/>
      <c r="HT94" s="637"/>
      <c r="HU94" s="637"/>
      <c r="HV94" s="637"/>
      <c r="HW94" s="637"/>
      <c r="HX94" s="637"/>
      <c r="HY94" s="637"/>
      <c r="HZ94" s="637"/>
      <c r="IA94" s="637"/>
      <c r="IB94" s="637"/>
      <c r="IC94" s="637"/>
      <c r="ID94" s="637"/>
      <c r="IE94" s="637"/>
      <c r="IF94" s="637"/>
      <c r="IG94" s="637"/>
      <c r="IH94" s="637"/>
      <c r="II94" s="637"/>
      <c r="IJ94" s="637"/>
      <c r="IK94" s="637"/>
      <c r="IL94" s="637"/>
      <c r="IM94" s="637"/>
      <c r="IN94" s="637"/>
      <c r="IO94" s="637"/>
      <c r="IP94" s="637"/>
      <c r="IQ94" s="637"/>
      <c r="IR94" s="637"/>
      <c r="IS94" s="637"/>
      <c r="IT94" s="637"/>
      <c r="IU94" s="637"/>
      <c r="IV94" s="637"/>
      <c r="IW94" s="637"/>
      <c r="IX94" s="637"/>
      <c r="IY94" s="637"/>
      <c r="IZ94" s="637"/>
      <c r="JA94" s="637"/>
      <c r="JB94" s="637"/>
      <c r="JC94" s="637"/>
      <c r="JD94" s="637"/>
      <c r="JE94" s="637"/>
      <c r="JF94" s="637"/>
      <c r="JG94" s="637"/>
      <c r="JH94" s="637"/>
      <c r="JI94" s="637"/>
      <c r="JJ94" s="637"/>
      <c r="JK94" s="637"/>
      <c r="JL94" s="637"/>
      <c r="JM94" s="637"/>
      <c r="JN94" s="637"/>
      <c r="JO94" s="637"/>
      <c r="JP94" s="637"/>
      <c r="JQ94" s="637"/>
      <c r="JR94" s="637"/>
      <c r="JS94" s="637"/>
      <c r="JT94" s="637"/>
      <c r="JU94" s="637"/>
      <c r="JV94" s="637"/>
      <c r="JW94" s="637"/>
      <c r="JX94" s="637"/>
      <c r="JY94" s="637"/>
      <c r="JZ94" s="637"/>
      <c r="KA94" s="637"/>
      <c r="KB94" s="637"/>
      <c r="KC94" s="637"/>
      <c r="KD94" s="637"/>
      <c r="KE94" s="637"/>
      <c r="KF94" s="637"/>
      <c r="KG94" s="637"/>
      <c r="KH94" s="637"/>
      <c r="KI94" s="637"/>
      <c r="KJ94" s="637"/>
      <c r="KK94" s="637"/>
      <c r="KL94" s="637"/>
      <c r="KM94" s="637"/>
      <c r="KN94" s="637"/>
      <c r="KO94" s="637"/>
      <c r="KP94" s="637"/>
      <c r="KQ94" s="637"/>
      <c r="KR94" s="637"/>
      <c r="KS94" s="637"/>
      <c r="KT94" s="637"/>
      <c r="KU94" s="637"/>
      <c r="KV94" s="637"/>
      <c r="KW94" s="637"/>
      <c r="KX94" s="637"/>
      <c r="KY94" s="637"/>
      <c r="KZ94" s="637"/>
      <c r="LA94" s="637"/>
      <c r="LB94" s="637"/>
      <c r="LC94" s="637"/>
      <c r="LD94" s="637"/>
      <c r="LE94" s="637"/>
      <c r="LF94" s="637"/>
      <c r="LG94" s="637"/>
      <c r="LH94" s="637"/>
      <c r="LI94" s="637"/>
      <c r="LJ94" s="637"/>
      <c r="LK94" s="637"/>
      <c r="LL94" s="637"/>
      <c r="LM94" s="637"/>
      <c r="LN94" s="637"/>
      <c r="LO94" s="637"/>
      <c r="LP94" s="637"/>
      <c r="LQ94" s="637"/>
      <c r="LR94" s="637"/>
      <c r="LS94" s="637"/>
      <c r="LT94" s="637"/>
      <c r="LU94" s="637"/>
      <c r="LV94" s="637"/>
      <c r="LW94" s="637"/>
      <c r="LX94" s="637"/>
      <c r="LY94" s="637"/>
      <c r="LZ94" s="637"/>
      <c r="MA94" s="637"/>
      <c r="MB94" s="637"/>
      <c r="MC94" s="637"/>
      <c r="MD94" s="637"/>
      <c r="ME94" s="637"/>
      <c r="MF94" s="637"/>
      <c r="MG94" s="637"/>
      <c r="MH94" s="637"/>
      <c r="MI94" s="637"/>
      <c r="MJ94" s="637"/>
      <c r="MK94" s="637"/>
      <c r="ML94" s="637"/>
      <c r="MM94" s="637"/>
      <c r="MN94" s="637"/>
      <c r="MO94" s="637"/>
      <c r="MP94" s="637"/>
      <c r="MQ94" s="637"/>
      <c r="MR94" s="637"/>
      <c r="MS94" s="637"/>
      <c r="MT94" s="637"/>
      <c r="MU94" s="637"/>
      <c r="MV94" s="637"/>
      <c r="MW94" s="637"/>
      <c r="MX94" s="637"/>
      <c r="MY94" s="637"/>
      <c r="MZ94" s="637"/>
      <c r="NA94" s="637"/>
      <c r="NB94" s="637"/>
      <c r="NC94" s="637"/>
      <c r="ND94" s="637"/>
      <c r="NE94" s="637"/>
      <c r="NF94" s="637"/>
      <c r="NG94" s="637"/>
      <c r="NH94" s="637"/>
      <c r="NI94" s="637"/>
      <c r="NJ94" s="637"/>
      <c r="NK94" s="637"/>
      <c r="NL94" s="637"/>
      <c r="NM94" s="637"/>
      <c r="NN94" s="637"/>
      <c r="NO94" s="637"/>
      <c r="NP94" s="637"/>
      <c r="NQ94" s="637"/>
      <c r="NR94" s="637"/>
      <c r="NS94" s="637"/>
      <c r="NT94" s="637"/>
      <c r="NU94" s="637"/>
      <c r="NV94" s="637"/>
      <c r="NW94" s="637"/>
      <c r="NX94" s="637"/>
      <c r="NY94" s="637"/>
      <c r="NZ94" s="637"/>
      <c r="OA94" s="637"/>
      <c r="OB94" s="637"/>
      <c r="OC94" s="637"/>
      <c r="OD94" s="637"/>
      <c r="OE94" s="637"/>
      <c r="OF94" s="637"/>
      <c r="OG94" s="637"/>
      <c r="OH94" s="637"/>
      <c r="OI94" s="637"/>
      <c r="OJ94" s="637"/>
      <c r="OK94" s="637"/>
      <c r="OL94" s="637"/>
      <c r="OM94" s="637"/>
      <c r="ON94" s="637"/>
      <c r="OO94" s="637"/>
      <c r="OP94" s="637"/>
      <c r="OQ94" s="637"/>
      <c r="OR94" s="637"/>
      <c r="OS94" s="637"/>
      <c r="OT94" s="637"/>
      <c r="OU94" s="637"/>
      <c r="OV94" s="637"/>
      <c r="OW94" s="637"/>
      <c r="OX94" s="637"/>
      <c r="OY94" s="637"/>
      <c r="OZ94" s="637"/>
      <c r="PA94" s="637"/>
      <c r="PB94" s="637"/>
      <c r="PC94" s="637"/>
      <c r="PD94" s="637"/>
      <c r="PE94" s="637"/>
      <c r="PF94" s="637"/>
      <c r="PG94" s="637"/>
      <c r="PH94" s="637"/>
      <c r="PI94" s="637"/>
      <c r="PJ94" s="637"/>
      <c r="PK94" s="637"/>
      <c r="PL94" s="637"/>
      <c r="PM94" s="637"/>
      <c r="PN94" s="637"/>
      <c r="PO94" s="637"/>
      <c r="PP94" s="637"/>
      <c r="PQ94" s="637"/>
      <c r="PR94" s="637"/>
      <c r="PS94" s="637"/>
      <c r="PT94" s="637"/>
      <c r="PU94" s="637"/>
      <c r="PV94" s="637"/>
      <c r="PW94" s="637"/>
      <c r="PX94" s="637"/>
      <c r="PY94" s="637"/>
      <c r="PZ94" s="637"/>
      <c r="QA94" s="637"/>
      <c r="QB94" s="637"/>
      <c r="QC94" s="637"/>
      <c r="QD94" s="637"/>
      <c r="QE94" s="637"/>
      <c r="QF94" s="637"/>
      <c r="QG94" s="637"/>
      <c r="QH94" s="637"/>
      <c r="QI94" s="637"/>
      <c r="QJ94" s="637"/>
      <c r="QK94" s="637"/>
      <c r="QL94" s="637"/>
      <c r="QM94" s="637"/>
      <c r="QN94" s="637"/>
      <c r="QO94" s="637"/>
      <c r="QP94" s="637"/>
      <c r="QQ94" s="637"/>
      <c r="QR94" s="637"/>
      <c r="QS94" s="637"/>
      <c r="QT94" s="637"/>
      <c r="QU94" s="637"/>
      <c r="QV94" s="637"/>
      <c r="QW94" s="637"/>
      <c r="QX94" s="637"/>
      <c r="QY94" s="637"/>
      <c r="QZ94" s="637"/>
      <c r="RA94" s="637"/>
      <c r="RB94" s="637"/>
      <c r="RC94" s="637"/>
      <c r="RD94" s="637"/>
      <c r="RE94" s="637"/>
      <c r="RF94" s="637"/>
      <c r="RG94" s="637"/>
      <c r="RH94" s="637"/>
      <c r="RI94" s="637"/>
      <c r="RJ94" s="637"/>
      <c r="RK94" s="637"/>
      <c r="RL94" s="637"/>
      <c r="RM94" s="637"/>
      <c r="RN94" s="637"/>
      <c r="RO94" s="637"/>
      <c r="RP94" s="637"/>
      <c r="RQ94" s="637"/>
      <c r="RR94" s="637"/>
      <c r="RS94" s="637"/>
      <c r="RT94" s="637"/>
      <c r="RU94" s="637"/>
      <c r="RV94" s="637"/>
      <c r="RW94" s="637"/>
      <c r="RX94" s="637"/>
      <c r="RY94" s="637"/>
      <c r="RZ94" s="637"/>
      <c r="SA94" s="637"/>
      <c r="SB94" s="637"/>
      <c r="SC94" s="637"/>
      <c r="SD94" s="637"/>
      <c r="SE94" s="637"/>
      <c r="SF94" s="637"/>
      <c r="SG94" s="637"/>
      <c r="SH94" s="637"/>
      <c r="SI94" s="637"/>
      <c r="SJ94" s="637"/>
      <c r="SK94" s="637"/>
      <c r="SL94" s="637"/>
      <c r="SM94" s="637"/>
      <c r="SN94" s="637"/>
      <c r="SO94" s="637"/>
      <c r="SP94" s="637"/>
      <c r="SQ94" s="637"/>
      <c r="SR94" s="637"/>
      <c r="SS94" s="637"/>
      <c r="ST94" s="637"/>
      <c r="SU94" s="637"/>
      <c r="SV94" s="637"/>
      <c r="SW94" s="637"/>
      <c r="SX94" s="637"/>
      <c r="SY94" s="637"/>
      <c r="SZ94" s="637"/>
      <c r="TA94" s="637"/>
      <c r="TB94" s="637"/>
      <c r="TC94" s="637"/>
      <c r="TD94" s="637"/>
      <c r="TE94" s="637"/>
      <c r="TF94" s="637"/>
      <c r="TG94" s="637"/>
      <c r="TH94" s="637"/>
      <c r="TI94" s="637"/>
      <c r="TJ94" s="637"/>
      <c r="TK94" s="637"/>
      <c r="TL94" s="637"/>
      <c r="TM94" s="637"/>
      <c r="TN94" s="637"/>
      <c r="TO94" s="637"/>
      <c r="TP94" s="637"/>
      <c r="TQ94" s="637"/>
      <c r="TR94" s="637"/>
      <c r="TS94" s="637"/>
      <c r="TT94" s="637"/>
      <c r="TU94" s="637"/>
      <c r="TV94" s="637"/>
      <c r="TW94" s="637"/>
      <c r="TX94" s="637"/>
      <c r="TY94" s="637"/>
      <c r="TZ94" s="637"/>
      <c r="UA94" s="637"/>
      <c r="UB94" s="637"/>
      <c r="UC94" s="637"/>
      <c r="UD94" s="637"/>
      <c r="UE94" s="637"/>
      <c r="UF94" s="637"/>
      <c r="UG94" s="637"/>
      <c r="UH94" s="637"/>
      <c r="UI94" s="637"/>
      <c r="UJ94" s="637"/>
      <c r="UK94" s="637"/>
      <c r="UL94" s="637"/>
      <c r="UM94" s="637"/>
      <c r="UN94" s="637"/>
      <c r="UO94" s="637"/>
      <c r="UP94" s="637"/>
      <c r="UQ94" s="637"/>
      <c r="UR94" s="637"/>
      <c r="US94" s="637"/>
      <c r="UT94" s="637"/>
      <c r="UU94" s="637"/>
      <c r="UV94" s="637"/>
      <c r="UW94" s="637"/>
      <c r="UX94" s="637"/>
      <c r="UY94" s="637"/>
      <c r="UZ94" s="637"/>
      <c r="VA94" s="637"/>
      <c r="VB94" s="637"/>
      <c r="VC94" s="637"/>
      <c r="VD94" s="637"/>
      <c r="VE94" s="637"/>
      <c r="VF94" s="637"/>
      <c r="VG94" s="637"/>
      <c r="VH94" s="637"/>
      <c r="VI94" s="637"/>
      <c r="VJ94" s="637"/>
      <c r="VK94" s="637"/>
      <c r="VL94" s="637"/>
      <c r="VM94" s="637"/>
      <c r="VN94" s="637"/>
      <c r="VO94" s="637"/>
      <c r="VP94" s="637"/>
      <c r="VQ94" s="637"/>
      <c r="VR94" s="637"/>
      <c r="VS94" s="637"/>
      <c r="VT94" s="637"/>
      <c r="VU94" s="637"/>
      <c r="VV94" s="637"/>
      <c r="VW94" s="637"/>
      <c r="VX94" s="637"/>
      <c r="VY94" s="637"/>
      <c r="VZ94" s="637"/>
      <c r="WA94" s="637"/>
      <c r="WB94" s="637"/>
      <c r="WC94" s="637"/>
      <c r="WD94" s="637"/>
      <c r="WE94" s="637"/>
      <c r="WF94" s="637"/>
      <c r="WG94" s="637"/>
      <c r="WH94" s="637"/>
      <c r="WI94" s="637"/>
      <c r="WJ94" s="637"/>
      <c r="WK94" s="637"/>
      <c r="WL94" s="637"/>
      <c r="WM94" s="637"/>
      <c r="WN94" s="637"/>
      <c r="WO94" s="637"/>
      <c r="WP94" s="637"/>
      <c r="WQ94" s="637"/>
      <c r="WR94" s="637"/>
      <c r="WS94" s="637"/>
      <c r="WT94" s="637"/>
      <c r="WU94" s="637"/>
      <c r="WV94" s="637"/>
      <c r="WW94" s="637"/>
      <c r="WX94" s="637"/>
      <c r="WY94" s="637"/>
      <c r="WZ94" s="637"/>
      <c r="XA94" s="637"/>
      <c r="XB94" s="637"/>
      <c r="XC94" s="637"/>
      <c r="XD94" s="637"/>
      <c r="XE94" s="637"/>
      <c r="XF94" s="637"/>
      <c r="XG94" s="637"/>
      <c r="XH94" s="637"/>
      <c r="XI94" s="637"/>
      <c r="XJ94" s="637"/>
      <c r="XK94" s="637"/>
      <c r="XL94" s="637"/>
      <c r="XM94" s="637"/>
      <c r="XN94" s="637"/>
      <c r="XO94" s="637"/>
      <c r="XP94" s="637"/>
      <c r="XQ94" s="637"/>
      <c r="XR94" s="637"/>
      <c r="XS94" s="637"/>
      <c r="XT94" s="637"/>
      <c r="XU94" s="637"/>
      <c r="XV94" s="637"/>
      <c r="XW94" s="637"/>
      <c r="XX94" s="637"/>
      <c r="XY94" s="637"/>
      <c r="XZ94" s="637"/>
      <c r="YA94" s="637"/>
      <c r="YB94" s="637"/>
      <c r="YC94" s="637"/>
      <c r="YD94" s="637"/>
      <c r="YE94" s="637"/>
      <c r="YF94" s="637"/>
      <c r="YG94" s="637"/>
      <c r="YH94" s="637"/>
      <c r="YI94" s="637"/>
      <c r="YJ94" s="637"/>
      <c r="YK94" s="637"/>
      <c r="YL94" s="637"/>
      <c r="YM94" s="637"/>
      <c r="YN94" s="637"/>
      <c r="YO94" s="637"/>
      <c r="YP94" s="637"/>
      <c r="YQ94" s="637"/>
      <c r="YR94" s="637"/>
      <c r="YS94" s="637"/>
      <c r="YT94" s="637"/>
      <c r="YU94" s="637"/>
      <c r="YV94" s="637"/>
      <c r="YW94" s="637"/>
      <c r="YX94" s="637"/>
      <c r="YY94" s="637"/>
      <c r="YZ94" s="637"/>
      <c r="ZA94" s="637"/>
      <c r="ZB94" s="637"/>
      <c r="ZC94" s="637"/>
      <c r="ZD94" s="637"/>
      <c r="ZE94" s="637"/>
      <c r="ZF94" s="637"/>
      <c r="ZG94" s="637"/>
      <c r="ZH94" s="637"/>
      <c r="ZI94" s="637"/>
      <c r="ZJ94" s="637"/>
      <c r="ZK94" s="637"/>
      <c r="ZL94" s="637"/>
      <c r="ZM94" s="637"/>
      <c r="ZN94" s="637"/>
      <c r="ZO94" s="637"/>
      <c r="ZP94" s="637"/>
      <c r="ZQ94" s="637"/>
      <c r="ZR94" s="637"/>
      <c r="ZS94" s="637"/>
      <c r="ZT94" s="637"/>
      <c r="ZU94" s="637"/>
      <c r="ZV94" s="637"/>
      <c r="ZW94" s="637"/>
      <c r="ZX94" s="637"/>
      <c r="ZY94" s="637"/>
      <c r="ZZ94" s="637"/>
      <c r="AAA94" s="637"/>
      <c r="AAB94" s="637"/>
      <c r="AAC94" s="637"/>
      <c r="AAD94" s="637"/>
      <c r="AAE94" s="637"/>
      <c r="AAF94" s="637"/>
      <c r="AAG94" s="637"/>
      <c r="AAH94" s="637"/>
      <c r="AAI94" s="637"/>
      <c r="AAJ94" s="637"/>
      <c r="AAK94" s="637"/>
      <c r="AAL94" s="637"/>
      <c r="AAM94" s="637"/>
      <c r="AAN94" s="637"/>
      <c r="AAO94" s="637"/>
      <c r="AAP94" s="637"/>
      <c r="AAQ94" s="637"/>
      <c r="AAR94" s="637"/>
      <c r="AAS94" s="637"/>
      <c r="AAT94" s="637"/>
      <c r="AAU94" s="637"/>
      <c r="AAV94" s="637"/>
      <c r="AAW94" s="637"/>
      <c r="AAX94" s="637"/>
      <c r="AAY94" s="637"/>
      <c r="AAZ94" s="637"/>
      <c r="ABA94" s="637"/>
      <c r="ABB94" s="637"/>
      <c r="ABC94" s="637"/>
      <c r="ABD94" s="637"/>
      <c r="ABE94" s="637"/>
      <c r="ABF94" s="637"/>
      <c r="ABG94" s="637"/>
      <c r="ABH94" s="637"/>
      <c r="ABI94" s="637"/>
      <c r="ABJ94" s="637"/>
      <c r="ABK94" s="637"/>
      <c r="ABL94" s="637"/>
      <c r="ABM94" s="637"/>
      <c r="ABN94" s="637"/>
      <c r="ABO94" s="637"/>
      <c r="ABP94" s="637"/>
      <c r="ABQ94" s="637"/>
      <c r="ABR94" s="637"/>
      <c r="ABS94" s="637"/>
      <c r="ABT94" s="637"/>
      <c r="ABU94" s="637"/>
      <c r="ABV94" s="637"/>
      <c r="ABW94" s="637"/>
      <c r="ABX94" s="637"/>
      <c r="ABY94" s="637"/>
      <c r="ABZ94" s="637"/>
      <c r="ACA94" s="637"/>
      <c r="ACB94" s="637"/>
      <c r="ACC94" s="637"/>
      <c r="ACD94" s="637"/>
      <c r="ACE94" s="637"/>
      <c r="ACF94" s="637"/>
      <c r="ACG94" s="637"/>
      <c r="ACH94" s="637"/>
      <c r="ACI94" s="637"/>
      <c r="ACJ94" s="637"/>
      <c r="ACK94" s="637"/>
      <c r="ACL94" s="637"/>
      <c r="ACM94" s="637"/>
      <c r="ACN94" s="637"/>
      <c r="ACO94" s="637"/>
      <c r="ACP94" s="637"/>
      <c r="ACQ94" s="637"/>
      <c r="ACR94" s="637"/>
      <c r="ACS94" s="637"/>
      <c r="ACT94" s="637"/>
      <c r="ACU94" s="637"/>
      <c r="ACV94" s="637"/>
      <c r="ACW94" s="637"/>
      <c r="ACX94" s="637"/>
      <c r="ACY94" s="637"/>
      <c r="ACZ94" s="637"/>
      <c r="ADA94" s="637"/>
      <c r="ADB94" s="637"/>
      <c r="ADC94" s="637"/>
      <c r="ADD94" s="637"/>
      <c r="ADE94" s="637"/>
      <c r="ADF94" s="637"/>
      <c r="ADG94" s="637"/>
      <c r="ADH94" s="637"/>
      <c r="ADI94" s="637"/>
      <c r="ADJ94" s="637"/>
      <c r="ADK94" s="637"/>
      <c r="ADL94" s="637"/>
      <c r="ADM94" s="637"/>
      <c r="ADN94" s="637"/>
      <c r="ADO94" s="637"/>
      <c r="ADP94" s="637"/>
      <c r="ADQ94" s="637"/>
      <c r="ADR94" s="637"/>
      <c r="ADS94" s="637"/>
      <c r="ADT94" s="637"/>
      <c r="ADU94" s="637"/>
      <c r="ADV94" s="637"/>
      <c r="ADW94" s="637"/>
      <c r="ADX94" s="637"/>
      <c r="ADY94" s="637"/>
      <c r="ADZ94" s="637"/>
      <c r="AEA94" s="637"/>
      <c r="AEB94" s="637"/>
      <c r="AEC94" s="637"/>
      <c r="AED94" s="637"/>
      <c r="AEE94" s="637"/>
      <c r="AEF94" s="637"/>
      <c r="AEG94" s="637"/>
      <c r="AEH94" s="637"/>
      <c r="AEI94" s="637"/>
      <c r="AEJ94" s="637"/>
      <c r="AEK94" s="637"/>
      <c r="AEL94" s="637"/>
      <c r="AEM94" s="637"/>
      <c r="AEN94" s="637"/>
      <c r="AEO94" s="637"/>
      <c r="AEP94" s="637"/>
      <c r="AEQ94" s="637"/>
      <c r="AER94" s="637"/>
      <c r="AES94" s="637"/>
      <c r="AET94" s="637"/>
      <c r="AEU94" s="637"/>
      <c r="AEV94" s="637"/>
      <c r="AEW94" s="637"/>
      <c r="AEX94" s="637"/>
      <c r="AEY94" s="637"/>
      <c r="AEZ94" s="637"/>
      <c r="AFA94" s="637"/>
      <c r="AFB94" s="637"/>
      <c r="AFC94" s="637"/>
      <c r="AFD94" s="637"/>
      <c r="AFE94" s="637"/>
      <c r="AFF94" s="637"/>
      <c r="AFG94" s="637"/>
      <c r="AFH94" s="637"/>
      <c r="AFI94" s="637"/>
      <c r="AFJ94" s="637"/>
      <c r="AFK94" s="637"/>
      <c r="AFL94" s="637"/>
      <c r="AFM94" s="637"/>
      <c r="AFN94" s="637"/>
      <c r="AFO94" s="637"/>
      <c r="AFP94" s="637"/>
      <c r="AFQ94" s="637"/>
      <c r="AFR94" s="637"/>
      <c r="AFS94" s="637"/>
      <c r="AFT94" s="637"/>
      <c r="AFU94" s="637"/>
      <c r="AFV94" s="637"/>
      <c r="AFW94" s="637"/>
      <c r="AFX94" s="637"/>
      <c r="AFY94" s="637"/>
      <c r="AFZ94" s="637"/>
      <c r="AGA94" s="637"/>
      <c r="AGB94" s="637"/>
      <c r="AGC94" s="637"/>
      <c r="AGD94" s="637"/>
      <c r="AGE94" s="637"/>
      <c r="AGF94" s="637"/>
      <c r="AGG94" s="637"/>
      <c r="AGH94" s="637"/>
      <c r="AGI94" s="637"/>
      <c r="AGJ94" s="637"/>
      <c r="AGK94" s="637"/>
      <c r="AGL94" s="637"/>
      <c r="AGM94" s="637"/>
      <c r="AGN94" s="637"/>
      <c r="AGO94" s="637"/>
      <c r="AGP94" s="637"/>
      <c r="AGQ94" s="637"/>
      <c r="AGR94" s="637"/>
      <c r="AGS94" s="637"/>
      <c r="AGT94" s="637"/>
      <c r="AGU94" s="637"/>
      <c r="AGV94" s="637"/>
      <c r="AGW94" s="637"/>
      <c r="AGX94" s="637"/>
      <c r="AGY94" s="637"/>
      <c r="AGZ94" s="637"/>
      <c r="AHA94" s="637"/>
      <c r="AHB94" s="637"/>
      <c r="AHC94" s="637"/>
      <c r="AHD94" s="637"/>
      <c r="AHE94" s="637"/>
      <c r="AHF94" s="637"/>
      <c r="AHG94" s="637"/>
      <c r="AHH94" s="637"/>
      <c r="AHI94" s="637"/>
      <c r="AHJ94" s="637"/>
      <c r="AHK94" s="637"/>
      <c r="AHL94" s="637"/>
      <c r="AHM94" s="637"/>
      <c r="AHN94" s="637"/>
      <c r="AHO94" s="637"/>
      <c r="AHP94" s="637"/>
      <c r="AHQ94" s="637"/>
      <c r="AHR94" s="637"/>
      <c r="AHS94" s="637"/>
      <c r="AHT94" s="637"/>
      <c r="AHU94" s="637"/>
      <c r="AHV94" s="637"/>
      <c r="AHW94" s="637"/>
      <c r="AHX94" s="637"/>
      <c r="AHY94" s="637"/>
      <c r="AHZ94" s="637"/>
      <c r="AIA94" s="637"/>
      <c r="AIB94" s="637"/>
      <c r="AIC94" s="637"/>
      <c r="AID94" s="637"/>
      <c r="AIE94" s="637"/>
      <c r="AIF94" s="637"/>
      <c r="AIG94" s="637"/>
      <c r="AIH94" s="637"/>
      <c r="AII94" s="637"/>
      <c r="AIJ94" s="637"/>
      <c r="AIK94" s="637"/>
      <c r="AIL94" s="637"/>
      <c r="AIM94" s="637"/>
      <c r="AIN94" s="637"/>
      <c r="AIO94" s="637"/>
      <c r="AIP94" s="637"/>
      <c r="AIQ94" s="637"/>
      <c r="AIR94" s="637"/>
      <c r="AIS94" s="637"/>
      <c r="AIT94" s="637"/>
      <c r="AIU94" s="637"/>
      <c r="AIV94" s="637"/>
      <c r="AIW94" s="637"/>
      <c r="AIX94" s="637"/>
      <c r="AIY94" s="637"/>
      <c r="AIZ94" s="637"/>
      <c r="AJA94" s="637"/>
      <c r="AJB94" s="637"/>
      <c r="AJC94" s="637"/>
      <c r="AJD94" s="637"/>
      <c r="AJE94" s="637"/>
      <c r="AJF94" s="637"/>
      <c r="AJG94" s="637"/>
      <c r="AJH94" s="637"/>
      <c r="AJI94" s="637"/>
      <c r="AJJ94" s="637"/>
      <c r="AJK94" s="637"/>
      <c r="AJL94" s="637"/>
      <c r="AJM94" s="637"/>
      <c r="AJN94" s="637"/>
      <c r="AJO94" s="637"/>
      <c r="AJP94" s="637"/>
      <c r="AJQ94" s="637"/>
      <c r="AJR94" s="637"/>
      <c r="AJS94" s="637"/>
      <c r="AJT94" s="637"/>
      <c r="AJU94" s="637"/>
      <c r="AJV94" s="637"/>
      <c r="AJW94" s="637"/>
      <c r="AJX94" s="637"/>
      <c r="AJY94" s="637"/>
      <c r="AJZ94" s="637"/>
      <c r="AKA94" s="637"/>
      <c r="AKB94" s="637"/>
      <c r="AKC94" s="637"/>
      <c r="AKD94" s="637"/>
      <c r="AKE94" s="637"/>
      <c r="AKF94" s="637"/>
      <c r="AKG94" s="637"/>
      <c r="AKH94" s="637"/>
      <c r="AKI94" s="637"/>
      <c r="AKJ94" s="637"/>
      <c r="AKK94" s="637"/>
      <c r="AKL94" s="637"/>
      <c r="AKM94" s="637"/>
      <c r="AKN94" s="637"/>
      <c r="AKO94" s="637"/>
      <c r="AKP94" s="637"/>
      <c r="AKQ94" s="637"/>
      <c r="AKR94" s="637"/>
      <c r="AKS94" s="637"/>
      <c r="AKT94" s="637"/>
      <c r="AKU94" s="637"/>
      <c r="AKV94" s="637"/>
      <c r="AKW94" s="637"/>
      <c r="AKX94" s="637"/>
      <c r="AKY94" s="637"/>
      <c r="AKZ94" s="637"/>
      <c r="ALA94" s="637"/>
      <c r="ALB94" s="637"/>
      <c r="ALC94" s="637"/>
      <c r="ALD94" s="637"/>
      <c r="ALE94" s="637"/>
      <c r="ALF94" s="637"/>
      <c r="ALG94" s="637"/>
      <c r="ALH94" s="637"/>
      <c r="ALI94" s="637"/>
      <c r="ALJ94" s="637"/>
      <c r="ALK94" s="637"/>
      <c r="ALL94" s="637"/>
      <c r="ALM94" s="637"/>
      <c r="ALN94" s="637"/>
      <c r="ALO94" s="637"/>
      <c r="ALP94" s="637"/>
      <c r="ALQ94" s="637"/>
      <c r="ALR94" s="637"/>
      <c r="ALS94" s="637"/>
      <c r="ALT94" s="637"/>
      <c r="ALU94" s="637"/>
      <c r="ALV94" s="637"/>
      <c r="ALW94" s="637"/>
      <c r="ALX94" s="637"/>
      <c r="ALY94" s="637"/>
      <c r="ALZ94" s="637"/>
      <c r="AMA94" s="637"/>
      <c r="AMB94" s="637"/>
      <c r="AMC94" s="637"/>
      <c r="AMD94" s="637"/>
      <c r="AME94" s="637"/>
      <c r="AMF94" s="637"/>
      <c r="AMG94" s="637"/>
      <c r="AMH94" s="637"/>
      <c r="AMI94" s="637"/>
      <c r="AMJ94" s="637"/>
    </row>
    <row r="95" spans="1:1024" s="638" customFormat="1" ht="12.75">
      <c r="A95" s="984"/>
      <c r="B95" s="985"/>
      <c r="C95" s="986"/>
      <c r="D95" s="981" t="s">
        <v>861</v>
      </c>
      <c r="E95" s="982">
        <v>267</v>
      </c>
      <c r="F95" s="982">
        <f t="shared" si="10"/>
        <v>287</v>
      </c>
      <c r="G95" s="987">
        <v>184</v>
      </c>
      <c r="H95" s="987">
        <v>57</v>
      </c>
      <c r="I95" s="987">
        <v>46</v>
      </c>
      <c r="J95" s="987"/>
      <c r="K95" s="987"/>
      <c r="L95" s="987"/>
      <c r="M95" s="987"/>
      <c r="N95" s="987"/>
      <c r="O95" s="987"/>
      <c r="P95" s="987"/>
      <c r="Q95" s="987"/>
      <c r="R95" s="984"/>
      <c r="S95" s="637"/>
      <c r="T95" s="637"/>
      <c r="U95" s="637"/>
      <c r="V95" s="637"/>
      <c r="W95" s="637"/>
      <c r="X95" s="637"/>
      <c r="Y95" s="637"/>
      <c r="Z95" s="637"/>
      <c r="AA95" s="637"/>
      <c r="AB95" s="637"/>
      <c r="AC95" s="637"/>
      <c r="AD95" s="637"/>
      <c r="AE95" s="637"/>
      <c r="AF95" s="637"/>
      <c r="AG95" s="637"/>
      <c r="AH95" s="637"/>
      <c r="AI95" s="637"/>
      <c r="AJ95" s="637"/>
      <c r="AK95" s="637"/>
      <c r="AL95" s="637"/>
      <c r="AM95" s="637"/>
      <c r="AN95" s="637"/>
      <c r="AO95" s="637"/>
      <c r="AP95" s="637"/>
      <c r="AQ95" s="637"/>
      <c r="AR95" s="637"/>
      <c r="AS95" s="637"/>
      <c r="AT95" s="637"/>
      <c r="AU95" s="637"/>
      <c r="AV95" s="637"/>
      <c r="AW95" s="637"/>
      <c r="AX95" s="637"/>
      <c r="AY95" s="637"/>
      <c r="AZ95" s="637"/>
      <c r="BA95" s="637"/>
      <c r="BB95" s="637"/>
      <c r="BC95" s="637"/>
      <c r="BD95" s="637"/>
      <c r="BE95" s="637"/>
      <c r="BF95" s="637"/>
      <c r="BG95" s="637"/>
      <c r="BH95" s="637"/>
      <c r="BI95" s="637"/>
      <c r="BJ95" s="637"/>
      <c r="BK95" s="637"/>
      <c r="BL95" s="637"/>
      <c r="BM95" s="637"/>
      <c r="BN95" s="637"/>
      <c r="BO95" s="637"/>
      <c r="BP95" s="637"/>
      <c r="BQ95" s="637"/>
      <c r="BR95" s="637"/>
      <c r="BS95" s="637"/>
      <c r="BT95" s="637"/>
      <c r="BU95" s="637"/>
      <c r="BV95" s="637"/>
      <c r="BW95" s="637"/>
      <c r="BX95" s="637"/>
      <c r="BY95" s="637"/>
      <c r="BZ95" s="637"/>
      <c r="CA95" s="637"/>
      <c r="CB95" s="637"/>
      <c r="CC95" s="637"/>
      <c r="CD95" s="637"/>
      <c r="CE95" s="637"/>
      <c r="CF95" s="637"/>
      <c r="CG95" s="637"/>
      <c r="CH95" s="637"/>
      <c r="CI95" s="637"/>
      <c r="CJ95" s="637"/>
      <c r="CK95" s="637"/>
      <c r="CL95" s="637"/>
      <c r="CM95" s="637"/>
      <c r="CN95" s="637"/>
      <c r="CO95" s="637"/>
      <c r="CP95" s="637"/>
      <c r="CQ95" s="637"/>
      <c r="CR95" s="637"/>
      <c r="CS95" s="637"/>
      <c r="CT95" s="637"/>
      <c r="CU95" s="637"/>
      <c r="CV95" s="637"/>
      <c r="CW95" s="637"/>
      <c r="CX95" s="637"/>
      <c r="CY95" s="637"/>
      <c r="CZ95" s="637"/>
      <c r="DA95" s="637"/>
      <c r="DB95" s="637"/>
      <c r="DC95" s="637"/>
      <c r="DD95" s="637"/>
      <c r="DE95" s="637"/>
      <c r="DF95" s="637"/>
      <c r="DG95" s="637"/>
      <c r="DH95" s="637"/>
      <c r="DI95" s="637"/>
      <c r="DJ95" s="637"/>
      <c r="DK95" s="637"/>
      <c r="DL95" s="637"/>
      <c r="DM95" s="637"/>
      <c r="DN95" s="637"/>
      <c r="DO95" s="637"/>
      <c r="DP95" s="637"/>
      <c r="DQ95" s="637"/>
      <c r="DR95" s="637"/>
      <c r="DS95" s="637"/>
      <c r="DT95" s="637"/>
      <c r="DU95" s="637"/>
      <c r="DV95" s="637"/>
      <c r="DW95" s="637"/>
      <c r="DX95" s="637"/>
      <c r="DY95" s="637"/>
      <c r="DZ95" s="637"/>
      <c r="EA95" s="637"/>
      <c r="EB95" s="637"/>
      <c r="EC95" s="637"/>
      <c r="ED95" s="637"/>
      <c r="EE95" s="637"/>
      <c r="EF95" s="637"/>
      <c r="EG95" s="637"/>
      <c r="EH95" s="637"/>
      <c r="EI95" s="637"/>
      <c r="EJ95" s="637"/>
      <c r="EK95" s="637"/>
      <c r="EL95" s="637"/>
      <c r="EM95" s="637"/>
      <c r="EN95" s="637"/>
      <c r="EO95" s="637"/>
      <c r="EP95" s="637"/>
      <c r="EQ95" s="637"/>
      <c r="ER95" s="637"/>
      <c r="ES95" s="637"/>
      <c r="ET95" s="637"/>
      <c r="EU95" s="637"/>
      <c r="EV95" s="637"/>
      <c r="EW95" s="637"/>
      <c r="EX95" s="637"/>
      <c r="EY95" s="637"/>
      <c r="EZ95" s="637"/>
      <c r="FA95" s="637"/>
      <c r="FB95" s="637"/>
      <c r="FC95" s="637"/>
      <c r="FD95" s="637"/>
      <c r="FE95" s="637"/>
      <c r="FF95" s="637"/>
      <c r="FG95" s="637"/>
      <c r="FH95" s="637"/>
      <c r="FI95" s="637"/>
      <c r="FJ95" s="637"/>
      <c r="FK95" s="637"/>
      <c r="FL95" s="637"/>
      <c r="FM95" s="637"/>
      <c r="FN95" s="637"/>
      <c r="FO95" s="637"/>
      <c r="FP95" s="637"/>
      <c r="FQ95" s="637"/>
      <c r="FR95" s="637"/>
      <c r="FS95" s="637"/>
      <c r="FT95" s="637"/>
      <c r="FU95" s="637"/>
      <c r="FV95" s="637"/>
      <c r="FW95" s="637"/>
      <c r="FX95" s="637"/>
      <c r="FY95" s="637"/>
      <c r="FZ95" s="637"/>
      <c r="GA95" s="637"/>
      <c r="GB95" s="637"/>
      <c r="GC95" s="637"/>
      <c r="GD95" s="637"/>
      <c r="GE95" s="637"/>
      <c r="GF95" s="637"/>
      <c r="GG95" s="637"/>
      <c r="GH95" s="637"/>
      <c r="GI95" s="637"/>
      <c r="GJ95" s="637"/>
      <c r="GK95" s="637"/>
      <c r="GL95" s="637"/>
      <c r="GM95" s="637"/>
      <c r="GN95" s="637"/>
      <c r="GO95" s="637"/>
      <c r="GP95" s="637"/>
      <c r="GQ95" s="637"/>
      <c r="GR95" s="637"/>
      <c r="GS95" s="637"/>
      <c r="GT95" s="637"/>
      <c r="GU95" s="637"/>
      <c r="GV95" s="637"/>
      <c r="GW95" s="637"/>
      <c r="GX95" s="637"/>
      <c r="GY95" s="637"/>
      <c r="GZ95" s="637"/>
      <c r="HA95" s="637"/>
      <c r="HB95" s="637"/>
      <c r="HC95" s="637"/>
      <c r="HD95" s="637"/>
      <c r="HE95" s="637"/>
      <c r="HF95" s="637"/>
      <c r="HG95" s="637"/>
      <c r="HH95" s="637"/>
      <c r="HI95" s="637"/>
      <c r="HJ95" s="637"/>
      <c r="HK95" s="637"/>
      <c r="HL95" s="637"/>
      <c r="HM95" s="637"/>
      <c r="HN95" s="637"/>
      <c r="HO95" s="637"/>
      <c r="HP95" s="637"/>
      <c r="HQ95" s="637"/>
      <c r="HR95" s="637"/>
      <c r="HS95" s="637"/>
      <c r="HT95" s="637"/>
      <c r="HU95" s="637"/>
      <c r="HV95" s="637"/>
      <c r="HW95" s="637"/>
      <c r="HX95" s="637"/>
      <c r="HY95" s="637"/>
      <c r="HZ95" s="637"/>
      <c r="IA95" s="637"/>
      <c r="IB95" s="637"/>
      <c r="IC95" s="637"/>
      <c r="ID95" s="637"/>
      <c r="IE95" s="637"/>
      <c r="IF95" s="637"/>
      <c r="IG95" s="637"/>
      <c r="IH95" s="637"/>
      <c r="II95" s="637"/>
      <c r="IJ95" s="637"/>
      <c r="IK95" s="637"/>
      <c r="IL95" s="637"/>
      <c r="IM95" s="637"/>
      <c r="IN95" s="637"/>
      <c r="IO95" s="637"/>
      <c r="IP95" s="637"/>
      <c r="IQ95" s="637"/>
      <c r="IR95" s="637"/>
      <c r="IS95" s="637"/>
      <c r="IT95" s="637"/>
      <c r="IU95" s="637"/>
      <c r="IV95" s="637"/>
      <c r="IW95" s="637"/>
      <c r="IX95" s="637"/>
      <c r="IY95" s="637"/>
      <c r="IZ95" s="637"/>
      <c r="JA95" s="637"/>
      <c r="JB95" s="637"/>
      <c r="JC95" s="637"/>
      <c r="JD95" s="637"/>
      <c r="JE95" s="637"/>
      <c r="JF95" s="637"/>
      <c r="JG95" s="637"/>
      <c r="JH95" s="637"/>
      <c r="JI95" s="637"/>
      <c r="JJ95" s="637"/>
      <c r="JK95" s="637"/>
      <c r="JL95" s="637"/>
      <c r="JM95" s="637"/>
      <c r="JN95" s="637"/>
      <c r="JO95" s="637"/>
      <c r="JP95" s="637"/>
      <c r="JQ95" s="637"/>
      <c r="JR95" s="637"/>
      <c r="JS95" s="637"/>
      <c r="JT95" s="637"/>
      <c r="JU95" s="637"/>
      <c r="JV95" s="637"/>
      <c r="JW95" s="637"/>
      <c r="JX95" s="637"/>
      <c r="JY95" s="637"/>
      <c r="JZ95" s="637"/>
      <c r="KA95" s="637"/>
      <c r="KB95" s="637"/>
      <c r="KC95" s="637"/>
      <c r="KD95" s="637"/>
      <c r="KE95" s="637"/>
      <c r="KF95" s="637"/>
      <c r="KG95" s="637"/>
      <c r="KH95" s="637"/>
      <c r="KI95" s="637"/>
      <c r="KJ95" s="637"/>
      <c r="KK95" s="637"/>
      <c r="KL95" s="637"/>
      <c r="KM95" s="637"/>
      <c r="KN95" s="637"/>
      <c r="KO95" s="637"/>
      <c r="KP95" s="637"/>
      <c r="KQ95" s="637"/>
      <c r="KR95" s="637"/>
      <c r="KS95" s="637"/>
      <c r="KT95" s="637"/>
      <c r="KU95" s="637"/>
      <c r="KV95" s="637"/>
      <c r="KW95" s="637"/>
      <c r="KX95" s="637"/>
      <c r="KY95" s="637"/>
      <c r="KZ95" s="637"/>
      <c r="LA95" s="637"/>
      <c r="LB95" s="637"/>
      <c r="LC95" s="637"/>
      <c r="LD95" s="637"/>
      <c r="LE95" s="637"/>
      <c r="LF95" s="637"/>
      <c r="LG95" s="637"/>
      <c r="LH95" s="637"/>
      <c r="LI95" s="637"/>
      <c r="LJ95" s="637"/>
      <c r="LK95" s="637"/>
      <c r="LL95" s="637"/>
      <c r="LM95" s="637"/>
      <c r="LN95" s="637"/>
      <c r="LO95" s="637"/>
      <c r="LP95" s="637"/>
      <c r="LQ95" s="637"/>
      <c r="LR95" s="637"/>
      <c r="LS95" s="637"/>
      <c r="LT95" s="637"/>
      <c r="LU95" s="637"/>
      <c r="LV95" s="637"/>
      <c r="LW95" s="637"/>
      <c r="LX95" s="637"/>
      <c r="LY95" s="637"/>
      <c r="LZ95" s="637"/>
      <c r="MA95" s="637"/>
      <c r="MB95" s="637"/>
      <c r="MC95" s="637"/>
      <c r="MD95" s="637"/>
      <c r="ME95" s="637"/>
      <c r="MF95" s="637"/>
      <c r="MG95" s="637"/>
      <c r="MH95" s="637"/>
      <c r="MI95" s="637"/>
      <c r="MJ95" s="637"/>
      <c r="MK95" s="637"/>
      <c r="ML95" s="637"/>
      <c r="MM95" s="637"/>
      <c r="MN95" s="637"/>
      <c r="MO95" s="637"/>
      <c r="MP95" s="637"/>
      <c r="MQ95" s="637"/>
      <c r="MR95" s="637"/>
      <c r="MS95" s="637"/>
      <c r="MT95" s="637"/>
      <c r="MU95" s="637"/>
      <c r="MV95" s="637"/>
      <c r="MW95" s="637"/>
      <c r="MX95" s="637"/>
      <c r="MY95" s="637"/>
      <c r="MZ95" s="637"/>
      <c r="NA95" s="637"/>
      <c r="NB95" s="637"/>
      <c r="NC95" s="637"/>
      <c r="ND95" s="637"/>
      <c r="NE95" s="637"/>
      <c r="NF95" s="637"/>
      <c r="NG95" s="637"/>
      <c r="NH95" s="637"/>
      <c r="NI95" s="637"/>
      <c r="NJ95" s="637"/>
      <c r="NK95" s="637"/>
      <c r="NL95" s="637"/>
      <c r="NM95" s="637"/>
      <c r="NN95" s="637"/>
      <c r="NO95" s="637"/>
      <c r="NP95" s="637"/>
      <c r="NQ95" s="637"/>
      <c r="NR95" s="637"/>
      <c r="NS95" s="637"/>
      <c r="NT95" s="637"/>
      <c r="NU95" s="637"/>
      <c r="NV95" s="637"/>
      <c r="NW95" s="637"/>
      <c r="NX95" s="637"/>
      <c r="NY95" s="637"/>
      <c r="NZ95" s="637"/>
      <c r="OA95" s="637"/>
      <c r="OB95" s="637"/>
      <c r="OC95" s="637"/>
      <c r="OD95" s="637"/>
      <c r="OE95" s="637"/>
      <c r="OF95" s="637"/>
      <c r="OG95" s="637"/>
      <c r="OH95" s="637"/>
      <c r="OI95" s="637"/>
      <c r="OJ95" s="637"/>
      <c r="OK95" s="637"/>
      <c r="OL95" s="637"/>
      <c r="OM95" s="637"/>
      <c r="ON95" s="637"/>
      <c r="OO95" s="637"/>
      <c r="OP95" s="637"/>
      <c r="OQ95" s="637"/>
      <c r="OR95" s="637"/>
      <c r="OS95" s="637"/>
      <c r="OT95" s="637"/>
      <c r="OU95" s="637"/>
      <c r="OV95" s="637"/>
      <c r="OW95" s="637"/>
      <c r="OX95" s="637"/>
      <c r="OY95" s="637"/>
      <c r="OZ95" s="637"/>
      <c r="PA95" s="637"/>
      <c r="PB95" s="637"/>
      <c r="PC95" s="637"/>
      <c r="PD95" s="637"/>
      <c r="PE95" s="637"/>
      <c r="PF95" s="637"/>
      <c r="PG95" s="637"/>
      <c r="PH95" s="637"/>
      <c r="PI95" s="637"/>
      <c r="PJ95" s="637"/>
      <c r="PK95" s="637"/>
      <c r="PL95" s="637"/>
      <c r="PM95" s="637"/>
      <c r="PN95" s="637"/>
      <c r="PO95" s="637"/>
      <c r="PP95" s="637"/>
      <c r="PQ95" s="637"/>
      <c r="PR95" s="637"/>
      <c r="PS95" s="637"/>
      <c r="PT95" s="637"/>
      <c r="PU95" s="637"/>
      <c r="PV95" s="637"/>
      <c r="PW95" s="637"/>
      <c r="PX95" s="637"/>
      <c r="PY95" s="637"/>
      <c r="PZ95" s="637"/>
      <c r="QA95" s="637"/>
      <c r="QB95" s="637"/>
      <c r="QC95" s="637"/>
      <c r="QD95" s="637"/>
      <c r="QE95" s="637"/>
      <c r="QF95" s="637"/>
      <c r="QG95" s="637"/>
      <c r="QH95" s="637"/>
      <c r="QI95" s="637"/>
      <c r="QJ95" s="637"/>
      <c r="QK95" s="637"/>
      <c r="QL95" s="637"/>
      <c r="QM95" s="637"/>
      <c r="QN95" s="637"/>
      <c r="QO95" s="637"/>
      <c r="QP95" s="637"/>
      <c r="QQ95" s="637"/>
      <c r="QR95" s="637"/>
      <c r="QS95" s="637"/>
      <c r="QT95" s="637"/>
      <c r="QU95" s="637"/>
      <c r="QV95" s="637"/>
      <c r="QW95" s="637"/>
      <c r="QX95" s="637"/>
      <c r="QY95" s="637"/>
      <c r="QZ95" s="637"/>
      <c r="RA95" s="637"/>
      <c r="RB95" s="637"/>
      <c r="RC95" s="637"/>
      <c r="RD95" s="637"/>
      <c r="RE95" s="637"/>
      <c r="RF95" s="637"/>
      <c r="RG95" s="637"/>
      <c r="RH95" s="637"/>
      <c r="RI95" s="637"/>
      <c r="RJ95" s="637"/>
      <c r="RK95" s="637"/>
      <c r="RL95" s="637"/>
      <c r="RM95" s="637"/>
      <c r="RN95" s="637"/>
      <c r="RO95" s="637"/>
      <c r="RP95" s="637"/>
      <c r="RQ95" s="637"/>
      <c r="RR95" s="637"/>
      <c r="RS95" s="637"/>
      <c r="RT95" s="637"/>
      <c r="RU95" s="637"/>
      <c r="RV95" s="637"/>
      <c r="RW95" s="637"/>
      <c r="RX95" s="637"/>
      <c r="RY95" s="637"/>
      <c r="RZ95" s="637"/>
      <c r="SA95" s="637"/>
      <c r="SB95" s="637"/>
      <c r="SC95" s="637"/>
      <c r="SD95" s="637"/>
      <c r="SE95" s="637"/>
      <c r="SF95" s="637"/>
      <c r="SG95" s="637"/>
      <c r="SH95" s="637"/>
      <c r="SI95" s="637"/>
      <c r="SJ95" s="637"/>
      <c r="SK95" s="637"/>
      <c r="SL95" s="637"/>
      <c r="SM95" s="637"/>
      <c r="SN95" s="637"/>
      <c r="SO95" s="637"/>
      <c r="SP95" s="637"/>
      <c r="SQ95" s="637"/>
      <c r="SR95" s="637"/>
      <c r="SS95" s="637"/>
      <c r="ST95" s="637"/>
      <c r="SU95" s="637"/>
      <c r="SV95" s="637"/>
      <c r="SW95" s="637"/>
      <c r="SX95" s="637"/>
      <c r="SY95" s="637"/>
      <c r="SZ95" s="637"/>
      <c r="TA95" s="637"/>
      <c r="TB95" s="637"/>
      <c r="TC95" s="637"/>
      <c r="TD95" s="637"/>
      <c r="TE95" s="637"/>
      <c r="TF95" s="637"/>
      <c r="TG95" s="637"/>
      <c r="TH95" s="637"/>
      <c r="TI95" s="637"/>
      <c r="TJ95" s="637"/>
      <c r="TK95" s="637"/>
      <c r="TL95" s="637"/>
      <c r="TM95" s="637"/>
      <c r="TN95" s="637"/>
      <c r="TO95" s="637"/>
      <c r="TP95" s="637"/>
      <c r="TQ95" s="637"/>
      <c r="TR95" s="637"/>
      <c r="TS95" s="637"/>
      <c r="TT95" s="637"/>
      <c r="TU95" s="637"/>
      <c r="TV95" s="637"/>
      <c r="TW95" s="637"/>
      <c r="TX95" s="637"/>
      <c r="TY95" s="637"/>
      <c r="TZ95" s="637"/>
      <c r="UA95" s="637"/>
      <c r="UB95" s="637"/>
      <c r="UC95" s="637"/>
      <c r="UD95" s="637"/>
      <c r="UE95" s="637"/>
      <c r="UF95" s="637"/>
      <c r="UG95" s="637"/>
      <c r="UH95" s="637"/>
      <c r="UI95" s="637"/>
      <c r="UJ95" s="637"/>
      <c r="UK95" s="637"/>
      <c r="UL95" s="637"/>
      <c r="UM95" s="637"/>
      <c r="UN95" s="637"/>
      <c r="UO95" s="637"/>
      <c r="UP95" s="637"/>
      <c r="UQ95" s="637"/>
      <c r="UR95" s="637"/>
      <c r="US95" s="637"/>
      <c r="UT95" s="637"/>
      <c r="UU95" s="637"/>
      <c r="UV95" s="637"/>
      <c r="UW95" s="637"/>
      <c r="UX95" s="637"/>
      <c r="UY95" s="637"/>
      <c r="UZ95" s="637"/>
      <c r="VA95" s="637"/>
      <c r="VB95" s="637"/>
      <c r="VC95" s="637"/>
      <c r="VD95" s="637"/>
      <c r="VE95" s="637"/>
      <c r="VF95" s="637"/>
      <c r="VG95" s="637"/>
      <c r="VH95" s="637"/>
      <c r="VI95" s="637"/>
      <c r="VJ95" s="637"/>
      <c r="VK95" s="637"/>
      <c r="VL95" s="637"/>
      <c r="VM95" s="637"/>
      <c r="VN95" s="637"/>
      <c r="VO95" s="637"/>
      <c r="VP95" s="637"/>
      <c r="VQ95" s="637"/>
      <c r="VR95" s="637"/>
      <c r="VS95" s="637"/>
      <c r="VT95" s="637"/>
      <c r="VU95" s="637"/>
      <c r="VV95" s="637"/>
      <c r="VW95" s="637"/>
      <c r="VX95" s="637"/>
      <c r="VY95" s="637"/>
      <c r="VZ95" s="637"/>
      <c r="WA95" s="637"/>
      <c r="WB95" s="637"/>
      <c r="WC95" s="637"/>
      <c r="WD95" s="637"/>
      <c r="WE95" s="637"/>
      <c r="WF95" s="637"/>
      <c r="WG95" s="637"/>
      <c r="WH95" s="637"/>
      <c r="WI95" s="637"/>
      <c r="WJ95" s="637"/>
      <c r="WK95" s="637"/>
      <c r="WL95" s="637"/>
      <c r="WM95" s="637"/>
      <c r="WN95" s="637"/>
      <c r="WO95" s="637"/>
      <c r="WP95" s="637"/>
      <c r="WQ95" s="637"/>
      <c r="WR95" s="637"/>
      <c r="WS95" s="637"/>
      <c r="WT95" s="637"/>
      <c r="WU95" s="637"/>
      <c r="WV95" s="637"/>
      <c r="WW95" s="637"/>
      <c r="WX95" s="637"/>
      <c r="WY95" s="637"/>
      <c r="WZ95" s="637"/>
      <c r="XA95" s="637"/>
      <c r="XB95" s="637"/>
      <c r="XC95" s="637"/>
      <c r="XD95" s="637"/>
      <c r="XE95" s="637"/>
      <c r="XF95" s="637"/>
      <c r="XG95" s="637"/>
      <c r="XH95" s="637"/>
      <c r="XI95" s="637"/>
      <c r="XJ95" s="637"/>
      <c r="XK95" s="637"/>
      <c r="XL95" s="637"/>
      <c r="XM95" s="637"/>
      <c r="XN95" s="637"/>
      <c r="XO95" s="637"/>
      <c r="XP95" s="637"/>
      <c r="XQ95" s="637"/>
      <c r="XR95" s="637"/>
      <c r="XS95" s="637"/>
      <c r="XT95" s="637"/>
      <c r="XU95" s="637"/>
      <c r="XV95" s="637"/>
      <c r="XW95" s="637"/>
      <c r="XX95" s="637"/>
      <c r="XY95" s="637"/>
      <c r="XZ95" s="637"/>
      <c r="YA95" s="637"/>
      <c r="YB95" s="637"/>
      <c r="YC95" s="637"/>
      <c r="YD95" s="637"/>
      <c r="YE95" s="637"/>
      <c r="YF95" s="637"/>
      <c r="YG95" s="637"/>
      <c r="YH95" s="637"/>
      <c r="YI95" s="637"/>
      <c r="YJ95" s="637"/>
      <c r="YK95" s="637"/>
      <c r="YL95" s="637"/>
      <c r="YM95" s="637"/>
      <c r="YN95" s="637"/>
      <c r="YO95" s="637"/>
      <c r="YP95" s="637"/>
      <c r="YQ95" s="637"/>
      <c r="YR95" s="637"/>
      <c r="YS95" s="637"/>
      <c r="YT95" s="637"/>
      <c r="YU95" s="637"/>
      <c r="YV95" s="637"/>
      <c r="YW95" s="637"/>
      <c r="YX95" s="637"/>
      <c r="YY95" s="637"/>
      <c r="YZ95" s="637"/>
      <c r="ZA95" s="637"/>
      <c r="ZB95" s="637"/>
      <c r="ZC95" s="637"/>
      <c r="ZD95" s="637"/>
      <c r="ZE95" s="637"/>
      <c r="ZF95" s="637"/>
      <c r="ZG95" s="637"/>
      <c r="ZH95" s="637"/>
      <c r="ZI95" s="637"/>
      <c r="ZJ95" s="637"/>
      <c r="ZK95" s="637"/>
      <c r="ZL95" s="637"/>
      <c r="ZM95" s="637"/>
      <c r="ZN95" s="637"/>
      <c r="ZO95" s="637"/>
      <c r="ZP95" s="637"/>
      <c r="ZQ95" s="637"/>
      <c r="ZR95" s="637"/>
      <c r="ZS95" s="637"/>
      <c r="ZT95" s="637"/>
      <c r="ZU95" s="637"/>
      <c r="ZV95" s="637"/>
      <c r="ZW95" s="637"/>
      <c r="ZX95" s="637"/>
      <c r="ZY95" s="637"/>
      <c r="ZZ95" s="637"/>
      <c r="AAA95" s="637"/>
      <c r="AAB95" s="637"/>
      <c r="AAC95" s="637"/>
      <c r="AAD95" s="637"/>
      <c r="AAE95" s="637"/>
      <c r="AAF95" s="637"/>
      <c r="AAG95" s="637"/>
      <c r="AAH95" s="637"/>
      <c r="AAI95" s="637"/>
      <c r="AAJ95" s="637"/>
      <c r="AAK95" s="637"/>
      <c r="AAL95" s="637"/>
      <c r="AAM95" s="637"/>
      <c r="AAN95" s="637"/>
      <c r="AAO95" s="637"/>
      <c r="AAP95" s="637"/>
      <c r="AAQ95" s="637"/>
      <c r="AAR95" s="637"/>
      <c r="AAS95" s="637"/>
      <c r="AAT95" s="637"/>
      <c r="AAU95" s="637"/>
      <c r="AAV95" s="637"/>
      <c r="AAW95" s="637"/>
      <c r="AAX95" s="637"/>
      <c r="AAY95" s="637"/>
      <c r="AAZ95" s="637"/>
      <c r="ABA95" s="637"/>
      <c r="ABB95" s="637"/>
      <c r="ABC95" s="637"/>
      <c r="ABD95" s="637"/>
      <c r="ABE95" s="637"/>
      <c r="ABF95" s="637"/>
      <c r="ABG95" s="637"/>
      <c r="ABH95" s="637"/>
      <c r="ABI95" s="637"/>
      <c r="ABJ95" s="637"/>
      <c r="ABK95" s="637"/>
      <c r="ABL95" s="637"/>
      <c r="ABM95" s="637"/>
      <c r="ABN95" s="637"/>
      <c r="ABO95" s="637"/>
      <c r="ABP95" s="637"/>
      <c r="ABQ95" s="637"/>
      <c r="ABR95" s="637"/>
      <c r="ABS95" s="637"/>
      <c r="ABT95" s="637"/>
      <c r="ABU95" s="637"/>
      <c r="ABV95" s="637"/>
      <c r="ABW95" s="637"/>
      <c r="ABX95" s="637"/>
      <c r="ABY95" s="637"/>
      <c r="ABZ95" s="637"/>
      <c r="ACA95" s="637"/>
      <c r="ACB95" s="637"/>
      <c r="ACC95" s="637"/>
      <c r="ACD95" s="637"/>
      <c r="ACE95" s="637"/>
      <c r="ACF95" s="637"/>
      <c r="ACG95" s="637"/>
      <c r="ACH95" s="637"/>
      <c r="ACI95" s="637"/>
      <c r="ACJ95" s="637"/>
      <c r="ACK95" s="637"/>
      <c r="ACL95" s="637"/>
      <c r="ACM95" s="637"/>
      <c r="ACN95" s="637"/>
      <c r="ACO95" s="637"/>
      <c r="ACP95" s="637"/>
      <c r="ACQ95" s="637"/>
      <c r="ACR95" s="637"/>
      <c r="ACS95" s="637"/>
      <c r="ACT95" s="637"/>
      <c r="ACU95" s="637"/>
      <c r="ACV95" s="637"/>
      <c r="ACW95" s="637"/>
      <c r="ACX95" s="637"/>
      <c r="ACY95" s="637"/>
      <c r="ACZ95" s="637"/>
      <c r="ADA95" s="637"/>
      <c r="ADB95" s="637"/>
      <c r="ADC95" s="637"/>
      <c r="ADD95" s="637"/>
      <c r="ADE95" s="637"/>
      <c r="ADF95" s="637"/>
      <c r="ADG95" s="637"/>
      <c r="ADH95" s="637"/>
      <c r="ADI95" s="637"/>
      <c r="ADJ95" s="637"/>
      <c r="ADK95" s="637"/>
      <c r="ADL95" s="637"/>
      <c r="ADM95" s="637"/>
      <c r="ADN95" s="637"/>
      <c r="ADO95" s="637"/>
      <c r="ADP95" s="637"/>
      <c r="ADQ95" s="637"/>
      <c r="ADR95" s="637"/>
      <c r="ADS95" s="637"/>
      <c r="ADT95" s="637"/>
      <c r="ADU95" s="637"/>
      <c r="ADV95" s="637"/>
      <c r="ADW95" s="637"/>
      <c r="ADX95" s="637"/>
      <c r="ADY95" s="637"/>
      <c r="ADZ95" s="637"/>
      <c r="AEA95" s="637"/>
      <c r="AEB95" s="637"/>
      <c r="AEC95" s="637"/>
      <c r="AED95" s="637"/>
      <c r="AEE95" s="637"/>
      <c r="AEF95" s="637"/>
      <c r="AEG95" s="637"/>
      <c r="AEH95" s="637"/>
      <c r="AEI95" s="637"/>
      <c r="AEJ95" s="637"/>
      <c r="AEK95" s="637"/>
      <c r="AEL95" s="637"/>
      <c r="AEM95" s="637"/>
      <c r="AEN95" s="637"/>
      <c r="AEO95" s="637"/>
      <c r="AEP95" s="637"/>
      <c r="AEQ95" s="637"/>
      <c r="AER95" s="637"/>
      <c r="AES95" s="637"/>
      <c r="AET95" s="637"/>
      <c r="AEU95" s="637"/>
      <c r="AEV95" s="637"/>
      <c r="AEW95" s="637"/>
      <c r="AEX95" s="637"/>
      <c r="AEY95" s="637"/>
      <c r="AEZ95" s="637"/>
      <c r="AFA95" s="637"/>
      <c r="AFB95" s="637"/>
      <c r="AFC95" s="637"/>
      <c r="AFD95" s="637"/>
      <c r="AFE95" s="637"/>
      <c r="AFF95" s="637"/>
      <c r="AFG95" s="637"/>
      <c r="AFH95" s="637"/>
      <c r="AFI95" s="637"/>
      <c r="AFJ95" s="637"/>
      <c r="AFK95" s="637"/>
      <c r="AFL95" s="637"/>
      <c r="AFM95" s="637"/>
      <c r="AFN95" s="637"/>
      <c r="AFO95" s="637"/>
      <c r="AFP95" s="637"/>
      <c r="AFQ95" s="637"/>
      <c r="AFR95" s="637"/>
      <c r="AFS95" s="637"/>
      <c r="AFT95" s="637"/>
      <c r="AFU95" s="637"/>
      <c r="AFV95" s="637"/>
      <c r="AFW95" s="637"/>
      <c r="AFX95" s="637"/>
      <c r="AFY95" s="637"/>
      <c r="AFZ95" s="637"/>
      <c r="AGA95" s="637"/>
      <c r="AGB95" s="637"/>
      <c r="AGC95" s="637"/>
      <c r="AGD95" s="637"/>
      <c r="AGE95" s="637"/>
      <c r="AGF95" s="637"/>
      <c r="AGG95" s="637"/>
      <c r="AGH95" s="637"/>
      <c r="AGI95" s="637"/>
      <c r="AGJ95" s="637"/>
      <c r="AGK95" s="637"/>
      <c r="AGL95" s="637"/>
      <c r="AGM95" s="637"/>
      <c r="AGN95" s="637"/>
      <c r="AGO95" s="637"/>
      <c r="AGP95" s="637"/>
      <c r="AGQ95" s="637"/>
      <c r="AGR95" s="637"/>
      <c r="AGS95" s="637"/>
      <c r="AGT95" s="637"/>
      <c r="AGU95" s="637"/>
      <c r="AGV95" s="637"/>
      <c r="AGW95" s="637"/>
      <c r="AGX95" s="637"/>
      <c r="AGY95" s="637"/>
      <c r="AGZ95" s="637"/>
      <c r="AHA95" s="637"/>
      <c r="AHB95" s="637"/>
      <c r="AHC95" s="637"/>
      <c r="AHD95" s="637"/>
      <c r="AHE95" s="637"/>
      <c r="AHF95" s="637"/>
      <c r="AHG95" s="637"/>
      <c r="AHH95" s="637"/>
      <c r="AHI95" s="637"/>
      <c r="AHJ95" s="637"/>
      <c r="AHK95" s="637"/>
      <c r="AHL95" s="637"/>
      <c r="AHM95" s="637"/>
      <c r="AHN95" s="637"/>
      <c r="AHO95" s="637"/>
      <c r="AHP95" s="637"/>
      <c r="AHQ95" s="637"/>
      <c r="AHR95" s="637"/>
      <c r="AHS95" s="637"/>
      <c r="AHT95" s="637"/>
      <c r="AHU95" s="637"/>
      <c r="AHV95" s="637"/>
      <c r="AHW95" s="637"/>
      <c r="AHX95" s="637"/>
      <c r="AHY95" s="637"/>
      <c r="AHZ95" s="637"/>
      <c r="AIA95" s="637"/>
      <c r="AIB95" s="637"/>
      <c r="AIC95" s="637"/>
      <c r="AID95" s="637"/>
      <c r="AIE95" s="637"/>
      <c r="AIF95" s="637"/>
      <c r="AIG95" s="637"/>
      <c r="AIH95" s="637"/>
      <c r="AII95" s="637"/>
      <c r="AIJ95" s="637"/>
      <c r="AIK95" s="637"/>
      <c r="AIL95" s="637"/>
      <c r="AIM95" s="637"/>
      <c r="AIN95" s="637"/>
      <c r="AIO95" s="637"/>
      <c r="AIP95" s="637"/>
      <c r="AIQ95" s="637"/>
      <c r="AIR95" s="637"/>
      <c r="AIS95" s="637"/>
      <c r="AIT95" s="637"/>
      <c r="AIU95" s="637"/>
      <c r="AIV95" s="637"/>
      <c r="AIW95" s="637"/>
      <c r="AIX95" s="637"/>
      <c r="AIY95" s="637"/>
      <c r="AIZ95" s="637"/>
      <c r="AJA95" s="637"/>
      <c r="AJB95" s="637"/>
      <c r="AJC95" s="637"/>
      <c r="AJD95" s="637"/>
      <c r="AJE95" s="637"/>
      <c r="AJF95" s="637"/>
      <c r="AJG95" s="637"/>
      <c r="AJH95" s="637"/>
      <c r="AJI95" s="637"/>
      <c r="AJJ95" s="637"/>
      <c r="AJK95" s="637"/>
      <c r="AJL95" s="637"/>
      <c r="AJM95" s="637"/>
      <c r="AJN95" s="637"/>
      <c r="AJO95" s="637"/>
      <c r="AJP95" s="637"/>
      <c r="AJQ95" s="637"/>
      <c r="AJR95" s="637"/>
      <c r="AJS95" s="637"/>
      <c r="AJT95" s="637"/>
      <c r="AJU95" s="637"/>
      <c r="AJV95" s="637"/>
      <c r="AJW95" s="637"/>
      <c r="AJX95" s="637"/>
      <c r="AJY95" s="637"/>
      <c r="AJZ95" s="637"/>
      <c r="AKA95" s="637"/>
      <c r="AKB95" s="637"/>
      <c r="AKC95" s="637"/>
      <c r="AKD95" s="637"/>
      <c r="AKE95" s="637"/>
      <c r="AKF95" s="637"/>
      <c r="AKG95" s="637"/>
      <c r="AKH95" s="637"/>
      <c r="AKI95" s="637"/>
      <c r="AKJ95" s="637"/>
      <c r="AKK95" s="637"/>
      <c r="AKL95" s="637"/>
      <c r="AKM95" s="637"/>
      <c r="AKN95" s="637"/>
      <c r="AKO95" s="637"/>
      <c r="AKP95" s="637"/>
      <c r="AKQ95" s="637"/>
      <c r="AKR95" s="637"/>
      <c r="AKS95" s="637"/>
      <c r="AKT95" s="637"/>
      <c r="AKU95" s="637"/>
      <c r="AKV95" s="637"/>
      <c r="AKW95" s="637"/>
      <c r="AKX95" s="637"/>
      <c r="AKY95" s="637"/>
      <c r="AKZ95" s="637"/>
      <c r="ALA95" s="637"/>
      <c r="ALB95" s="637"/>
      <c r="ALC95" s="637"/>
      <c r="ALD95" s="637"/>
      <c r="ALE95" s="637"/>
      <c r="ALF95" s="637"/>
      <c r="ALG95" s="637"/>
      <c r="ALH95" s="637"/>
      <c r="ALI95" s="637"/>
      <c r="ALJ95" s="637"/>
      <c r="ALK95" s="637"/>
      <c r="ALL95" s="637"/>
      <c r="ALM95" s="637"/>
      <c r="ALN95" s="637"/>
      <c r="ALO95" s="637"/>
      <c r="ALP95" s="637"/>
      <c r="ALQ95" s="637"/>
      <c r="ALR95" s="637"/>
      <c r="ALS95" s="637"/>
      <c r="ALT95" s="637"/>
      <c r="ALU95" s="637"/>
      <c r="ALV95" s="637"/>
      <c r="ALW95" s="637"/>
      <c r="ALX95" s="637"/>
      <c r="ALY95" s="637"/>
      <c r="ALZ95" s="637"/>
      <c r="AMA95" s="637"/>
      <c r="AMB95" s="637"/>
      <c r="AMC95" s="637"/>
      <c r="AMD95" s="637"/>
      <c r="AME95" s="637"/>
      <c r="AMF95" s="637"/>
      <c r="AMG95" s="637"/>
      <c r="AMH95" s="637"/>
      <c r="AMI95" s="637"/>
      <c r="AMJ95" s="637"/>
    </row>
    <row r="96" spans="1:1024" s="638" customFormat="1" ht="12.75">
      <c r="A96" s="984"/>
      <c r="B96" s="985"/>
      <c r="C96" s="986"/>
      <c r="D96" s="981" t="s">
        <v>1041</v>
      </c>
      <c r="E96" s="982">
        <v>323</v>
      </c>
      <c r="F96" s="982">
        <f t="shared" si="10"/>
        <v>393</v>
      </c>
      <c r="G96" s="987">
        <v>264</v>
      </c>
      <c r="H96" s="987">
        <v>78</v>
      </c>
      <c r="I96" s="987">
        <v>51</v>
      </c>
      <c r="J96" s="987"/>
      <c r="K96" s="987"/>
      <c r="L96" s="987"/>
      <c r="M96" s="987"/>
      <c r="N96" s="987"/>
      <c r="O96" s="987"/>
      <c r="P96" s="987"/>
      <c r="Q96" s="987"/>
      <c r="R96" s="984"/>
      <c r="S96" s="637"/>
      <c r="T96" s="637"/>
      <c r="U96" s="637"/>
      <c r="V96" s="637"/>
      <c r="W96" s="637"/>
      <c r="X96" s="637"/>
      <c r="Y96" s="637"/>
      <c r="Z96" s="637"/>
      <c r="AA96" s="637"/>
      <c r="AB96" s="637"/>
      <c r="AC96" s="637"/>
      <c r="AD96" s="637"/>
      <c r="AE96" s="637"/>
      <c r="AF96" s="637"/>
      <c r="AG96" s="637"/>
      <c r="AH96" s="637"/>
      <c r="AI96" s="637"/>
      <c r="AJ96" s="637"/>
      <c r="AK96" s="637"/>
      <c r="AL96" s="637"/>
      <c r="AM96" s="637"/>
      <c r="AN96" s="637"/>
      <c r="AO96" s="637"/>
      <c r="AP96" s="637"/>
      <c r="AQ96" s="637"/>
      <c r="AR96" s="637"/>
      <c r="AS96" s="637"/>
      <c r="AT96" s="637"/>
      <c r="AU96" s="637"/>
      <c r="AV96" s="637"/>
      <c r="AW96" s="637"/>
      <c r="AX96" s="637"/>
      <c r="AY96" s="637"/>
      <c r="AZ96" s="637"/>
      <c r="BA96" s="637"/>
      <c r="BB96" s="637"/>
      <c r="BC96" s="637"/>
      <c r="BD96" s="637"/>
      <c r="BE96" s="637"/>
      <c r="BF96" s="637"/>
      <c r="BG96" s="637"/>
      <c r="BH96" s="637"/>
      <c r="BI96" s="637"/>
      <c r="BJ96" s="637"/>
      <c r="BK96" s="637"/>
      <c r="BL96" s="637"/>
      <c r="BM96" s="637"/>
      <c r="BN96" s="637"/>
      <c r="BO96" s="637"/>
      <c r="BP96" s="637"/>
      <c r="BQ96" s="637"/>
      <c r="BR96" s="637"/>
      <c r="BS96" s="637"/>
      <c r="BT96" s="637"/>
      <c r="BU96" s="637"/>
      <c r="BV96" s="637"/>
      <c r="BW96" s="637"/>
      <c r="BX96" s="637"/>
      <c r="BY96" s="637"/>
      <c r="BZ96" s="637"/>
      <c r="CA96" s="637"/>
      <c r="CB96" s="637"/>
      <c r="CC96" s="637"/>
      <c r="CD96" s="637"/>
      <c r="CE96" s="637"/>
      <c r="CF96" s="637"/>
      <c r="CG96" s="637"/>
      <c r="CH96" s="637"/>
      <c r="CI96" s="637"/>
      <c r="CJ96" s="637"/>
      <c r="CK96" s="637"/>
      <c r="CL96" s="637"/>
      <c r="CM96" s="637"/>
      <c r="CN96" s="637"/>
      <c r="CO96" s="637"/>
      <c r="CP96" s="637"/>
      <c r="CQ96" s="637"/>
      <c r="CR96" s="637"/>
      <c r="CS96" s="637"/>
      <c r="CT96" s="637"/>
      <c r="CU96" s="637"/>
      <c r="CV96" s="637"/>
      <c r="CW96" s="637"/>
      <c r="CX96" s="637"/>
      <c r="CY96" s="637"/>
      <c r="CZ96" s="637"/>
      <c r="DA96" s="637"/>
      <c r="DB96" s="637"/>
      <c r="DC96" s="637"/>
      <c r="DD96" s="637"/>
      <c r="DE96" s="637"/>
      <c r="DF96" s="637"/>
      <c r="DG96" s="637"/>
      <c r="DH96" s="637"/>
      <c r="DI96" s="637"/>
      <c r="DJ96" s="637"/>
      <c r="DK96" s="637"/>
      <c r="DL96" s="637"/>
      <c r="DM96" s="637"/>
      <c r="DN96" s="637"/>
      <c r="DO96" s="637"/>
      <c r="DP96" s="637"/>
      <c r="DQ96" s="637"/>
      <c r="DR96" s="637"/>
      <c r="DS96" s="637"/>
      <c r="DT96" s="637"/>
      <c r="DU96" s="637"/>
      <c r="DV96" s="637"/>
      <c r="DW96" s="637"/>
      <c r="DX96" s="637"/>
      <c r="DY96" s="637"/>
      <c r="DZ96" s="637"/>
      <c r="EA96" s="637"/>
      <c r="EB96" s="637"/>
      <c r="EC96" s="637"/>
      <c r="ED96" s="637"/>
      <c r="EE96" s="637"/>
      <c r="EF96" s="637"/>
      <c r="EG96" s="637"/>
      <c r="EH96" s="637"/>
      <c r="EI96" s="637"/>
      <c r="EJ96" s="637"/>
      <c r="EK96" s="637"/>
      <c r="EL96" s="637"/>
      <c r="EM96" s="637"/>
      <c r="EN96" s="637"/>
      <c r="EO96" s="637"/>
      <c r="EP96" s="637"/>
      <c r="EQ96" s="637"/>
      <c r="ER96" s="637"/>
      <c r="ES96" s="637"/>
      <c r="ET96" s="637"/>
      <c r="EU96" s="637"/>
      <c r="EV96" s="637"/>
      <c r="EW96" s="637"/>
      <c r="EX96" s="637"/>
      <c r="EY96" s="637"/>
      <c r="EZ96" s="637"/>
      <c r="FA96" s="637"/>
      <c r="FB96" s="637"/>
      <c r="FC96" s="637"/>
      <c r="FD96" s="637"/>
      <c r="FE96" s="637"/>
      <c r="FF96" s="637"/>
      <c r="FG96" s="637"/>
      <c r="FH96" s="637"/>
      <c r="FI96" s="637"/>
      <c r="FJ96" s="637"/>
      <c r="FK96" s="637"/>
      <c r="FL96" s="637"/>
      <c r="FM96" s="637"/>
      <c r="FN96" s="637"/>
      <c r="FO96" s="637"/>
      <c r="FP96" s="637"/>
      <c r="FQ96" s="637"/>
      <c r="FR96" s="637"/>
      <c r="FS96" s="637"/>
      <c r="FT96" s="637"/>
      <c r="FU96" s="637"/>
      <c r="FV96" s="637"/>
      <c r="FW96" s="637"/>
      <c r="FX96" s="637"/>
      <c r="FY96" s="637"/>
      <c r="FZ96" s="637"/>
      <c r="GA96" s="637"/>
      <c r="GB96" s="637"/>
      <c r="GC96" s="637"/>
      <c r="GD96" s="637"/>
      <c r="GE96" s="637"/>
      <c r="GF96" s="637"/>
      <c r="GG96" s="637"/>
      <c r="GH96" s="637"/>
      <c r="GI96" s="637"/>
      <c r="GJ96" s="637"/>
      <c r="GK96" s="637"/>
      <c r="GL96" s="637"/>
      <c r="GM96" s="637"/>
      <c r="GN96" s="637"/>
      <c r="GO96" s="637"/>
      <c r="GP96" s="637"/>
      <c r="GQ96" s="637"/>
      <c r="GR96" s="637"/>
      <c r="GS96" s="637"/>
      <c r="GT96" s="637"/>
      <c r="GU96" s="637"/>
      <c r="GV96" s="637"/>
      <c r="GW96" s="637"/>
      <c r="GX96" s="637"/>
      <c r="GY96" s="637"/>
      <c r="GZ96" s="637"/>
      <c r="HA96" s="637"/>
      <c r="HB96" s="637"/>
      <c r="HC96" s="637"/>
      <c r="HD96" s="637"/>
      <c r="HE96" s="637"/>
      <c r="HF96" s="637"/>
      <c r="HG96" s="637"/>
      <c r="HH96" s="637"/>
      <c r="HI96" s="637"/>
      <c r="HJ96" s="637"/>
      <c r="HK96" s="637"/>
      <c r="HL96" s="637"/>
      <c r="HM96" s="637"/>
      <c r="HN96" s="637"/>
      <c r="HO96" s="637"/>
      <c r="HP96" s="637"/>
      <c r="HQ96" s="637"/>
      <c r="HR96" s="637"/>
      <c r="HS96" s="637"/>
      <c r="HT96" s="637"/>
      <c r="HU96" s="637"/>
      <c r="HV96" s="637"/>
      <c r="HW96" s="637"/>
      <c r="HX96" s="637"/>
      <c r="HY96" s="637"/>
      <c r="HZ96" s="637"/>
      <c r="IA96" s="637"/>
      <c r="IB96" s="637"/>
      <c r="IC96" s="637"/>
      <c r="ID96" s="637"/>
      <c r="IE96" s="637"/>
      <c r="IF96" s="637"/>
      <c r="IG96" s="637"/>
      <c r="IH96" s="637"/>
      <c r="II96" s="637"/>
      <c r="IJ96" s="637"/>
      <c r="IK96" s="637"/>
      <c r="IL96" s="637"/>
      <c r="IM96" s="637"/>
      <c r="IN96" s="637"/>
      <c r="IO96" s="637"/>
      <c r="IP96" s="637"/>
      <c r="IQ96" s="637"/>
      <c r="IR96" s="637"/>
      <c r="IS96" s="637"/>
      <c r="IT96" s="637"/>
      <c r="IU96" s="637"/>
      <c r="IV96" s="637"/>
      <c r="IW96" s="637"/>
      <c r="IX96" s="637"/>
      <c r="IY96" s="637"/>
      <c r="IZ96" s="637"/>
      <c r="JA96" s="637"/>
      <c r="JB96" s="637"/>
      <c r="JC96" s="637"/>
      <c r="JD96" s="637"/>
      <c r="JE96" s="637"/>
      <c r="JF96" s="637"/>
      <c r="JG96" s="637"/>
      <c r="JH96" s="637"/>
      <c r="JI96" s="637"/>
      <c r="JJ96" s="637"/>
      <c r="JK96" s="637"/>
      <c r="JL96" s="637"/>
      <c r="JM96" s="637"/>
      <c r="JN96" s="637"/>
      <c r="JO96" s="637"/>
      <c r="JP96" s="637"/>
      <c r="JQ96" s="637"/>
      <c r="JR96" s="637"/>
      <c r="JS96" s="637"/>
      <c r="JT96" s="637"/>
      <c r="JU96" s="637"/>
      <c r="JV96" s="637"/>
      <c r="JW96" s="637"/>
      <c r="JX96" s="637"/>
      <c r="JY96" s="637"/>
      <c r="JZ96" s="637"/>
      <c r="KA96" s="637"/>
      <c r="KB96" s="637"/>
      <c r="KC96" s="637"/>
      <c r="KD96" s="637"/>
      <c r="KE96" s="637"/>
      <c r="KF96" s="637"/>
      <c r="KG96" s="637"/>
      <c r="KH96" s="637"/>
      <c r="KI96" s="637"/>
      <c r="KJ96" s="637"/>
      <c r="KK96" s="637"/>
      <c r="KL96" s="637"/>
      <c r="KM96" s="637"/>
      <c r="KN96" s="637"/>
      <c r="KO96" s="637"/>
      <c r="KP96" s="637"/>
      <c r="KQ96" s="637"/>
      <c r="KR96" s="637"/>
      <c r="KS96" s="637"/>
      <c r="KT96" s="637"/>
      <c r="KU96" s="637"/>
      <c r="KV96" s="637"/>
      <c r="KW96" s="637"/>
      <c r="KX96" s="637"/>
      <c r="KY96" s="637"/>
      <c r="KZ96" s="637"/>
      <c r="LA96" s="637"/>
      <c r="LB96" s="637"/>
      <c r="LC96" s="637"/>
      <c r="LD96" s="637"/>
      <c r="LE96" s="637"/>
      <c r="LF96" s="637"/>
      <c r="LG96" s="637"/>
      <c r="LH96" s="637"/>
      <c r="LI96" s="637"/>
      <c r="LJ96" s="637"/>
      <c r="LK96" s="637"/>
      <c r="LL96" s="637"/>
      <c r="LM96" s="637"/>
      <c r="LN96" s="637"/>
      <c r="LO96" s="637"/>
      <c r="LP96" s="637"/>
      <c r="LQ96" s="637"/>
      <c r="LR96" s="637"/>
      <c r="LS96" s="637"/>
      <c r="LT96" s="637"/>
      <c r="LU96" s="637"/>
      <c r="LV96" s="637"/>
      <c r="LW96" s="637"/>
      <c r="LX96" s="637"/>
      <c r="LY96" s="637"/>
      <c r="LZ96" s="637"/>
      <c r="MA96" s="637"/>
      <c r="MB96" s="637"/>
      <c r="MC96" s="637"/>
      <c r="MD96" s="637"/>
      <c r="ME96" s="637"/>
      <c r="MF96" s="637"/>
      <c r="MG96" s="637"/>
      <c r="MH96" s="637"/>
      <c r="MI96" s="637"/>
      <c r="MJ96" s="637"/>
      <c r="MK96" s="637"/>
      <c r="ML96" s="637"/>
      <c r="MM96" s="637"/>
      <c r="MN96" s="637"/>
      <c r="MO96" s="637"/>
      <c r="MP96" s="637"/>
      <c r="MQ96" s="637"/>
      <c r="MR96" s="637"/>
      <c r="MS96" s="637"/>
      <c r="MT96" s="637"/>
      <c r="MU96" s="637"/>
      <c r="MV96" s="637"/>
      <c r="MW96" s="637"/>
      <c r="MX96" s="637"/>
      <c r="MY96" s="637"/>
      <c r="MZ96" s="637"/>
      <c r="NA96" s="637"/>
      <c r="NB96" s="637"/>
      <c r="NC96" s="637"/>
      <c r="ND96" s="637"/>
      <c r="NE96" s="637"/>
      <c r="NF96" s="637"/>
      <c r="NG96" s="637"/>
      <c r="NH96" s="637"/>
      <c r="NI96" s="637"/>
      <c r="NJ96" s="637"/>
      <c r="NK96" s="637"/>
      <c r="NL96" s="637"/>
      <c r="NM96" s="637"/>
      <c r="NN96" s="637"/>
      <c r="NO96" s="637"/>
      <c r="NP96" s="637"/>
      <c r="NQ96" s="637"/>
      <c r="NR96" s="637"/>
      <c r="NS96" s="637"/>
      <c r="NT96" s="637"/>
      <c r="NU96" s="637"/>
      <c r="NV96" s="637"/>
      <c r="NW96" s="637"/>
      <c r="NX96" s="637"/>
      <c r="NY96" s="637"/>
      <c r="NZ96" s="637"/>
      <c r="OA96" s="637"/>
      <c r="OB96" s="637"/>
      <c r="OC96" s="637"/>
      <c r="OD96" s="637"/>
      <c r="OE96" s="637"/>
      <c r="OF96" s="637"/>
      <c r="OG96" s="637"/>
      <c r="OH96" s="637"/>
      <c r="OI96" s="637"/>
      <c r="OJ96" s="637"/>
      <c r="OK96" s="637"/>
      <c r="OL96" s="637"/>
      <c r="OM96" s="637"/>
      <c r="ON96" s="637"/>
      <c r="OO96" s="637"/>
      <c r="OP96" s="637"/>
      <c r="OQ96" s="637"/>
      <c r="OR96" s="637"/>
      <c r="OS96" s="637"/>
      <c r="OT96" s="637"/>
      <c r="OU96" s="637"/>
      <c r="OV96" s="637"/>
      <c r="OW96" s="637"/>
      <c r="OX96" s="637"/>
      <c r="OY96" s="637"/>
      <c r="OZ96" s="637"/>
      <c r="PA96" s="637"/>
      <c r="PB96" s="637"/>
      <c r="PC96" s="637"/>
      <c r="PD96" s="637"/>
      <c r="PE96" s="637"/>
      <c r="PF96" s="637"/>
      <c r="PG96" s="637"/>
      <c r="PH96" s="637"/>
      <c r="PI96" s="637"/>
      <c r="PJ96" s="637"/>
      <c r="PK96" s="637"/>
      <c r="PL96" s="637"/>
      <c r="PM96" s="637"/>
      <c r="PN96" s="637"/>
      <c r="PO96" s="637"/>
      <c r="PP96" s="637"/>
      <c r="PQ96" s="637"/>
      <c r="PR96" s="637"/>
      <c r="PS96" s="637"/>
      <c r="PT96" s="637"/>
      <c r="PU96" s="637"/>
      <c r="PV96" s="637"/>
      <c r="PW96" s="637"/>
      <c r="PX96" s="637"/>
      <c r="PY96" s="637"/>
      <c r="PZ96" s="637"/>
      <c r="QA96" s="637"/>
      <c r="QB96" s="637"/>
      <c r="QC96" s="637"/>
      <c r="QD96" s="637"/>
      <c r="QE96" s="637"/>
      <c r="QF96" s="637"/>
      <c r="QG96" s="637"/>
      <c r="QH96" s="637"/>
      <c r="QI96" s="637"/>
      <c r="QJ96" s="637"/>
      <c r="QK96" s="637"/>
      <c r="QL96" s="637"/>
      <c r="QM96" s="637"/>
      <c r="QN96" s="637"/>
      <c r="QO96" s="637"/>
      <c r="QP96" s="637"/>
      <c r="QQ96" s="637"/>
      <c r="QR96" s="637"/>
      <c r="QS96" s="637"/>
      <c r="QT96" s="637"/>
      <c r="QU96" s="637"/>
      <c r="QV96" s="637"/>
      <c r="QW96" s="637"/>
      <c r="QX96" s="637"/>
      <c r="QY96" s="637"/>
      <c r="QZ96" s="637"/>
      <c r="RA96" s="637"/>
      <c r="RB96" s="637"/>
      <c r="RC96" s="637"/>
      <c r="RD96" s="637"/>
      <c r="RE96" s="637"/>
      <c r="RF96" s="637"/>
      <c r="RG96" s="637"/>
      <c r="RH96" s="637"/>
      <c r="RI96" s="637"/>
      <c r="RJ96" s="637"/>
      <c r="RK96" s="637"/>
      <c r="RL96" s="637"/>
      <c r="RM96" s="637"/>
      <c r="RN96" s="637"/>
      <c r="RO96" s="637"/>
      <c r="RP96" s="637"/>
      <c r="RQ96" s="637"/>
      <c r="RR96" s="637"/>
      <c r="RS96" s="637"/>
      <c r="RT96" s="637"/>
      <c r="RU96" s="637"/>
      <c r="RV96" s="637"/>
      <c r="RW96" s="637"/>
      <c r="RX96" s="637"/>
      <c r="RY96" s="637"/>
      <c r="RZ96" s="637"/>
      <c r="SA96" s="637"/>
      <c r="SB96" s="637"/>
      <c r="SC96" s="637"/>
      <c r="SD96" s="637"/>
      <c r="SE96" s="637"/>
      <c r="SF96" s="637"/>
      <c r="SG96" s="637"/>
      <c r="SH96" s="637"/>
      <c r="SI96" s="637"/>
      <c r="SJ96" s="637"/>
      <c r="SK96" s="637"/>
      <c r="SL96" s="637"/>
      <c r="SM96" s="637"/>
      <c r="SN96" s="637"/>
      <c r="SO96" s="637"/>
      <c r="SP96" s="637"/>
      <c r="SQ96" s="637"/>
      <c r="SR96" s="637"/>
      <c r="SS96" s="637"/>
      <c r="ST96" s="637"/>
      <c r="SU96" s="637"/>
      <c r="SV96" s="637"/>
      <c r="SW96" s="637"/>
      <c r="SX96" s="637"/>
      <c r="SY96" s="637"/>
      <c r="SZ96" s="637"/>
      <c r="TA96" s="637"/>
      <c r="TB96" s="637"/>
      <c r="TC96" s="637"/>
      <c r="TD96" s="637"/>
      <c r="TE96" s="637"/>
      <c r="TF96" s="637"/>
      <c r="TG96" s="637"/>
      <c r="TH96" s="637"/>
      <c r="TI96" s="637"/>
      <c r="TJ96" s="637"/>
      <c r="TK96" s="637"/>
      <c r="TL96" s="637"/>
      <c r="TM96" s="637"/>
      <c r="TN96" s="637"/>
      <c r="TO96" s="637"/>
      <c r="TP96" s="637"/>
      <c r="TQ96" s="637"/>
      <c r="TR96" s="637"/>
      <c r="TS96" s="637"/>
      <c r="TT96" s="637"/>
      <c r="TU96" s="637"/>
      <c r="TV96" s="637"/>
      <c r="TW96" s="637"/>
      <c r="TX96" s="637"/>
      <c r="TY96" s="637"/>
      <c r="TZ96" s="637"/>
      <c r="UA96" s="637"/>
      <c r="UB96" s="637"/>
      <c r="UC96" s="637"/>
      <c r="UD96" s="637"/>
      <c r="UE96" s="637"/>
      <c r="UF96" s="637"/>
      <c r="UG96" s="637"/>
      <c r="UH96" s="637"/>
      <c r="UI96" s="637"/>
      <c r="UJ96" s="637"/>
      <c r="UK96" s="637"/>
      <c r="UL96" s="637"/>
      <c r="UM96" s="637"/>
      <c r="UN96" s="637"/>
      <c r="UO96" s="637"/>
      <c r="UP96" s="637"/>
      <c r="UQ96" s="637"/>
      <c r="UR96" s="637"/>
      <c r="US96" s="637"/>
      <c r="UT96" s="637"/>
      <c r="UU96" s="637"/>
      <c r="UV96" s="637"/>
      <c r="UW96" s="637"/>
      <c r="UX96" s="637"/>
      <c r="UY96" s="637"/>
      <c r="UZ96" s="637"/>
      <c r="VA96" s="637"/>
      <c r="VB96" s="637"/>
      <c r="VC96" s="637"/>
      <c r="VD96" s="637"/>
      <c r="VE96" s="637"/>
      <c r="VF96" s="637"/>
      <c r="VG96" s="637"/>
      <c r="VH96" s="637"/>
      <c r="VI96" s="637"/>
      <c r="VJ96" s="637"/>
      <c r="VK96" s="637"/>
      <c r="VL96" s="637"/>
      <c r="VM96" s="637"/>
      <c r="VN96" s="637"/>
      <c r="VO96" s="637"/>
      <c r="VP96" s="637"/>
      <c r="VQ96" s="637"/>
      <c r="VR96" s="637"/>
      <c r="VS96" s="637"/>
      <c r="VT96" s="637"/>
      <c r="VU96" s="637"/>
      <c r="VV96" s="637"/>
      <c r="VW96" s="637"/>
      <c r="VX96" s="637"/>
      <c r="VY96" s="637"/>
      <c r="VZ96" s="637"/>
      <c r="WA96" s="637"/>
      <c r="WB96" s="637"/>
      <c r="WC96" s="637"/>
      <c r="WD96" s="637"/>
      <c r="WE96" s="637"/>
      <c r="WF96" s="637"/>
      <c r="WG96" s="637"/>
      <c r="WH96" s="637"/>
      <c r="WI96" s="637"/>
      <c r="WJ96" s="637"/>
      <c r="WK96" s="637"/>
      <c r="WL96" s="637"/>
      <c r="WM96" s="637"/>
      <c r="WN96" s="637"/>
      <c r="WO96" s="637"/>
      <c r="WP96" s="637"/>
      <c r="WQ96" s="637"/>
      <c r="WR96" s="637"/>
      <c r="WS96" s="637"/>
      <c r="WT96" s="637"/>
      <c r="WU96" s="637"/>
      <c r="WV96" s="637"/>
      <c r="WW96" s="637"/>
      <c r="WX96" s="637"/>
      <c r="WY96" s="637"/>
      <c r="WZ96" s="637"/>
      <c r="XA96" s="637"/>
      <c r="XB96" s="637"/>
      <c r="XC96" s="637"/>
      <c r="XD96" s="637"/>
      <c r="XE96" s="637"/>
      <c r="XF96" s="637"/>
      <c r="XG96" s="637"/>
      <c r="XH96" s="637"/>
      <c r="XI96" s="637"/>
      <c r="XJ96" s="637"/>
      <c r="XK96" s="637"/>
      <c r="XL96" s="637"/>
      <c r="XM96" s="637"/>
      <c r="XN96" s="637"/>
      <c r="XO96" s="637"/>
      <c r="XP96" s="637"/>
      <c r="XQ96" s="637"/>
      <c r="XR96" s="637"/>
      <c r="XS96" s="637"/>
      <c r="XT96" s="637"/>
      <c r="XU96" s="637"/>
      <c r="XV96" s="637"/>
      <c r="XW96" s="637"/>
      <c r="XX96" s="637"/>
      <c r="XY96" s="637"/>
      <c r="XZ96" s="637"/>
      <c r="YA96" s="637"/>
      <c r="YB96" s="637"/>
      <c r="YC96" s="637"/>
      <c r="YD96" s="637"/>
      <c r="YE96" s="637"/>
      <c r="YF96" s="637"/>
      <c r="YG96" s="637"/>
      <c r="YH96" s="637"/>
      <c r="YI96" s="637"/>
      <c r="YJ96" s="637"/>
      <c r="YK96" s="637"/>
      <c r="YL96" s="637"/>
      <c r="YM96" s="637"/>
      <c r="YN96" s="637"/>
      <c r="YO96" s="637"/>
      <c r="YP96" s="637"/>
      <c r="YQ96" s="637"/>
      <c r="YR96" s="637"/>
      <c r="YS96" s="637"/>
      <c r="YT96" s="637"/>
      <c r="YU96" s="637"/>
      <c r="YV96" s="637"/>
      <c r="YW96" s="637"/>
      <c r="YX96" s="637"/>
      <c r="YY96" s="637"/>
      <c r="YZ96" s="637"/>
      <c r="ZA96" s="637"/>
      <c r="ZB96" s="637"/>
      <c r="ZC96" s="637"/>
      <c r="ZD96" s="637"/>
      <c r="ZE96" s="637"/>
      <c r="ZF96" s="637"/>
      <c r="ZG96" s="637"/>
      <c r="ZH96" s="637"/>
      <c r="ZI96" s="637"/>
      <c r="ZJ96" s="637"/>
      <c r="ZK96" s="637"/>
      <c r="ZL96" s="637"/>
      <c r="ZM96" s="637"/>
      <c r="ZN96" s="637"/>
      <c r="ZO96" s="637"/>
      <c r="ZP96" s="637"/>
      <c r="ZQ96" s="637"/>
      <c r="ZR96" s="637"/>
      <c r="ZS96" s="637"/>
      <c r="ZT96" s="637"/>
      <c r="ZU96" s="637"/>
      <c r="ZV96" s="637"/>
      <c r="ZW96" s="637"/>
      <c r="ZX96" s="637"/>
      <c r="ZY96" s="637"/>
      <c r="ZZ96" s="637"/>
      <c r="AAA96" s="637"/>
      <c r="AAB96" s="637"/>
      <c r="AAC96" s="637"/>
      <c r="AAD96" s="637"/>
      <c r="AAE96" s="637"/>
      <c r="AAF96" s="637"/>
      <c r="AAG96" s="637"/>
      <c r="AAH96" s="637"/>
      <c r="AAI96" s="637"/>
      <c r="AAJ96" s="637"/>
      <c r="AAK96" s="637"/>
      <c r="AAL96" s="637"/>
      <c r="AAM96" s="637"/>
      <c r="AAN96" s="637"/>
      <c r="AAO96" s="637"/>
      <c r="AAP96" s="637"/>
      <c r="AAQ96" s="637"/>
      <c r="AAR96" s="637"/>
      <c r="AAS96" s="637"/>
      <c r="AAT96" s="637"/>
      <c r="AAU96" s="637"/>
      <c r="AAV96" s="637"/>
      <c r="AAW96" s="637"/>
      <c r="AAX96" s="637"/>
      <c r="AAY96" s="637"/>
      <c r="AAZ96" s="637"/>
      <c r="ABA96" s="637"/>
      <c r="ABB96" s="637"/>
      <c r="ABC96" s="637"/>
      <c r="ABD96" s="637"/>
      <c r="ABE96" s="637"/>
      <c r="ABF96" s="637"/>
      <c r="ABG96" s="637"/>
      <c r="ABH96" s="637"/>
      <c r="ABI96" s="637"/>
      <c r="ABJ96" s="637"/>
      <c r="ABK96" s="637"/>
      <c r="ABL96" s="637"/>
      <c r="ABM96" s="637"/>
      <c r="ABN96" s="637"/>
      <c r="ABO96" s="637"/>
      <c r="ABP96" s="637"/>
      <c r="ABQ96" s="637"/>
      <c r="ABR96" s="637"/>
      <c r="ABS96" s="637"/>
      <c r="ABT96" s="637"/>
      <c r="ABU96" s="637"/>
      <c r="ABV96" s="637"/>
      <c r="ABW96" s="637"/>
      <c r="ABX96" s="637"/>
      <c r="ABY96" s="637"/>
      <c r="ABZ96" s="637"/>
      <c r="ACA96" s="637"/>
      <c r="ACB96" s="637"/>
      <c r="ACC96" s="637"/>
      <c r="ACD96" s="637"/>
      <c r="ACE96" s="637"/>
      <c r="ACF96" s="637"/>
      <c r="ACG96" s="637"/>
      <c r="ACH96" s="637"/>
      <c r="ACI96" s="637"/>
      <c r="ACJ96" s="637"/>
      <c r="ACK96" s="637"/>
      <c r="ACL96" s="637"/>
      <c r="ACM96" s="637"/>
      <c r="ACN96" s="637"/>
      <c r="ACO96" s="637"/>
      <c r="ACP96" s="637"/>
      <c r="ACQ96" s="637"/>
      <c r="ACR96" s="637"/>
      <c r="ACS96" s="637"/>
      <c r="ACT96" s="637"/>
      <c r="ACU96" s="637"/>
      <c r="ACV96" s="637"/>
      <c r="ACW96" s="637"/>
      <c r="ACX96" s="637"/>
      <c r="ACY96" s="637"/>
      <c r="ACZ96" s="637"/>
      <c r="ADA96" s="637"/>
      <c r="ADB96" s="637"/>
      <c r="ADC96" s="637"/>
      <c r="ADD96" s="637"/>
      <c r="ADE96" s="637"/>
      <c r="ADF96" s="637"/>
      <c r="ADG96" s="637"/>
      <c r="ADH96" s="637"/>
      <c r="ADI96" s="637"/>
      <c r="ADJ96" s="637"/>
      <c r="ADK96" s="637"/>
      <c r="ADL96" s="637"/>
      <c r="ADM96" s="637"/>
      <c r="ADN96" s="637"/>
      <c r="ADO96" s="637"/>
      <c r="ADP96" s="637"/>
      <c r="ADQ96" s="637"/>
      <c r="ADR96" s="637"/>
      <c r="ADS96" s="637"/>
      <c r="ADT96" s="637"/>
      <c r="ADU96" s="637"/>
      <c r="ADV96" s="637"/>
      <c r="ADW96" s="637"/>
      <c r="ADX96" s="637"/>
      <c r="ADY96" s="637"/>
      <c r="ADZ96" s="637"/>
      <c r="AEA96" s="637"/>
      <c r="AEB96" s="637"/>
      <c r="AEC96" s="637"/>
      <c r="AED96" s="637"/>
      <c r="AEE96" s="637"/>
      <c r="AEF96" s="637"/>
      <c r="AEG96" s="637"/>
      <c r="AEH96" s="637"/>
      <c r="AEI96" s="637"/>
      <c r="AEJ96" s="637"/>
      <c r="AEK96" s="637"/>
      <c r="AEL96" s="637"/>
      <c r="AEM96" s="637"/>
      <c r="AEN96" s="637"/>
      <c r="AEO96" s="637"/>
      <c r="AEP96" s="637"/>
      <c r="AEQ96" s="637"/>
      <c r="AER96" s="637"/>
      <c r="AES96" s="637"/>
      <c r="AET96" s="637"/>
      <c r="AEU96" s="637"/>
      <c r="AEV96" s="637"/>
      <c r="AEW96" s="637"/>
      <c r="AEX96" s="637"/>
      <c r="AEY96" s="637"/>
      <c r="AEZ96" s="637"/>
      <c r="AFA96" s="637"/>
      <c r="AFB96" s="637"/>
      <c r="AFC96" s="637"/>
      <c r="AFD96" s="637"/>
      <c r="AFE96" s="637"/>
      <c r="AFF96" s="637"/>
      <c r="AFG96" s="637"/>
      <c r="AFH96" s="637"/>
      <c r="AFI96" s="637"/>
      <c r="AFJ96" s="637"/>
      <c r="AFK96" s="637"/>
      <c r="AFL96" s="637"/>
      <c r="AFM96" s="637"/>
      <c r="AFN96" s="637"/>
      <c r="AFO96" s="637"/>
      <c r="AFP96" s="637"/>
      <c r="AFQ96" s="637"/>
      <c r="AFR96" s="637"/>
      <c r="AFS96" s="637"/>
      <c r="AFT96" s="637"/>
      <c r="AFU96" s="637"/>
      <c r="AFV96" s="637"/>
      <c r="AFW96" s="637"/>
      <c r="AFX96" s="637"/>
      <c r="AFY96" s="637"/>
      <c r="AFZ96" s="637"/>
      <c r="AGA96" s="637"/>
      <c r="AGB96" s="637"/>
      <c r="AGC96" s="637"/>
      <c r="AGD96" s="637"/>
      <c r="AGE96" s="637"/>
      <c r="AGF96" s="637"/>
      <c r="AGG96" s="637"/>
      <c r="AGH96" s="637"/>
      <c r="AGI96" s="637"/>
      <c r="AGJ96" s="637"/>
      <c r="AGK96" s="637"/>
      <c r="AGL96" s="637"/>
      <c r="AGM96" s="637"/>
      <c r="AGN96" s="637"/>
      <c r="AGO96" s="637"/>
      <c r="AGP96" s="637"/>
      <c r="AGQ96" s="637"/>
      <c r="AGR96" s="637"/>
      <c r="AGS96" s="637"/>
      <c r="AGT96" s="637"/>
      <c r="AGU96" s="637"/>
      <c r="AGV96" s="637"/>
      <c r="AGW96" s="637"/>
      <c r="AGX96" s="637"/>
      <c r="AGY96" s="637"/>
      <c r="AGZ96" s="637"/>
      <c r="AHA96" s="637"/>
      <c r="AHB96" s="637"/>
      <c r="AHC96" s="637"/>
      <c r="AHD96" s="637"/>
      <c r="AHE96" s="637"/>
      <c r="AHF96" s="637"/>
      <c r="AHG96" s="637"/>
      <c r="AHH96" s="637"/>
      <c r="AHI96" s="637"/>
      <c r="AHJ96" s="637"/>
      <c r="AHK96" s="637"/>
      <c r="AHL96" s="637"/>
      <c r="AHM96" s="637"/>
      <c r="AHN96" s="637"/>
      <c r="AHO96" s="637"/>
      <c r="AHP96" s="637"/>
      <c r="AHQ96" s="637"/>
      <c r="AHR96" s="637"/>
      <c r="AHS96" s="637"/>
      <c r="AHT96" s="637"/>
      <c r="AHU96" s="637"/>
      <c r="AHV96" s="637"/>
      <c r="AHW96" s="637"/>
      <c r="AHX96" s="637"/>
      <c r="AHY96" s="637"/>
      <c r="AHZ96" s="637"/>
      <c r="AIA96" s="637"/>
      <c r="AIB96" s="637"/>
      <c r="AIC96" s="637"/>
      <c r="AID96" s="637"/>
      <c r="AIE96" s="637"/>
      <c r="AIF96" s="637"/>
      <c r="AIG96" s="637"/>
      <c r="AIH96" s="637"/>
      <c r="AII96" s="637"/>
      <c r="AIJ96" s="637"/>
      <c r="AIK96" s="637"/>
      <c r="AIL96" s="637"/>
      <c r="AIM96" s="637"/>
      <c r="AIN96" s="637"/>
      <c r="AIO96" s="637"/>
      <c r="AIP96" s="637"/>
      <c r="AIQ96" s="637"/>
      <c r="AIR96" s="637"/>
      <c r="AIS96" s="637"/>
      <c r="AIT96" s="637"/>
      <c r="AIU96" s="637"/>
      <c r="AIV96" s="637"/>
      <c r="AIW96" s="637"/>
      <c r="AIX96" s="637"/>
      <c r="AIY96" s="637"/>
      <c r="AIZ96" s="637"/>
      <c r="AJA96" s="637"/>
      <c r="AJB96" s="637"/>
      <c r="AJC96" s="637"/>
      <c r="AJD96" s="637"/>
      <c r="AJE96" s="637"/>
      <c r="AJF96" s="637"/>
      <c r="AJG96" s="637"/>
      <c r="AJH96" s="637"/>
      <c r="AJI96" s="637"/>
      <c r="AJJ96" s="637"/>
      <c r="AJK96" s="637"/>
      <c r="AJL96" s="637"/>
      <c r="AJM96" s="637"/>
      <c r="AJN96" s="637"/>
      <c r="AJO96" s="637"/>
      <c r="AJP96" s="637"/>
      <c r="AJQ96" s="637"/>
      <c r="AJR96" s="637"/>
      <c r="AJS96" s="637"/>
      <c r="AJT96" s="637"/>
      <c r="AJU96" s="637"/>
      <c r="AJV96" s="637"/>
      <c r="AJW96" s="637"/>
      <c r="AJX96" s="637"/>
      <c r="AJY96" s="637"/>
      <c r="AJZ96" s="637"/>
      <c r="AKA96" s="637"/>
      <c r="AKB96" s="637"/>
      <c r="AKC96" s="637"/>
      <c r="AKD96" s="637"/>
      <c r="AKE96" s="637"/>
      <c r="AKF96" s="637"/>
      <c r="AKG96" s="637"/>
      <c r="AKH96" s="637"/>
      <c r="AKI96" s="637"/>
      <c r="AKJ96" s="637"/>
      <c r="AKK96" s="637"/>
      <c r="AKL96" s="637"/>
      <c r="AKM96" s="637"/>
      <c r="AKN96" s="637"/>
      <c r="AKO96" s="637"/>
      <c r="AKP96" s="637"/>
      <c r="AKQ96" s="637"/>
      <c r="AKR96" s="637"/>
      <c r="AKS96" s="637"/>
      <c r="AKT96" s="637"/>
      <c r="AKU96" s="637"/>
      <c r="AKV96" s="637"/>
      <c r="AKW96" s="637"/>
      <c r="AKX96" s="637"/>
      <c r="AKY96" s="637"/>
      <c r="AKZ96" s="637"/>
      <c r="ALA96" s="637"/>
      <c r="ALB96" s="637"/>
      <c r="ALC96" s="637"/>
      <c r="ALD96" s="637"/>
      <c r="ALE96" s="637"/>
      <c r="ALF96" s="637"/>
      <c r="ALG96" s="637"/>
      <c r="ALH96" s="637"/>
      <c r="ALI96" s="637"/>
      <c r="ALJ96" s="637"/>
      <c r="ALK96" s="637"/>
      <c r="ALL96" s="637"/>
      <c r="ALM96" s="637"/>
      <c r="ALN96" s="637"/>
      <c r="ALO96" s="637"/>
      <c r="ALP96" s="637"/>
      <c r="ALQ96" s="637"/>
      <c r="ALR96" s="637"/>
      <c r="ALS96" s="637"/>
      <c r="ALT96" s="637"/>
      <c r="ALU96" s="637"/>
      <c r="ALV96" s="637"/>
      <c r="ALW96" s="637"/>
      <c r="ALX96" s="637"/>
      <c r="ALY96" s="637"/>
      <c r="ALZ96" s="637"/>
      <c r="AMA96" s="637"/>
      <c r="AMB96" s="637"/>
      <c r="AMC96" s="637"/>
      <c r="AMD96" s="637"/>
      <c r="AME96" s="637"/>
      <c r="AMF96" s="637"/>
      <c r="AMG96" s="637"/>
      <c r="AMH96" s="637"/>
      <c r="AMI96" s="637"/>
      <c r="AMJ96" s="637"/>
    </row>
    <row r="97" spans="1:1024" s="638" customFormat="1" ht="12.75" hidden="1">
      <c r="A97" s="984"/>
      <c r="B97" s="985"/>
      <c r="C97" s="986"/>
      <c r="D97" s="1006"/>
      <c r="E97" s="1007">
        <v>323</v>
      </c>
      <c r="F97" s="1007">
        <f t="shared" si="10"/>
        <v>393</v>
      </c>
      <c r="G97" s="1011">
        <v>264</v>
      </c>
      <c r="H97" s="1011">
        <v>78</v>
      </c>
      <c r="I97" s="1011">
        <v>51</v>
      </c>
      <c r="J97" s="1011"/>
      <c r="K97" s="1011"/>
      <c r="L97" s="1011"/>
      <c r="M97" s="1011"/>
      <c r="N97" s="1011"/>
      <c r="O97" s="1011"/>
      <c r="P97" s="1011"/>
      <c r="Q97" s="1011"/>
      <c r="R97" s="1010"/>
      <c r="S97" s="637"/>
      <c r="T97" s="637"/>
      <c r="U97" s="637"/>
      <c r="V97" s="637"/>
      <c r="W97" s="637"/>
      <c r="X97" s="637"/>
      <c r="Y97" s="637"/>
      <c r="Z97" s="637"/>
      <c r="AA97" s="637"/>
      <c r="AB97" s="637"/>
      <c r="AC97" s="637"/>
      <c r="AD97" s="637"/>
      <c r="AE97" s="637"/>
      <c r="AF97" s="637"/>
      <c r="AG97" s="637"/>
      <c r="AH97" s="637"/>
      <c r="AI97" s="637"/>
      <c r="AJ97" s="637"/>
      <c r="AK97" s="637"/>
      <c r="AL97" s="637"/>
      <c r="AM97" s="637"/>
      <c r="AN97" s="637"/>
      <c r="AO97" s="637"/>
      <c r="AP97" s="637"/>
      <c r="AQ97" s="637"/>
      <c r="AR97" s="637"/>
      <c r="AS97" s="637"/>
      <c r="AT97" s="637"/>
      <c r="AU97" s="637"/>
      <c r="AV97" s="637"/>
      <c r="AW97" s="637"/>
      <c r="AX97" s="637"/>
      <c r="AY97" s="637"/>
      <c r="AZ97" s="637"/>
      <c r="BA97" s="637"/>
      <c r="BB97" s="637"/>
      <c r="BC97" s="637"/>
      <c r="BD97" s="637"/>
      <c r="BE97" s="637"/>
      <c r="BF97" s="637"/>
      <c r="BG97" s="637"/>
      <c r="BH97" s="637"/>
      <c r="BI97" s="637"/>
      <c r="BJ97" s="637"/>
      <c r="BK97" s="637"/>
      <c r="BL97" s="637"/>
      <c r="BM97" s="637"/>
      <c r="BN97" s="637"/>
      <c r="BO97" s="637"/>
      <c r="BP97" s="637"/>
      <c r="BQ97" s="637"/>
      <c r="BR97" s="637"/>
      <c r="BS97" s="637"/>
      <c r="BT97" s="637"/>
      <c r="BU97" s="637"/>
      <c r="BV97" s="637"/>
      <c r="BW97" s="637"/>
      <c r="BX97" s="637"/>
      <c r="BY97" s="637"/>
      <c r="BZ97" s="637"/>
      <c r="CA97" s="637"/>
      <c r="CB97" s="637"/>
      <c r="CC97" s="637"/>
      <c r="CD97" s="637"/>
      <c r="CE97" s="637"/>
      <c r="CF97" s="637"/>
      <c r="CG97" s="637"/>
      <c r="CH97" s="637"/>
      <c r="CI97" s="637"/>
      <c r="CJ97" s="637"/>
      <c r="CK97" s="637"/>
      <c r="CL97" s="637"/>
      <c r="CM97" s="637"/>
      <c r="CN97" s="637"/>
      <c r="CO97" s="637"/>
      <c r="CP97" s="637"/>
      <c r="CQ97" s="637"/>
      <c r="CR97" s="637"/>
      <c r="CS97" s="637"/>
      <c r="CT97" s="637"/>
      <c r="CU97" s="637"/>
      <c r="CV97" s="637"/>
      <c r="CW97" s="637"/>
      <c r="CX97" s="637"/>
      <c r="CY97" s="637"/>
      <c r="CZ97" s="637"/>
      <c r="DA97" s="637"/>
      <c r="DB97" s="637"/>
      <c r="DC97" s="637"/>
      <c r="DD97" s="637"/>
      <c r="DE97" s="637"/>
      <c r="DF97" s="637"/>
      <c r="DG97" s="637"/>
      <c r="DH97" s="637"/>
      <c r="DI97" s="637"/>
      <c r="DJ97" s="637"/>
      <c r="DK97" s="637"/>
      <c r="DL97" s="637"/>
      <c r="DM97" s="637"/>
      <c r="DN97" s="637"/>
      <c r="DO97" s="637"/>
      <c r="DP97" s="637"/>
      <c r="DQ97" s="637"/>
      <c r="DR97" s="637"/>
      <c r="DS97" s="637"/>
      <c r="DT97" s="637"/>
      <c r="DU97" s="637"/>
      <c r="DV97" s="637"/>
      <c r="DW97" s="637"/>
      <c r="DX97" s="637"/>
      <c r="DY97" s="637"/>
      <c r="DZ97" s="637"/>
      <c r="EA97" s="637"/>
      <c r="EB97" s="637"/>
      <c r="EC97" s="637"/>
      <c r="ED97" s="637"/>
      <c r="EE97" s="637"/>
      <c r="EF97" s="637"/>
      <c r="EG97" s="637"/>
      <c r="EH97" s="637"/>
      <c r="EI97" s="637"/>
      <c r="EJ97" s="637"/>
      <c r="EK97" s="637"/>
      <c r="EL97" s="637"/>
      <c r="EM97" s="637"/>
      <c r="EN97" s="637"/>
      <c r="EO97" s="637"/>
      <c r="EP97" s="637"/>
      <c r="EQ97" s="637"/>
      <c r="ER97" s="637"/>
      <c r="ES97" s="637"/>
      <c r="ET97" s="637"/>
      <c r="EU97" s="637"/>
      <c r="EV97" s="637"/>
      <c r="EW97" s="637"/>
      <c r="EX97" s="637"/>
      <c r="EY97" s="637"/>
      <c r="EZ97" s="637"/>
      <c r="FA97" s="637"/>
      <c r="FB97" s="637"/>
      <c r="FC97" s="637"/>
      <c r="FD97" s="637"/>
      <c r="FE97" s="637"/>
      <c r="FF97" s="637"/>
      <c r="FG97" s="637"/>
      <c r="FH97" s="637"/>
      <c r="FI97" s="637"/>
      <c r="FJ97" s="637"/>
      <c r="FK97" s="637"/>
      <c r="FL97" s="637"/>
      <c r="FM97" s="637"/>
      <c r="FN97" s="637"/>
      <c r="FO97" s="637"/>
      <c r="FP97" s="637"/>
      <c r="FQ97" s="637"/>
      <c r="FR97" s="637"/>
      <c r="FS97" s="637"/>
      <c r="FT97" s="637"/>
      <c r="FU97" s="637"/>
      <c r="FV97" s="637"/>
      <c r="FW97" s="637"/>
      <c r="FX97" s="637"/>
      <c r="FY97" s="637"/>
      <c r="FZ97" s="637"/>
      <c r="GA97" s="637"/>
      <c r="GB97" s="637"/>
      <c r="GC97" s="637"/>
      <c r="GD97" s="637"/>
      <c r="GE97" s="637"/>
      <c r="GF97" s="637"/>
      <c r="GG97" s="637"/>
      <c r="GH97" s="637"/>
      <c r="GI97" s="637"/>
      <c r="GJ97" s="637"/>
      <c r="GK97" s="637"/>
      <c r="GL97" s="637"/>
      <c r="GM97" s="637"/>
      <c r="GN97" s="637"/>
      <c r="GO97" s="637"/>
      <c r="GP97" s="637"/>
      <c r="GQ97" s="637"/>
      <c r="GR97" s="637"/>
      <c r="GS97" s="637"/>
      <c r="GT97" s="637"/>
      <c r="GU97" s="637"/>
      <c r="GV97" s="637"/>
      <c r="GW97" s="637"/>
      <c r="GX97" s="637"/>
      <c r="GY97" s="637"/>
      <c r="GZ97" s="637"/>
      <c r="HA97" s="637"/>
      <c r="HB97" s="637"/>
      <c r="HC97" s="637"/>
      <c r="HD97" s="637"/>
      <c r="HE97" s="637"/>
      <c r="HF97" s="637"/>
      <c r="HG97" s="637"/>
      <c r="HH97" s="637"/>
      <c r="HI97" s="637"/>
      <c r="HJ97" s="637"/>
      <c r="HK97" s="637"/>
      <c r="HL97" s="637"/>
      <c r="HM97" s="637"/>
      <c r="HN97" s="637"/>
      <c r="HO97" s="637"/>
      <c r="HP97" s="637"/>
      <c r="HQ97" s="637"/>
      <c r="HR97" s="637"/>
      <c r="HS97" s="637"/>
      <c r="HT97" s="637"/>
      <c r="HU97" s="637"/>
      <c r="HV97" s="637"/>
      <c r="HW97" s="637"/>
      <c r="HX97" s="637"/>
      <c r="HY97" s="637"/>
      <c r="HZ97" s="637"/>
      <c r="IA97" s="637"/>
      <c r="IB97" s="637"/>
      <c r="IC97" s="637"/>
      <c r="ID97" s="637"/>
      <c r="IE97" s="637"/>
      <c r="IF97" s="637"/>
      <c r="IG97" s="637"/>
      <c r="IH97" s="637"/>
      <c r="II97" s="637"/>
      <c r="IJ97" s="637"/>
      <c r="IK97" s="637"/>
      <c r="IL97" s="637"/>
      <c r="IM97" s="637"/>
      <c r="IN97" s="637"/>
      <c r="IO97" s="637"/>
      <c r="IP97" s="637"/>
      <c r="IQ97" s="637"/>
      <c r="IR97" s="637"/>
      <c r="IS97" s="637"/>
      <c r="IT97" s="637"/>
      <c r="IU97" s="637"/>
      <c r="IV97" s="637"/>
      <c r="IW97" s="637"/>
      <c r="IX97" s="637"/>
      <c r="IY97" s="637"/>
      <c r="IZ97" s="637"/>
      <c r="JA97" s="637"/>
      <c r="JB97" s="637"/>
      <c r="JC97" s="637"/>
      <c r="JD97" s="637"/>
      <c r="JE97" s="637"/>
      <c r="JF97" s="637"/>
      <c r="JG97" s="637"/>
      <c r="JH97" s="637"/>
      <c r="JI97" s="637"/>
      <c r="JJ97" s="637"/>
      <c r="JK97" s="637"/>
      <c r="JL97" s="637"/>
      <c r="JM97" s="637"/>
      <c r="JN97" s="637"/>
      <c r="JO97" s="637"/>
      <c r="JP97" s="637"/>
      <c r="JQ97" s="637"/>
      <c r="JR97" s="637"/>
      <c r="JS97" s="637"/>
      <c r="JT97" s="637"/>
      <c r="JU97" s="637"/>
      <c r="JV97" s="637"/>
      <c r="JW97" s="637"/>
      <c r="JX97" s="637"/>
      <c r="JY97" s="637"/>
      <c r="JZ97" s="637"/>
      <c r="KA97" s="637"/>
      <c r="KB97" s="637"/>
      <c r="KC97" s="637"/>
      <c r="KD97" s="637"/>
      <c r="KE97" s="637"/>
      <c r="KF97" s="637"/>
      <c r="KG97" s="637"/>
      <c r="KH97" s="637"/>
      <c r="KI97" s="637"/>
      <c r="KJ97" s="637"/>
      <c r="KK97" s="637"/>
      <c r="KL97" s="637"/>
      <c r="KM97" s="637"/>
      <c r="KN97" s="637"/>
      <c r="KO97" s="637"/>
      <c r="KP97" s="637"/>
      <c r="KQ97" s="637"/>
      <c r="KR97" s="637"/>
      <c r="KS97" s="637"/>
      <c r="KT97" s="637"/>
      <c r="KU97" s="637"/>
      <c r="KV97" s="637"/>
      <c r="KW97" s="637"/>
      <c r="KX97" s="637"/>
      <c r="KY97" s="637"/>
      <c r="KZ97" s="637"/>
      <c r="LA97" s="637"/>
      <c r="LB97" s="637"/>
      <c r="LC97" s="637"/>
      <c r="LD97" s="637"/>
      <c r="LE97" s="637"/>
      <c r="LF97" s="637"/>
      <c r="LG97" s="637"/>
      <c r="LH97" s="637"/>
      <c r="LI97" s="637"/>
      <c r="LJ97" s="637"/>
      <c r="LK97" s="637"/>
      <c r="LL97" s="637"/>
      <c r="LM97" s="637"/>
      <c r="LN97" s="637"/>
      <c r="LO97" s="637"/>
      <c r="LP97" s="637"/>
      <c r="LQ97" s="637"/>
      <c r="LR97" s="637"/>
      <c r="LS97" s="637"/>
      <c r="LT97" s="637"/>
      <c r="LU97" s="637"/>
      <c r="LV97" s="637"/>
      <c r="LW97" s="637"/>
      <c r="LX97" s="637"/>
      <c r="LY97" s="637"/>
      <c r="LZ97" s="637"/>
      <c r="MA97" s="637"/>
      <c r="MB97" s="637"/>
      <c r="MC97" s="637"/>
      <c r="MD97" s="637"/>
      <c r="ME97" s="637"/>
      <c r="MF97" s="637"/>
      <c r="MG97" s="637"/>
      <c r="MH97" s="637"/>
      <c r="MI97" s="637"/>
      <c r="MJ97" s="637"/>
      <c r="MK97" s="637"/>
      <c r="ML97" s="637"/>
      <c r="MM97" s="637"/>
      <c r="MN97" s="637"/>
      <c r="MO97" s="637"/>
      <c r="MP97" s="637"/>
      <c r="MQ97" s="637"/>
      <c r="MR97" s="637"/>
      <c r="MS97" s="637"/>
      <c r="MT97" s="637"/>
      <c r="MU97" s="637"/>
      <c r="MV97" s="637"/>
      <c r="MW97" s="637"/>
      <c r="MX97" s="637"/>
      <c r="MY97" s="637"/>
      <c r="MZ97" s="637"/>
      <c r="NA97" s="637"/>
      <c r="NB97" s="637"/>
      <c r="NC97" s="637"/>
      <c r="ND97" s="637"/>
      <c r="NE97" s="637"/>
      <c r="NF97" s="637"/>
      <c r="NG97" s="637"/>
      <c r="NH97" s="637"/>
      <c r="NI97" s="637"/>
      <c r="NJ97" s="637"/>
      <c r="NK97" s="637"/>
      <c r="NL97" s="637"/>
      <c r="NM97" s="637"/>
      <c r="NN97" s="637"/>
      <c r="NO97" s="637"/>
      <c r="NP97" s="637"/>
      <c r="NQ97" s="637"/>
      <c r="NR97" s="637"/>
      <c r="NS97" s="637"/>
      <c r="NT97" s="637"/>
      <c r="NU97" s="637"/>
      <c r="NV97" s="637"/>
      <c r="NW97" s="637"/>
      <c r="NX97" s="637"/>
      <c r="NY97" s="637"/>
      <c r="NZ97" s="637"/>
      <c r="OA97" s="637"/>
      <c r="OB97" s="637"/>
      <c r="OC97" s="637"/>
      <c r="OD97" s="637"/>
      <c r="OE97" s="637"/>
      <c r="OF97" s="637"/>
      <c r="OG97" s="637"/>
      <c r="OH97" s="637"/>
      <c r="OI97" s="637"/>
      <c r="OJ97" s="637"/>
      <c r="OK97" s="637"/>
      <c r="OL97" s="637"/>
      <c r="OM97" s="637"/>
      <c r="ON97" s="637"/>
      <c r="OO97" s="637"/>
      <c r="OP97" s="637"/>
      <c r="OQ97" s="637"/>
      <c r="OR97" s="637"/>
      <c r="OS97" s="637"/>
      <c r="OT97" s="637"/>
      <c r="OU97" s="637"/>
      <c r="OV97" s="637"/>
      <c r="OW97" s="637"/>
      <c r="OX97" s="637"/>
      <c r="OY97" s="637"/>
      <c r="OZ97" s="637"/>
      <c r="PA97" s="637"/>
      <c r="PB97" s="637"/>
      <c r="PC97" s="637"/>
      <c r="PD97" s="637"/>
      <c r="PE97" s="637"/>
      <c r="PF97" s="637"/>
      <c r="PG97" s="637"/>
      <c r="PH97" s="637"/>
      <c r="PI97" s="637"/>
      <c r="PJ97" s="637"/>
      <c r="PK97" s="637"/>
      <c r="PL97" s="637"/>
      <c r="PM97" s="637"/>
      <c r="PN97" s="637"/>
      <c r="PO97" s="637"/>
      <c r="PP97" s="637"/>
      <c r="PQ97" s="637"/>
      <c r="PR97" s="637"/>
      <c r="PS97" s="637"/>
      <c r="PT97" s="637"/>
      <c r="PU97" s="637"/>
      <c r="PV97" s="637"/>
      <c r="PW97" s="637"/>
      <c r="PX97" s="637"/>
      <c r="PY97" s="637"/>
      <c r="PZ97" s="637"/>
      <c r="QA97" s="637"/>
      <c r="QB97" s="637"/>
      <c r="QC97" s="637"/>
      <c r="QD97" s="637"/>
      <c r="QE97" s="637"/>
      <c r="QF97" s="637"/>
      <c r="QG97" s="637"/>
      <c r="QH97" s="637"/>
      <c r="QI97" s="637"/>
      <c r="QJ97" s="637"/>
      <c r="QK97" s="637"/>
      <c r="QL97" s="637"/>
      <c r="QM97" s="637"/>
      <c r="QN97" s="637"/>
      <c r="QO97" s="637"/>
      <c r="QP97" s="637"/>
      <c r="QQ97" s="637"/>
      <c r="QR97" s="637"/>
      <c r="QS97" s="637"/>
      <c r="QT97" s="637"/>
      <c r="QU97" s="637"/>
      <c r="QV97" s="637"/>
      <c r="QW97" s="637"/>
      <c r="QX97" s="637"/>
      <c r="QY97" s="637"/>
      <c r="QZ97" s="637"/>
      <c r="RA97" s="637"/>
      <c r="RB97" s="637"/>
      <c r="RC97" s="637"/>
      <c r="RD97" s="637"/>
      <c r="RE97" s="637"/>
      <c r="RF97" s="637"/>
      <c r="RG97" s="637"/>
      <c r="RH97" s="637"/>
      <c r="RI97" s="637"/>
      <c r="RJ97" s="637"/>
      <c r="RK97" s="637"/>
      <c r="RL97" s="637"/>
      <c r="RM97" s="637"/>
      <c r="RN97" s="637"/>
      <c r="RO97" s="637"/>
      <c r="RP97" s="637"/>
      <c r="RQ97" s="637"/>
      <c r="RR97" s="637"/>
      <c r="RS97" s="637"/>
      <c r="RT97" s="637"/>
      <c r="RU97" s="637"/>
      <c r="RV97" s="637"/>
      <c r="RW97" s="637"/>
      <c r="RX97" s="637"/>
      <c r="RY97" s="637"/>
      <c r="RZ97" s="637"/>
      <c r="SA97" s="637"/>
      <c r="SB97" s="637"/>
      <c r="SC97" s="637"/>
      <c r="SD97" s="637"/>
      <c r="SE97" s="637"/>
      <c r="SF97" s="637"/>
      <c r="SG97" s="637"/>
      <c r="SH97" s="637"/>
      <c r="SI97" s="637"/>
      <c r="SJ97" s="637"/>
      <c r="SK97" s="637"/>
      <c r="SL97" s="637"/>
      <c r="SM97" s="637"/>
      <c r="SN97" s="637"/>
      <c r="SO97" s="637"/>
      <c r="SP97" s="637"/>
      <c r="SQ97" s="637"/>
      <c r="SR97" s="637"/>
      <c r="SS97" s="637"/>
      <c r="ST97" s="637"/>
      <c r="SU97" s="637"/>
      <c r="SV97" s="637"/>
      <c r="SW97" s="637"/>
      <c r="SX97" s="637"/>
      <c r="SY97" s="637"/>
      <c r="SZ97" s="637"/>
      <c r="TA97" s="637"/>
      <c r="TB97" s="637"/>
      <c r="TC97" s="637"/>
      <c r="TD97" s="637"/>
      <c r="TE97" s="637"/>
      <c r="TF97" s="637"/>
      <c r="TG97" s="637"/>
      <c r="TH97" s="637"/>
      <c r="TI97" s="637"/>
      <c r="TJ97" s="637"/>
      <c r="TK97" s="637"/>
      <c r="TL97" s="637"/>
      <c r="TM97" s="637"/>
      <c r="TN97" s="637"/>
      <c r="TO97" s="637"/>
      <c r="TP97" s="637"/>
      <c r="TQ97" s="637"/>
      <c r="TR97" s="637"/>
      <c r="TS97" s="637"/>
      <c r="TT97" s="637"/>
      <c r="TU97" s="637"/>
      <c r="TV97" s="637"/>
      <c r="TW97" s="637"/>
      <c r="TX97" s="637"/>
      <c r="TY97" s="637"/>
      <c r="TZ97" s="637"/>
      <c r="UA97" s="637"/>
      <c r="UB97" s="637"/>
      <c r="UC97" s="637"/>
      <c r="UD97" s="637"/>
      <c r="UE97" s="637"/>
      <c r="UF97" s="637"/>
      <c r="UG97" s="637"/>
      <c r="UH97" s="637"/>
      <c r="UI97" s="637"/>
      <c r="UJ97" s="637"/>
      <c r="UK97" s="637"/>
      <c r="UL97" s="637"/>
      <c r="UM97" s="637"/>
      <c r="UN97" s="637"/>
      <c r="UO97" s="637"/>
      <c r="UP97" s="637"/>
      <c r="UQ97" s="637"/>
      <c r="UR97" s="637"/>
      <c r="US97" s="637"/>
      <c r="UT97" s="637"/>
      <c r="UU97" s="637"/>
      <c r="UV97" s="637"/>
      <c r="UW97" s="637"/>
      <c r="UX97" s="637"/>
      <c r="UY97" s="637"/>
      <c r="UZ97" s="637"/>
      <c r="VA97" s="637"/>
      <c r="VB97" s="637"/>
      <c r="VC97" s="637"/>
      <c r="VD97" s="637"/>
      <c r="VE97" s="637"/>
      <c r="VF97" s="637"/>
      <c r="VG97" s="637"/>
      <c r="VH97" s="637"/>
      <c r="VI97" s="637"/>
      <c r="VJ97" s="637"/>
      <c r="VK97" s="637"/>
      <c r="VL97" s="637"/>
      <c r="VM97" s="637"/>
      <c r="VN97" s="637"/>
      <c r="VO97" s="637"/>
      <c r="VP97" s="637"/>
      <c r="VQ97" s="637"/>
      <c r="VR97" s="637"/>
      <c r="VS97" s="637"/>
      <c r="VT97" s="637"/>
      <c r="VU97" s="637"/>
      <c r="VV97" s="637"/>
      <c r="VW97" s="637"/>
      <c r="VX97" s="637"/>
      <c r="VY97" s="637"/>
      <c r="VZ97" s="637"/>
      <c r="WA97" s="637"/>
      <c r="WB97" s="637"/>
      <c r="WC97" s="637"/>
      <c r="WD97" s="637"/>
      <c r="WE97" s="637"/>
      <c r="WF97" s="637"/>
      <c r="WG97" s="637"/>
      <c r="WH97" s="637"/>
      <c r="WI97" s="637"/>
      <c r="WJ97" s="637"/>
      <c r="WK97" s="637"/>
      <c r="WL97" s="637"/>
      <c r="WM97" s="637"/>
      <c r="WN97" s="637"/>
      <c r="WO97" s="637"/>
      <c r="WP97" s="637"/>
      <c r="WQ97" s="637"/>
      <c r="WR97" s="637"/>
      <c r="WS97" s="637"/>
      <c r="WT97" s="637"/>
      <c r="WU97" s="637"/>
      <c r="WV97" s="637"/>
      <c r="WW97" s="637"/>
      <c r="WX97" s="637"/>
      <c r="WY97" s="637"/>
      <c r="WZ97" s="637"/>
      <c r="XA97" s="637"/>
      <c r="XB97" s="637"/>
      <c r="XC97" s="637"/>
      <c r="XD97" s="637"/>
      <c r="XE97" s="637"/>
      <c r="XF97" s="637"/>
      <c r="XG97" s="637"/>
      <c r="XH97" s="637"/>
      <c r="XI97" s="637"/>
      <c r="XJ97" s="637"/>
      <c r="XK97" s="637"/>
      <c r="XL97" s="637"/>
      <c r="XM97" s="637"/>
      <c r="XN97" s="637"/>
      <c r="XO97" s="637"/>
      <c r="XP97" s="637"/>
      <c r="XQ97" s="637"/>
      <c r="XR97" s="637"/>
      <c r="XS97" s="637"/>
      <c r="XT97" s="637"/>
      <c r="XU97" s="637"/>
      <c r="XV97" s="637"/>
      <c r="XW97" s="637"/>
      <c r="XX97" s="637"/>
      <c r="XY97" s="637"/>
      <c r="XZ97" s="637"/>
      <c r="YA97" s="637"/>
      <c r="YB97" s="637"/>
      <c r="YC97" s="637"/>
      <c r="YD97" s="637"/>
      <c r="YE97" s="637"/>
      <c r="YF97" s="637"/>
      <c r="YG97" s="637"/>
      <c r="YH97" s="637"/>
      <c r="YI97" s="637"/>
      <c r="YJ97" s="637"/>
      <c r="YK97" s="637"/>
      <c r="YL97" s="637"/>
      <c r="YM97" s="637"/>
      <c r="YN97" s="637"/>
      <c r="YO97" s="637"/>
      <c r="YP97" s="637"/>
      <c r="YQ97" s="637"/>
      <c r="YR97" s="637"/>
      <c r="YS97" s="637"/>
      <c r="YT97" s="637"/>
      <c r="YU97" s="637"/>
      <c r="YV97" s="637"/>
      <c r="YW97" s="637"/>
      <c r="YX97" s="637"/>
      <c r="YY97" s="637"/>
      <c r="YZ97" s="637"/>
      <c r="ZA97" s="637"/>
      <c r="ZB97" s="637"/>
      <c r="ZC97" s="637"/>
      <c r="ZD97" s="637"/>
      <c r="ZE97" s="637"/>
      <c r="ZF97" s="637"/>
      <c r="ZG97" s="637"/>
      <c r="ZH97" s="637"/>
      <c r="ZI97" s="637"/>
      <c r="ZJ97" s="637"/>
      <c r="ZK97" s="637"/>
      <c r="ZL97" s="637"/>
      <c r="ZM97" s="637"/>
      <c r="ZN97" s="637"/>
      <c r="ZO97" s="637"/>
      <c r="ZP97" s="637"/>
      <c r="ZQ97" s="637"/>
      <c r="ZR97" s="637"/>
      <c r="ZS97" s="637"/>
      <c r="ZT97" s="637"/>
      <c r="ZU97" s="637"/>
      <c r="ZV97" s="637"/>
      <c r="ZW97" s="637"/>
      <c r="ZX97" s="637"/>
      <c r="ZY97" s="637"/>
      <c r="ZZ97" s="637"/>
      <c r="AAA97" s="637"/>
      <c r="AAB97" s="637"/>
      <c r="AAC97" s="637"/>
      <c r="AAD97" s="637"/>
      <c r="AAE97" s="637"/>
      <c r="AAF97" s="637"/>
      <c r="AAG97" s="637"/>
      <c r="AAH97" s="637"/>
      <c r="AAI97" s="637"/>
      <c r="AAJ97" s="637"/>
      <c r="AAK97" s="637"/>
      <c r="AAL97" s="637"/>
      <c r="AAM97" s="637"/>
      <c r="AAN97" s="637"/>
      <c r="AAO97" s="637"/>
      <c r="AAP97" s="637"/>
      <c r="AAQ97" s="637"/>
      <c r="AAR97" s="637"/>
      <c r="AAS97" s="637"/>
      <c r="AAT97" s="637"/>
      <c r="AAU97" s="637"/>
      <c r="AAV97" s="637"/>
      <c r="AAW97" s="637"/>
      <c r="AAX97" s="637"/>
      <c r="AAY97" s="637"/>
      <c r="AAZ97" s="637"/>
      <c r="ABA97" s="637"/>
      <c r="ABB97" s="637"/>
      <c r="ABC97" s="637"/>
      <c r="ABD97" s="637"/>
      <c r="ABE97" s="637"/>
      <c r="ABF97" s="637"/>
      <c r="ABG97" s="637"/>
      <c r="ABH97" s="637"/>
      <c r="ABI97" s="637"/>
      <c r="ABJ97" s="637"/>
      <c r="ABK97" s="637"/>
      <c r="ABL97" s="637"/>
      <c r="ABM97" s="637"/>
      <c r="ABN97" s="637"/>
      <c r="ABO97" s="637"/>
      <c r="ABP97" s="637"/>
      <c r="ABQ97" s="637"/>
      <c r="ABR97" s="637"/>
      <c r="ABS97" s="637"/>
      <c r="ABT97" s="637"/>
      <c r="ABU97" s="637"/>
      <c r="ABV97" s="637"/>
      <c r="ABW97" s="637"/>
      <c r="ABX97" s="637"/>
      <c r="ABY97" s="637"/>
      <c r="ABZ97" s="637"/>
      <c r="ACA97" s="637"/>
      <c r="ACB97" s="637"/>
      <c r="ACC97" s="637"/>
      <c r="ACD97" s="637"/>
      <c r="ACE97" s="637"/>
      <c r="ACF97" s="637"/>
      <c r="ACG97" s="637"/>
      <c r="ACH97" s="637"/>
      <c r="ACI97" s="637"/>
      <c r="ACJ97" s="637"/>
      <c r="ACK97" s="637"/>
      <c r="ACL97" s="637"/>
      <c r="ACM97" s="637"/>
      <c r="ACN97" s="637"/>
      <c r="ACO97" s="637"/>
      <c r="ACP97" s="637"/>
      <c r="ACQ97" s="637"/>
      <c r="ACR97" s="637"/>
      <c r="ACS97" s="637"/>
      <c r="ACT97" s="637"/>
      <c r="ACU97" s="637"/>
      <c r="ACV97" s="637"/>
      <c r="ACW97" s="637"/>
      <c r="ACX97" s="637"/>
      <c r="ACY97" s="637"/>
      <c r="ACZ97" s="637"/>
      <c r="ADA97" s="637"/>
      <c r="ADB97" s="637"/>
      <c r="ADC97" s="637"/>
      <c r="ADD97" s="637"/>
      <c r="ADE97" s="637"/>
      <c r="ADF97" s="637"/>
      <c r="ADG97" s="637"/>
      <c r="ADH97" s="637"/>
      <c r="ADI97" s="637"/>
      <c r="ADJ97" s="637"/>
      <c r="ADK97" s="637"/>
      <c r="ADL97" s="637"/>
      <c r="ADM97" s="637"/>
      <c r="ADN97" s="637"/>
      <c r="ADO97" s="637"/>
      <c r="ADP97" s="637"/>
      <c r="ADQ97" s="637"/>
      <c r="ADR97" s="637"/>
      <c r="ADS97" s="637"/>
      <c r="ADT97" s="637"/>
      <c r="ADU97" s="637"/>
      <c r="ADV97" s="637"/>
      <c r="ADW97" s="637"/>
      <c r="ADX97" s="637"/>
      <c r="ADY97" s="637"/>
      <c r="ADZ97" s="637"/>
      <c r="AEA97" s="637"/>
      <c r="AEB97" s="637"/>
      <c r="AEC97" s="637"/>
      <c r="AED97" s="637"/>
      <c r="AEE97" s="637"/>
      <c r="AEF97" s="637"/>
      <c r="AEG97" s="637"/>
      <c r="AEH97" s="637"/>
      <c r="AEI97" s="637"/>
      <c r="AEJ97" s="637"/>
      <c r="AEK97" s="637"/>
      <c r="AEL97" s="637"/>
      <c r="AEM97" s="637"/>
      <c r="AEN97" s="637"/>
      <c r="AEO97" s="637"/>
      <c r="AEP97" s="637"/>
      <c r="AEQ97" s="637"/>
      <c r="AER97" s="637"/>
      <c r="AES97" s="637"/>
      <c r="AET97" s="637"/>
      <c r="AEU97" s="637"/>
      <c r="AEV97" s="637"/>
      <c r="AEW97" s="637"/>
      <c r="AEX97" s="637"/>
      <c r="AEY97" s="637"/>
      <c r="AEZ97" s="637"/>
      <c r="AFA97" s="637"/>
      <c r="AFB97" s="637"/>
      <c r="AFC97" s="637"/>
      <c r="AFD97" s="637"/>
      <c r="AFE97" s="637"/>
      <c r="AFF97" s="637"/>
      <c r="AFG97" s="637"/>
      <c r="AFH97" s="637"/>
      <c r="AFI97" s="637"/>
      <c r="AFJ97" s="637"/>
      <c r="AFK97" s="637"/>
      <c r="AFL97" s="637"/>
      <c r="AFM97" s="637"/>
      <c r="AFN97" s="637"/>
      <c r="AFO97" s="637"/>
      <c r="AFP97" s="637"/>
      <c r="AFQ97" s="637"/>
      <c r="AFR97" s="637"/>
      <c r="AFS97" s="637"/>
      <c r="AFT97" s="637"/>
      <c r="AFU97" s="637"/>
      <c r="AFV97" s="637"/>
      <c r="AFW97" s="637"/>
      <c r="AFX97" s="637"/>
      <c r="AFY97" s="637"/>
      <c r="AFZ97" s="637"/>
      <c r="AGA97" s="637"/>
      <c r="AGB97" s="637"/>
      <c r="AGC97" s="637"/>
      <c r="AGD97" s="637"/>
      <c r="AGE97" s="637"/>
      <c r="AGF97" s="637"/>
      <c r="AGG97" s="637"/>
      <c r="AGH97" s="637"/>
      <c r="AGI97" s="637"/>
      <c r="AGJ97" s="637"/>
      <c r="AGK97" s="637"/>
      <c r="AGL97" s="637"/>
      <c r="AGM97" s="637"/>
      <c r="AGN97" s="637"/>
      <c r="AGO97" s="637"/>
      <c r="AGP97" s="637"/>
      <c r="AGQ97" s="637"/>
      <c r="AGR97" s="637"/>
      <c r="AGS97" s="637"/>
      <c r="AGT97" s="637"/>
      <c r="AGU97" s="637"/>
      <c r="AGV97" s="637"/>
      <c r="AGW97" s="637"/>
      <c r="AGX97" s="637"/>
      <c r="AGY97" s="637"/>
      <c r="AGZ97" s="637"/>
      <c r="AHA97" s="637"/>
      <c r="AHB97" s="637"/>
      <c r="AHC97" s="637"/>
      <c r="AHD97" s="637"/>
      <c r="AHE97" s="637"/>
      <c r="AHF97" s="637"/>
      <c r="AHG97" s="637"/>
      <c r="AHH97" s="637"/>
      <c r="AHI97" s="637"/>
      <c r="AHJ97" s="637"/>
      <c r="AHK97" s="637"/>
      <c r="AHL97" s="637"/>
      <c r="AHM97" s="637"/>
      <c r="AHN97" s="637"/>
      <c r="AHO97" s="637"/>
      <c r="AHP97" s="637"/>
      <c r="AHQ97" s="637"/>
      <c r="AHR97" s="637"/>
      <c r="AHS97" s="637"/>
      <c r="AHT97" s="637"/>
      <c r="AHU97" s="637"/>
      <c r="AHV97" s="637"/>
      <c r="AHW97" s="637"/>
      <c r="AHX97" s="637"/>
      <c r="AHY97" s="637"/>
      <c r="AHZ97" s="637"/>
      <c r="AIA97" s="637"/>
      <c r="AIB97" s="637"/>
      <c r="AIC97" s="637"/>
      <c r="AID97" s="637"/>
      <c r="AIE97" s="637"/>
      <c r="AIF97" s="637"/>
      <c r="AIG97" s="637"/>
      <c r="AIH97" s="637"/>
      <c r="AII97" s="637"/>
      <c r="AIJ97" s="637"/>
      <c r="AIK97" s="637"/>
      <c r="AIL97" s="637"/>
      <c r="AIM97" s="637"/>
      <c r="AIN97" s="637"/>
      <c r="AIO97" s="637"/>
      <c r="AIP97" s="637"/>
      <c r="AIQ97" s="637"/>
      <c r="AIR97" s="637"/>
      <c r="AIS97" s="637"/>
      <c r="AIT97" s="637"/>
      <c r="AIU97" s="637"/>
      <c r="AIV97" s="637"/>
      <c r="AIW97" s="637"/>
      <c r="AIX97" s="637"/>
      <c r="AIY97" s="637"/>
      <c r="AIZ97" s="637"/>
      <c r="AJA97" s="637"/>
      <c r="AJB97" s="637"/>
      <c r="AJC97" s="637"/>
      <c r="AJD97" s="637"/>
      <c r="AJE97" s="637"/>
      <c r="AJF97" s="637"/>
      <c r="AJG97" s="637"/>
      <c r="AJH97" s="637"/>
      <c r="AJI97" s="637"/>
      <c r="AJJ97" s="637"/>
      <c r="AJK97" s="637"/>
      <c r="AJL97" s="637"/>
      <c r="AJM97" s="637"/>
      <c r="AJN97" s="637"/>
      <c r="AJO97" s="637"/>
      <c r="AJP97" s="637"/>
      <c r="AJQ97" s="637"/>
      <c r="AJR97" s="637"/>
      <c r="AJS97" s="637"/>
      <c r="AJT97" s="637"/>
      <c r="AJU97" s="637"/>
      <c r="AJV97" s="637"/>
      <c r="AJW97" s="637"/>
      <c r="AJX97" s="637"/>
      <c r="AJY97" s="637"/>
      <c r="AJZ97" s="637"/>
      <c r="AKA97" s="637"/>
      <c r="AKB97" s="637"/>
      <c r="AKC97" s="637"/>
      <c r="AKD97" s="637"/>
      <c r="AKE97" s="637"/>
      <c r="AKF97" s="637"/>
      <c r="AKG97" s="637"/>
      <c r="AKH97" s="637"/>
      <c r="AKI97" s="637"/>
      <c r="AKJ97" s="637"/>
      <c r="AKK97" s="637"/>
      <c r="AKL97" s="637"/>
      <c r="AKM97" s="637"/>
      <c r="AKN97" s="637"/>
      <c r="AKO97" s="637"/>
      <c r="AKP97" s="637"/>
      <c r="AKQ97" s="637"/>
      <c r="AKR97" s="637"/>
      <c r="AKS97" s="637"/>
      <c r="AKT97" s="637"/>
      <c r="AKU97" s="637"/>
      <c r="AKV97" s="637"/>
      <c r="AKW97" s="637"/>
      <c r="AKX97" s="637"/>
      <c r="AKY97" s="637"/>
      <c r="AKZ97" s="637"/>
      <c r="ALA97" s="637"/>
      <c r="ALB97" s="637"/>
      <c r="ALC97" s="637"/>
      <c r="ALD97" s="637"/>
      <c r="ALE97" s="637"/>
      <c r="ALF97" s="637"/>
      <c r="ALG97" s="637"/>
      <c r="ALH97" s="637"/>
      <c r="ALI97" s="637"/>
      <c r="ALJ97" s="637"/>
      <c r="ALK97" s="637"/>
      <c r="ALL97" s="637"/>
      <c r="ALM97" s="637"/>
      <c r="ALN97" s="637"/>
      <c r="ALO97" s="637"/>
      <c r="ALP97" s="637"/>
      <c r="ALQ97" s="637"/>
      <c r="ALR97" s="637"/>
      <c r="ALS97" s="637"/>
      <c r="ALT97" s="637"/>
      <c r="ALU97" s="637"/>
      <c r="ALV97" s="637"/>
      <c r="ALW97" s="637"/>
      <c r="ALX97" s="637"/>
      <c r="ALY97" s="637"/>
      <c r="ALZ97" s="637"/>
      <c r="AMA97" s="637"/>
      <c r="AMB97" s="637"/>
      <c r="AMC97" s="637"/>
      <c r="AMD97" s="637"/>
      <c r="AME97" s="637"/>
      <c r="AMF97" s="637"/>
      <c r="AMG97" s="637"/>
      <c r="AMH97" s="637"/>
      <c r="AMI97" s="637"/>
      <c r="AMJ97" s="637"/>
    </row>
    <row r="98" spans="1:1024" s="638" customFormat="1" ht="12.75">
      <c r="A98" s="984" t="s">
        <v>120</v>
      </c>
      <c r="B98" s="985" t="s">
        <v>137</v>
      </c>
      <c r="C98" s="986" t="s">
        <v>123</v>
      </c>
      <c r="D98" s="981" t="s">
        <v>4</v>
      </c>
      <c r="E98" s="982">
        <v>22200</v>
      </c>
      <c r="F98" s="982">
        <f t="shared" si="10"/>
        <v>0</v>
      </c>
      <c r="G98" s="987"/>
      <c r="H98" s="987"/>
      <c r="I98" s="987"/>
      <c r="J98" s="987"/>
      <c r="K98" s="987"/>
      <c r="L98" s="987"/>
      <c r="M98" s="987"/>
      <c r="N98" s="987"/>
      <c r="O98" s="987"/>
      <c r="P98" s="987"/>
      <c r="Q98" s="987"/>
      <c r="R98" s="984"/>
      <c r="S98" s="637"/>
      <c r="T98" s="637"/>
      <c r="U98" s="637"/>
      <c r="V98" s="637"/>
      <c r="W98" s="637"/>
      <c r="X98" s="637"/>
      <c r="Y98" s="637"/>
      <c r="Z98" s="637"/>
      <c r="AA98" s="637"/>
      <c r="AB98" s="637"/>
      <c r="AC98" s="637"/>
      <c r="AD98" s="637"/>
      <c r="AE98" s="637"/>
      <c r="AF98" s="637"/>
      <c r="AG98" s="637"/>
      <c r="AH98" s="637"/>
      <c r="AI98" s="637"/>
      <c r="AJ98" s="637"/>
      <c r="AK98" s="637"/>
      <c r="AL98" s="637"/>
      <c r="AM98" s="637"/>
      <c r="AN98" s="637"/>
      <c r="AO98" s="637"/>
      <c r="AP98" s="637"/>
      <c r="AQ98" s="637"/>
      <c r="AR98" s="637"/>
      <c r="AS98" s="637"/>
      <c r="AT98" s="637"/>
      <c r="AU98" s="637"/>
      <c r="AV98" s="637"/>
      <c r="AW98" s="637"/>
      <c r="AX98" s="637"/>
      <c r="AY98" s="637"/>
      <c r="AZ98" s="637"/>
      <c r="BA98" s="637"/>
      <c r="BB98" s="637"/>
      <c r="BC98" s="637"/>
      <c r="BD98" s="637"/>
      <c r="BE98" s="637"/>
      <c r="BF98" s="637"/>
      <c r="BG98" s="637"/>
      <c r="BH98" s="637"/>
      <c r="BI98" s="637"/>
      <c r="BJ98" s="637"/>
      <c r="BK98" s="637"/>
      <c r="BL98" s="637"/>
      <c r="BM98" s="637"/>
      <c r="BN98" s="637"/>
      <c r="BO98" s="637"/>
      <c r="BP98" s="637"/>
      <c r="BQ98" s="637"/>
      <c r="BR98" s="637"/>
      <c r="BS98" s="637"/>
      <c r="BT98" s="637"/>
      <c r="BU98" s="637"/>
      <c r="BV98" s="637"/>
      <c r="BW98" s="637"/>
      <c r="BX98" s="637"/>
      <c r="BY98" s="637"/>
      <c r="BZ98" s="637"/>
      <c r="CA98" s="637"/>
      <c r="CB98" s="637"/>
      <c r="CC98" s="637"/>
      <c r="CD98" s="637"/>
      <c r="CE98" s="637"/>
      <c r="CF98" s="637"/>
      <c r="CG98" s="637"/>
      <c r="CH98" s="637"/>
      <c r="CI98" s="637"/>
      <c r="CJ98" s="637"/>
      <c r="CK98" s="637"/>
      <c r="CL98" s="637"/>
      <c r="CM98" s="637"/>
      <c r="CN98" s="637"/>
      <c r="CO98" s="637"/>
      <c r="CP98" s="637"/>
      <c r="CQ98" s="637"/>
      <c r="CR98" s="637"/>
      <c r="CS98" s="637"/>
      <c r="CT98" s="637"/>
      <c r="CU98" s="637"/>
      <c r="CV98" s="637"/>
      <c r="CW98" s="637"/>
      <c r="CX98" s="637"/>
      <c r="CY98" s="637"/>
      <c r="CZ98" s="637"/>
      <c r="DA98" s="637"/>
      <c r="DB98" s="637"/>
      <c r="DC98" s="637"/>
      <c r="DD98" s="637"/>
      <c r="DE98" s="637"/>
      <c r="DF98" s="637"/>
      <c r="DG98" s="637"/>
      <c r="DH98" s="637"/>
      <c r="DI98" s="637"/>
      <c r="DJ98" s="637"/>
      <c r="DK98" s="637"/>
      <c r="DL98" s="637"/>
      <c r="DM98" s="637"/>
      <c r="DN98" s="637"/>
      <c r="DO98" s="637"/>
      <c r="DP98" s="637"/>
      <c r="DQ98" s="637"/>
      <c r="DR98" s="637"/>
      <c r="DS98" s="637"/>
      <c r="DT98" s="637"/>
      <c r="DU98" s="637"/>
      <c r="DV98" s="637"/>
      <c r="DW98" s="637"/>
      <c r="DX98" s="637"/>
      <c r="DY98" s="637"/>
      <c r="DZ98" s="637"/>
      <c r="EA98" s="637"/>
      <c r="EB98" s="637"/>
      <c r="EC98" s="637"/>
      <c r="ED98" s="637"/>
      <c r="EE98" s="637"/>
      <c r="EF98" s="637"/>
      <c r="EG98" s="637"/>
      <c r="EH98" s="637"/>
      <c r="EI98" s="637"/>
      <c r="EJ98" s="637"/>
      <c r="EK98" s="637"/>
      <c r="EL98" s="637"/>
      <c r="EM98" s="637"/>
      <c r="EN98" s="637"/>
      <c r="EO98" s="637"/>
      <c r="EP98" s="637"/>
      <c r="EQ98" s="637"/>
      <c r="ER98" s="637"/>
      <c r="ES98" s="637"/>
      <c r="ET98" s="637"/>
      <c r="EU98" s="637"/>
      <c r="EV98" s="637"/>
      <c r="EW98" s="637"/>
      <c r="EX98" s="637"/>
      <c r="EY98" s="637"/>
      <c r="EZ98" s="637"/>
      <c r="FA98" s="637"/>
      <c r="FB98" s="637"/>
      <c r="FC98" s="637"/>
      <c r="FD98" s="637"/>
      <c r="FE98" s="637"/>
      <c r="FF98" s="637"/>
      <c r="FG98" s="637"/>
      <c r="FH98" s="637"/>
      <c r="FI98" s="637"/>
      <c r="FJ98" s="637"/>
      <c r="FK98" s="637"/>
      <c r="FL98" s="637"/>
      <c r="FM98" s="637"/>
      <c r="FN98" s="637"/>
      <c r="FO98" s="637"/>
      <c r="FP98" s="637"/>
      <c r="FQ98" s="637"/>
      <c r="FR98" s="637"/>
      <c r="FS98" s="637"/>
      <c r="FT98" s="637"/>
      <c r="FU98" s="637"/>
      <c r="FV98" s="637"/>
      <c r="FW98" s="637"/>
      <c r="FX98" s="637"/>
      <c r="FY98" s="637"/>
      <c r="FZ98" s="637"/>
      <c r="GA98" s="637"/>
      <c r="GB98" s="637"/>
      <c r="GC98" s="637"/>
      <c r="GD98" s="637"/>
      <c r="GE98" s="637"/>
      <c r="GF98" s="637"/>
      <c r="GG98" s="637"/>
      <c r="GH98" s="637"/>
      <c r="GI98" s="637"/>
      <c r="GJ98" s="637"/>
      <c r="GK98" s="637"/>
      <c r="GL98" s="637"/>
      <c r="GM98" s="637"/>
      <c r="GN98" s="637"/>
      <c r="GO98" s="637"/>
      <c r="GP98" s="637"/>
      <c r="GQ98" s="637"/>
      <c r="GR98" s="637"/>
      <c r="GS98" s="637"/>
      <c r="GT98" s="637"/>
      <c r="GU98" s="637"/>
      <c r="GV98" s="637"/>
      <c r="GW98" s="637"/>
      <c r="GX98" s="637"/>
      <c r="GY98" s="637"/>
      <c r="GZ98" s="637"/>
      <c r="HA98" s="637"/>
      <c r="HB98" s="637"/>
      <c r="HC98" s="637"/>
      <c r="HD98" s="637"/>
      <c r="HE98" s="637"/>
      <c r="HF98" s="637"/>
      <c r="HG98" s="637"/>
      <c r="HH98" s="637"/>
      <c r="HI98" s="637"/>
      <c r="HJ98" s="637"/>
      <c r="HK98" s="637"/>
      <c r="HL98" s="637"/>
      <c r="HM98" s="637"/>
      <c r="HN98" s="637"/>
      <c r="HO98" s="637"/>
      <c r="HP98" s="637"/>
      <c r="HQ98" s="637"/>
      <c r="HR98" s="637"/>
      <c r="HS98" s="637"/>
      <c r="HT98" s="637"/>
      <c r="HU98" s="637"/>
      <c r="HV98" s="637"/>
      <c r="HW98" s="637"/>
      <c r="HX98" s="637"/>
      <c r="HY98" s="637"/>
      <c r="HZ98" s="637"/>
      <c r="IA98" s="637"/>
      <c r="IB98" s="637"/>
      <c r="IC98" s="637"/>
      <c r="ID98" s="637"/>
      <c r="IE98" s="637"/>
      <c r="IF98" s="637"/>
      <c r="IG98" s="637"/>
      <c r="IH98" s="637"/>
      <c r="II98" s="637"/>
      <c r="IJ98" s="637"/>
      <c r="IK98" s="637"/>
      <c r="IL98" s="637"/>
      <c r="IM98" s="637"/>
      <c r="IN98" s="637"/>
      <c r="IO98" s="637"/>
      <c r="IP98" s="637"/>
      <c r="IQ98" s="637"/>
      <c r="IR98" s="637"/>
      <c r="IS98" s="637"/>
      <c r="IT98" s="637"/>
      <c r="IU98" s="637"/>
      <c r="IV98" s="637"/>
      <c r="IW98" s="637"/>
      <c r="IX98" s="637"/>
      <c r="IY98" s="637"/>
      <c r="IZ98" s="637"/>
      <c r="JA98" s="637"/>
      <c r="JB98" s="637"/>
      <c r="JC98" s="637"/>
      <c r="JD98" s="637"/>
      <c r="JE98" s="637"/>
      <c r="JF98" s="637"/>
      <c r="JG98" s="637"/>
      <c r="JH98" s="637"/>
      <c r="JI98" s="637"/>
      <c r="JJ98" s="637"/>
      <c r="JK98" s="637"/>
      <c r="JL98" s="637"/>
      <c r="JM98" s="637"/>
      <c r="JN98" s="637"/>
      <c r="JO98" s="637"/>
      <c r="JP98" s="637"/>
      <c r="JQ98" s="637"/>
      <c r="JR98" s="637"/>
      <c r="JS98" s="637"/>
      <c r="JT98" s="637"/>
      <c r="JU98" s="637"/>
      <c r="JV98" s="637"/>
      <c r="JW98" s="637"/>
      <c r="JX98" s="637"/>
      <c r="JY98" s="637"/>
      <c r="JZ98" s="637"/>
      <c r="KA98" s="637"/>
      <c r="KB98" s="637"/>
      <c r="KC98" s="637"/>
      <c r="KD98" s="637"/>
      <c r="KE98" s="637"/>
      <c r="KF98" s="637"/>
      <c r="KG98" s="637"/>
      <c r="KH98" s="637"/>
      <c r="KI98" s="637"/>
      <c r="KJ98" s="637"/>
      <c r="KK98" s="637"/>
      <c r="KL98" s="637"/>
      <c r="KM98" s="637"/>
      <c r="KN98" s="637"/>
      <c r="KO98" s="637"/>
      <c r="KP98" s="637"/>
      <c r="KQ98" s="637"/>
      <c r="KR98" s="637"/>
      <c r="KS98" s="637"/>
      <c r="KT98" s="637"/>
      <c r="KU98" s="637"/>
      <c r="KV98" s="637"/>
      <c r="KW98" s="637"/>
      <c r="KX98" s="637"/>
      <c r="KY98" s="637"/>
      <c r="KZ98" s="637"/>
      <c r="LA98" s="637"/>
      <c r="LB98" s="637"/>
      <c r="LC98" s="637"/>
      <c r="LD98" s="637"/>
      <c r="LE98" s="637"/>
      <c r="LF98" s="637"/>
      <c r="LG98" s="637"/>
      <c r="LH98" s="637"/>
      <c r="LI98" s="637"/>
      <c r="LJ98" s="637"/>
      <c r="LK98" s="637"/>
      <c r="LL98" s="637"/>
      <c r="LM98" s="637"/>
      <c r="LN98" s="637"/>
      <c r="LO98" s="637"/>
      <c r="LP98" s="637"/>
      <c r="LQ98" s="637"/>
      <c r="LR98" s="637"/>
      <c r="LS98" s="637"/>
      <c r="LT98" s="637"/>
      <c r="LU98" s="637"/>
      <c r="LV98" s="637"/>
      <c r="LW98" s="637"/>
      <c r="LX98" s="637"/>
      <c r="LY98" s="637"/>
      <c r="LZ98" s="637"/>
      <c r="MA98" s="637"/>
      <c r="MB98" s="637"/>
      <c r="MC98" s="637"/>
      <c r="MD98" s="637"/>
      <c r="ME98" s="637"/>
      <c r="MF98" s="637"/>
      <c r="MG98" s="637"/>
      <c r="MH98" s="637"/>
      <c r="MI98" s="637"/>
      <c r="MJ98" s="637"/>
      <c r="MK98" s="637"/>
      <c r="ML98" s="637"/>
      <c r="MM98" s="637"/>
      <c r="MN98" s="637"/>
      <c r="MO98" s="637"/>
      <c r="MP98" s="637"/>
      <c r="MQ98" s="637"/>
      <c r="MR98" s="637"/>
      <c r="MS98" s="637"/>
      <c r="MT98" s="637"/>
      <c r="MU98" s="637"/>
      <c r="MV98" s="637"/>
      <c r="MW98" s="637"/>
      <c r="MX98" s="637"/>
      <c r="MY98" s="637"/>
      <c r="MZ98" s="637"/>
      <c r="NA98" s="637"/>
      <c r="NB98" s="637"/>
      <c r="NC98" s="637"/>
      <c r="ND98" s="637"/>
      <c r="NE98" s="637"/>
      <c r="NF98" s="637"/>
      <c r="NG98" s="637"/>
      <c r="NH98" s="637"/>
      <c r="NI98" s="637"/>
      <c r="NJ98" s="637"/>
      <c r="NK98" s="637"/>
      <c r="NL98" s="637"/>
      <c r="NM98" s="637"/>
      <c r="NN98" s="637"/>
      <c r="NO98" s="637"/>
      <c r="NP98" s="637"/>
      <c r="NQ98" s="637"/>
      <c r="NR98" s="637"/>
      <c r="NS98" s="637"/>
      <c r="NT98" s="637"/>
      <c r="NU98" s="637"/>
      <c r="NV98" s="637"/>
      <c r="NW98" s="637"/>
      <c r="NX98" s="637"/>
      <c r="NY98" s="637"/>
      <c r="NZ98" s="637"/>
      <c r="OA98" s="637"/>
      <c r="OB98" s="637"/>
      <c r="OC98" s="637"/>
      <c r="OD98" s="637"/>
      <c r="OE98" s="637"/>
      <c r="OF98" s="637"/>
      <c r="OG98" s="637"/>
      <c r="OH98" s="637"/>
      <c r="OI98" s="637"/>
      <c r="OJ98" s="637"/>
      <c r="OK98" s="637"/>
      <c r="OL98" s="637"/>
      <c r="OM98" s="637"/>
      <c r="ON98" s="637"/>
      <c r="OO98" s="637"/>
      <c r="OP98" s="637"/>
      <c r="OQ98" s="637"/>
      <c r="OR98" s="637"/>
      <c r="OS98" s="637"/>
      <c r="OT98" s="637"/>
      <c r="OU98" s="637"/>
      <c r="OV98" s="637"/>
      <c r="OW98" s="637"/>
      <c r="OX98" s="637"/>
      <c r="OY98" s="637"/>
      <c r="OZ98" s="637"/>
      <c r="PA98" s="637"/>
      <c r="PB98" s="637"/>
      <c r="PC98" s="637"/>
      <c r="PD98" s="637"/>
      <c r="PE98" s="637"/>
      <c r="PF98" s="637"/>
      <c r="PG98" s="637"/>
      <c r="PH98" s="637"/>
      <c r="PI98" s="637"/>
      <c r="PJ98" s="637"/>
      <c r="PK98" s="637"/>
      <c r="PL98" s="637"/>
      <c r="PM98" s="637"/>
      <c r="PN98" s="637"/>
      <c r="PO98" s="637"/>
      <c r="PP98" s="637"/>
      <c r="PQ98" s="637"/>
      <c r="PR98" s="637"/>
      <c r="PS98" s="637"/>
      <c r="PT98" s="637"/>
      <c r="PU98" s="637"/>
      <c r="PV98" s="637"/>
      <c r="PW98" s="637"/>
      <c r="PX98" s="637"/>
      <c r="PY98" s="637"/>
      <c r="PZ98" s="637"/>
      <c r="QA98" s="637"/>
      <c r="QB98" s="637"/>
      <c r="QC98" s="637"/>
      <c r="QD98" s="637"/>
      <c r="QE98" s="637"/>
      <c r="QF98" s="637"/>
      <c r="QG98" s="637"/>
      <c r="QH98" s="637"/>
      <c r="QI98" s="637"/>
      <c r="QJ98" s="637"/>
      <c r="QK98" s="637"/>
      <c r="QL98" s="637"/>
      <c r="QM98" s="637"/>
      <c r="QN98" s="637"/>
      <c r="QO98" s="637"/>
      <c r="QP98" s="637"/>
      <c r="QQ98" s="637"/>
      <c r="QR98" s="637"/>
      <c r="QS98" s="637"/>
      <c r="QT98" s="637"/>
      <c r="QU98" s="637"/>
      <c r="QV98" s="637"/>
      <c r="QW98" s="637"/>
      <c r="QX98" s="637"/>
      <c r="QY98" s="637"/>
      <c r="QZ98" s="637"/>
      <c r="RA98" s="637"/>
      <c r="RB98" s="637"/>
      <c r="RC98" s="637"/>
      <c r="RD98" s="637"/>
      <c r="RE98" s="637"/>
      <c r="RF98" s="637"/>
      <c r="RG98" s="637"/>
      <c r="RH98" s="637"/>
      <c r="RI98" s="637"/>
      <c r="RJ98" s="637"/>
      <c r="RK98" s="637"/>
      <c r="RL98" s="637"/>
      <c r="RM98" s="637"/>
      <c r="RN98" s="637"/>
      <c r="RO98" s="637"/>
      <c r="RP98" s="637"/>
      <c r="RQ98" s="637"/>
      <c r="RR98" s="637"/>
      <c r="RS98" s="637"/>
      <c r="RT98" s="637"/>
      <c r="RU98" s="637"/>
      <c r="RV98" s="637"/>
      <c r="RW98" s="637"/>
      <c r="RX98" s="637"/>
      <c r="RY98" s="637"/>
      <c r="RZ98" s="637"/>
      <c r="SA98" s="637"/>
      <c r="SB98" s="637"/>
      <c r="SC98" s="637"/>
      <c r="SD98" s="637"/>
      <c r="SE98" s="637"/>
      <c r="SF98" s="637"/>
      <c r="SG98" s="637"/>
      <c r="SH98" s="637"/>
      <c r="SI98" s="637"/>
      <c r="SJ98" s="637"/>
      <c r="SK98" s="637"/>
      <c r="SL98" s="637"/>
      <c r="SM98" s="637"/>
      <c r="SN98" s="637"/>
      <c r="SO98" s="637"/>
      <c r="SP98" s="637"/>
      <c r="SQ98" s="637"/>
      <c r="SR98" s="637"/>
      <c r="SS98" s="637"/>
      <c r="ST98" s="637"/>
      <c r="SU98" s="637"/>
      <c r="SV98" s="637"/>
      <c r="SW98" s="637"/>
      <c r="SX98" s="637"/>
      <c r="SY98" s="637"/>
      <c r="SZ98" s="637"/>
      <c r="TA98" s="637"/>
      <c r="TB98" s="637"/>
      <c r="TC98" s="637"/>
      <c r="TD98" s="637"/>
      <c r="TE98" s="637"/>
      <c r="TF98" s="637"/>
      <c r="TG98" s="637"/>
      <c r="TH98" s="637"/>
      <c r="TI98" s="637"/>
      <c r="TJ98" s="637"/>
      <c r="TK98" s="637"/>
      <c r="TL98" s="637"/>
      <c r="TM98" s="637"/>
      <c r="TN98" s="637"/>
      <c r="TO98" s="637"/>
      <c r="TP98" s="637"/>
      <c r="TQ98" s="637"/>
      <c r="TR98" s="637"/>
      <c r="TS98" s="637"/>
      <c r="TT98" s="637"/>
      <c r="TU98" s="637"/>
      <c r="TV98" s="637"/>
      <c r="TW98" s="637"/>
      <c r="TX98" s="637"/>
      <c r="TY98" s="637"/>
      <c r="TZ98" s="637"/>
      <c r="UA98" s="637"/>
      <c r="UB98" s="637"/>
      <c r="UC98" s="637"/>
      <c r="UD98" s="637"/>
      <c r="UE98" s="637"/>
      <c r="UF98" s="637"/>
      <c r="UG98" s="637"/>
      <c r="UH98" s="637"/>
      <c r="UI98" s="637"/>
      <c r="UJ98" s="637"/>
      <c r="UK98" s="637"/>
      <c r="UL98" s="637"/>
      <c r="UM98" s="637"/>
      <c r="UN98" s="637"/>
      <c r="UO98" s="637"/>
      <c r="UP98" s="637"/>
      <c r="UQ98" s="637"/>
      <c r="UR98" s="637"/>
      <c r="US98" s="637"/>
      <c r="UT98" s="637"/>
      <c r="UU98" s="637"/>
      <c r="UV98" s="637"/>
      <c r="UW98" s="637"/>
      <c r="UX98" s="637"/>
      <c r="UY98" s="637"/>
      <c r="UZ98" s="637"/>
      <c r="VA98" s="637"/>
      <c r="VB98" s="637"/>
      <c r="VC98" s="637"/>
      <c r="VD98" s="637"/>
      <c r="VE98" s="637"/>
      <c r="VF98" s="637"/>
      <c r="VG98" s="637"/>
      <c r="VH98" s="637"/>
      <c r="VI98" s="637"/>
      <c r="VJ98" s="637"/>
      <c r="VK98" s="637"/>
      <c r="VL98" s="637"/>
      <c r="VM98" s="637"/>
      <c r="VN98" s="637"/>
      <c r="VO98" s="637"/>
      <c r="VP98" s="637"/>
      <c r="VQ98" s="637"/>
      <c r="VR98" s="637"/>
      <c r="VS98" s="637"/>
      <c r="VT98" s="637"/>
      <c r="VU98" s="637"/>
      <c r="VV98" s="637"/>
      <c r="VW98" s="637"/>
      <c r="VX98" s="637"/>
      <c r="VY98" s="637"/>
      <c r="VZ98" s="637"/>
      <c r="WA98" s="637"/>
      <c r="WB98" s="637"/>
      <c r="WC98" s="637"/>
      <c r="WD98" s="637"/>
      <c r="WE98" s="637"/>
      <c r="WF98" s="637"/>
      <c r="WG98" s="637"/>
      <c r="WH98" s="637"/>
      <c r="WI98" s="637"/>
      <c r="WJ98" s="637"/>
      <c r="WK98" s="637"/>
      <c r="WL98" s="637"/>
      <c r="WM98" s="637"/>
      <c r="WN98" s="637"/>
      <c r="WO98" s="637"/>
      <c r="WP98" s="637"/>
      <c r="WQ98" s="637"/>
      <c r="WR98" s="637"/>
      <c r="WS98" s="637"/>
      <c r="WT98" s="637"/>
      <c r="WU98" s="637"/>
      <c r="WV98" s="637"/>
      <c r="WW98" s="637"/>
      <c r="WX98" s="637"/>
      <c r="WY98" s="637"/>
      <c r="WZ98" s="637"/>
      <c r="XA98" s="637"/>
      <c r="XB98" s="637"/>
      <c r="XC98" s="637"/>
      <c r="XD98" s="637"/>
      <c r="XE98" s="637"/>
      <c r="XF98" s="637"/>
      <c r="XG98" s="637"/>
      <c r="XH98" s="637"/>
      <c r="XI98" s="637"/>
      <c r="XJ98" s="637"/>
      <c r="XK98" s="637"/>
      <c r="XL98" s="637"/>
      <c r="XM98" s="637"/>
      <c r="XN98" s="637"/>
      <c r="XO98" s="637"/>
      <c r="XP98" s="637"/>
      <c r="XQ98" s="637"/>
      <c r="XR98" s="637"/>
      <c r="XS98" s="637"/>
      <c r="XT98" s="637"/>
      <c r="XU98" s="637"/>
      <c r="XV98" s="637"/>
      <c r="XW98" s="637"/>
      <c r="XX98" s="637"/>
      <c r="XY98" s="637"/>
      <c r="XZ98" s="637"/>
      <c r="YA98" s="637"/>
      <c r="YB98" s="637"/>
      <c r="YC98" s="637"/>
      <c r="YD98" s="637"/>
      <c r="YE98" s="637"/>
      <c r="YF98" s="637"/>
      <c r="YG98" s="637"/>
      <c r="YH98" s="637"/>
      <c r="YI98" s="637"/>
      <c r="YJ98" s="637"/>
      <c r="YK98" s="637"/>
      <c r="YL98" s="637"/>
      <c r="YM98" s="637"/>
      <c r="YN98" s="637"/>
      <c r="YO98" s="637"/>
      <c r="YP98" s="637"/>
      <c r="YQ98" s="637"/>
      <c r="YR98" s="637"/>
      <c r="YS98" s="637"/>
      <c r="YT98" s="637"/>
      <c r="YU98" s="637"/>
      <c r="YV98" s="637"/>
      <c r="YW98" s="637"/>
      <c r="YX98" s="637"/>
      <c r="YY98" s="637"/>
      <c r="YZ98" s="637"/>
      <c r="ZA98" s="637"/>
      <c r="ZB98" s="637"/>
      <c r="ZC98" s="637"/>
      <c r="ZD98" s="637"/>
      <c r="ZE98" s="637"/>
      <c r="ZF98" s="637"/>
      <c r="ZG98" s="637"/>
      <c r="ZH98" s="637"/>
      <c r="ZI98" s="637"/>
      <c r="ZJ98" s="637"/>
      <c r="ZK98" s="637"/>
      <c r="ZL98" s="637"/>
      <c r="ZM98" s="637"/>
      <c r="ZN98" s="637"/>
      <c r="ZO98" s="637"/>
      <c r="ZP98" s="637"/>
      <c r="ZQ98" s="637"/>
      <c r="ZR98" s="637"/>
      <c r="ZS98" s="637"/>
      <c r="ZT98" s="637"/>
      <c r="ZU98" s="637"/>
      <c r="ZV98" s="637"/>
      <c r="ZW98" s="637"/>
      <c r="ZX98" s="637"/>
      <c r="ZY98" s="637"/>
      <c r="ZZ98" s="637"/>
      <c r="AAA98" s="637"/>
      <c r="AAB98" s="637"/>
      <c r="AAC98" s="637"/>
      <c r="AAD98" s="637"/>
      <c r="AAE98" s="637"/>
      <c r="AAF98" s="637"/>
      <c r="AAG98" s="637"/>
      <c r="AAH98" s="637"/>
      <c r="AAI98" s="637"/>
      <c r="AAJ98" s="637"/>
      <c r="AAK98" s="637"/>
      <c r="AAL98" s="637"/>
      <c r="AAM98" s="637"/>
      <c r="AAN98" s="637"/>
      <c r="AAO98" s="637"/>
      <c r="AAP98" s="637"/>
      <c r="AAQ98" s="637"/>
      <c r="AAR98" s="637"/>
      <c r="AAS98" s="637"/>
      <c r="AAT98" s="637"/>
      <c r="AAU98" s="637"/>
      <c r="AAV98" s="637"/>
      <c r="AAW98" s="637"/>
      <c r="AAX98" s="637"/>
      <c r="AAY98" s="637"/>
      <c r="AAZ98" s="637"/>
      <c r="ABA98" s="637"/>
      <c r="ABB98" s="637"/>
      <c r="ABC98" s="637"/>
      <c r="ABD98" s="637"/>
      <c r="ABE98" s="637"/>
      <c r="ABF98" s="637"/>
      <c r="ABG98" s="637"/>
      <c r="ABH98" s="637"/>
      <c r="ABI98" s="637"/>
      <c r="ABJ98" s="637"/>
      <c r="ABK98" s="637"/>
      <c r="ABL98" s="637"/>
      <c r="ABM98" s="637"/>
      <c r="ABN98" s="637"/>
      <c r="ABO98" s="637"/>
      <c r="ABP98" s="637"/>
      <c r="ABQ98" s="637"/>
      <c r="ABR98" s="637"/>
      <c r="ABS98" s="637"/>
      <c r="ABT98" s="637"/>
      <c r="ABU98" s="637"/>
      <c r="ABV98" s="637"/>
      <c r="ABW98" s="637"/>
      <c r="ABX98" s="637"/>
      <c r="ABY98" s="637"/>
      <c r="ABZ98" s="637"/>
      <c r="ACA98" s="637"/>
      <c r="ACB98" s="637"/>
      <c r="ACC98" s="637"/>
      <c r="ACD98" s="637"/>
      <c r="ACE98" s="637"/>
      <c r="ACF98" s="637"/>
      <c r="ACG98" s="637"/>
      <c r="ACH98" s="637"/>
      <c r="ACI98" s="637"/>
      <c r="ACJ98" s="637"/>
      <c r="ACK98" s="637"/>
      <c r="ACL98" s="637"/>
      <c r="ACM98" s="637"/>
      <c r="ACN98" s="637"/>
      <c r="ACO98" s="637"/>
      <c r="ACP98" s="637"/>
      <c r="ACQ98" s="637"/>
      <c r="ACR98" s="637"/>
      <c r="ACS98" s="637"/>
      <c r="ACT98" s="637"/>
      <c r="ACU98" s="637"/>
      <c r="ACV98" s="637"/>
      <c r="ACW98" s="637"/>
      <c r="ACX98" s="637"/>
      <c r="ACY98" s="637"/>
      <c r="ACZ98" s="637"/>
      <c r="ADA98" s="637"/>
      <c r="ADB98" s="637"/>
      <c r="ADC98" s="637"/>
      <c r="ADD98" s="637"/>
      <c r="ADE98" s="637"/>
      <c r="ADF98" s="637"/>
      <c r="ADG98" s="637"/>
      <c r="ADH98" s="637"/>
      <c r="ADI98" s="637"/>
      <c r="ADJ98" s="637"/>
      <c r="ADK98" s="637"/>
      <c r="ADL98" s="637"/>
      <c r="ADM98" s="637"/>
      <c r="ADN98" s="637"/>
      <c r="ADO98" s="637"/>
      <c r="ADP98" s="637"/>
      <c r="ADQ98" s="637"/>
      <c r="ADR98" s="637"/>
      <c r="ADS98" s="637"/>
      <c r="ADT98" s="637"/>
      <c r="ADU98" s="637"/>
      <c r="ADV98" s="637"/>
      <c r="ADW98" s="637"/>
      <c r="ADX98" s="637"/>
      <c r="ADY98" s="637"/>
      <c r="ADZ98" s="637"/>
      <c r="AEA98" s="637"/>
      <c r="AEB98" s="637"/>
      <c r="AEC98" s="637"/>
      <c r="AED98" s="637"/>
      <c r="AEE98" s="637"/>
      <c r="AEF98" s="637"/>
      <c r="AEG98" s="637"/>
      <c r="AEH98" s="637"/>
      <c r="AEI98" s="637"/>
      <c r="AEJ98" s="637"/>
      <c r="AEK98" s="637"/>
      <c r="AEL98" s="637"/>
      <c r="AEM98" s="637"/>
      <c r="AEN98" s="637"/>
      <c r="AEO98" s="637"/>
      <c r="AEP98" s="637"/>
      <c r="AEQ98" s="637"/>
      <c r="AER98" s="637"/>
      <c r="AES98" s="637"/>
      <c r="AET98" s="637"/>
      <c r="AEU98" s="637"/>
      <c r="AEV98" s="637"/>
      <c r="AEW98" s="637"/>
      <c r="AEX98" s="637"/>
      <c r="AEY98" s="637"/>
      <c r="AEZ98" s="637"/>
      <c r="AFA98" s="637"/>
      <c r="AFB98" s="637"/>
      <c r="AFC98" s="637"/>
      <c r="AFD98" s="637"/>
      <c r="AFE98" s="637"/>
      <c r="AFF98" s="637"/>
      <c r="AFG98" s="637"/>
      <c r="AFH98" s="637"/>
      <c r="AFI98" s="637"/>
      <c r="AFJ98" s="637"/>
      <c r="AFK98" s="637"/>
      <c r="AFL98" s="637"/>
      <c r="AFM98" s="637"/>
      <c r="AFN98" s="637"/>
      <c r="AFO98" s="637"/>
      <c r="AFP98" s="637"/>
      <c r="AFQ98" s="637"/>
      <c r="AFR98" s="637"/>
      <c r="AFS98" s="637"/>
      <c r="AFT98" s="637"/>
      <c r="AFU98" s="637"/>
      <c r="AFV98" s="637"/>
      <c r="AFW98" s="637"/>
      <c r="AFX98" s="637"/>
      <c r="AFY98" s="637"/>
      <c r="AFZ98" s="637"/>
      <c r="AGA98" s="637"/>
      <c r="AGB98" s="637"/>
      <c r="AGC98" s="637"/>
      <c r="AGD98" s="637"/>
      <c r="AGE98" s="637"/>
      <c r="AGF98" s="637"/>
      <c r="AGG98" s="637"/>
      <c r="AGH98" s="637"/>
      <c r="AGI98" s="637"/>
      <c r="AGJ98" s="637"/>
      <c r="AGK98" s="637"/>
      <c r="AGL98" s="637"/>
      <c r="AGM98" s="637"/>
      <c r="AGN98" s="637"/>
      <c r="AGO98" s="637"/>
      <c r="AGP98" s="637"/>
      <c r="AGQ98" s="637"/>
      <c r="AGR98" s="637"/>
      <c r="AGS98" s="637"/>
      <c r="AGT98" s="637"/>
      <c r="AGU98" s="637"/>
      <c r="AGV98" s="637"/>
      <c r="AGW98" s="637"/>
      <c r="AGX98" s="637"/>
      <c r="AGY98" s="637"/>
      <c r="AGZ98" s="637"/>
      <c r="AHA98" s="637"/>
      <c r="AHB98" s="637"/>
      <c r="AHC98" s="637"/>
      <c r="AHD98" s="637"/>
      <c r="AHE98" s="637"/>
      <c r="AHF98" s="637"/>
      <c r="AHG98" s="637"/>
      <c r="AHH98" s="637"/>
      <c r="AHI98" s="637"/>
      <c r="AHJ98" s="637"/>
      <c r="AHK98" s="637"/>
      <c r="AHL98" s="637"/>
      <c r="AHM98" s="637"/>
      <c r="AHN98" s="637"/>
      <c r="AHO98" s="637"/>
      <c r="AHP98" s="637"/>
      <c r="AHQ98" s="637"/>
      <c r="AHR98" s="637"/>
      <c r="AHS98" s="637"/>
      <c r="AHT98" s="637"/>
      <c r="AHU98" s="637"/>
      <c r="AHV98" s="637"/>
      <c r="AHW98" s="637"/>
      <c r="AHX98" s="637"/>
      <c r="AHY98" s="637"/>
      <c r="AHZ98" s="637"/>
      <c r="AIA98" s="637"/>
      <c r="AIB98" s="637"/>
      <c r="AIC98" s="637"/>
      <c r="AID98" s="637"/>
      <c r="AIE98" s="637"/>
      <c r="AIF98" s="637"/>
      <c r="AIG98" s="637"/>
      <c r="AIH98" s="637"/>
      <c r="AII98" s="637"/>
      <c r="AIJ98" s="637"/>
      <c r="AIK98" s="637"/>
      <c r="AIL98" s="637"/>
      <c r="AIM98" s="637"/>
      <c r="AIN98" s="637"/>
      <c r="AIO98" s="637"/>
      <c r="AIP98" s="637"/>
      <c r="AIQ98" s="637"/>
      <c r="AIR98" s="637"/>
      <c r="AIS98" s="637"/>
      <c r="AIT98" s="637"/>
      <c r="AIU98" s="637"/>
      <c r="AIV98" s="637"/>
      <c r="AIW98" s="637"/>
      <c r="AIX98" s="637"/>
      <c r="AIY98" s="637"/>
      <c r="AIZ98" s="637"/>
      <c r="AJA98" s="637"/>
      <c r="AJB98" s="637"/>
      <c r="AJC98" s="637"/>
      <c r="AJD98" s="637"/>
      <c r="AJE98" s="637"/>
      <c r="AJF98" s="637"/>
      <c r="AJG98" s="637"/>
      <c r="AJH98" s="637"/>
      <c r="AJI98" s="637"/>
      <c r="AJJ98" s="637"/>
      <c r="AJK98" s="637"/>
      <c r="AJL98" s="637"/>
      <c r="AJM98" s="637"/>
      <c r="AJN98" s="637"/>
      <c r="AJO98" s="637"/>
      <c r="AJP98" s="637"/>
      <c r="AJQ98" s="637"/>
      <c r="AJR98" s="637"/>
      <c r="AJS98" s="637"/>
      <c r="AJT98" s="637"/>
      <c r="AJU98" s="637"/>
      <c r="AJV98" s="637"/>
      <c r="AJW98" s="637"/>
      <c r="AJX98" s="637"/>
      <c r="AJY98" s="637"/>
      <c r="AJZ98" s="637"/>
      <c r="AKA98" s="637"/>
      <c r="AKB98" s="637"/>
      <c r="AKC98" s="637"/>
      <c r="AKD98" s="637"/>
      <c r="AKE98" s="637"/>
      <c r="AKF98" s="637"/>
      <c r="AKG98" s="637"/>
      <c r="AKH98" s="637"/>
      <c r="AKI98" s="637"/>
      <c r="AKJ98" s="637"/>
      <c r="AKK98" s="637"/>
      <c r="AKL98" s="637"/>
      <c r="AKM98" s="637"/>
      <c r="AKN98" s="637"/>
      <c r="AKO98" s="637"/>
      <c r="AKP98" s="637"/>
      <c r="AKQ98" s="637"/>
      <c r="AKR98" s="637"/>
      <c r="AKS98" s="637"/>
      <c r="AKT98" s="637"/>
      <c r="AKU98" s="637"/>
      <c r="AKV98" s="637"/>
      <c r="AKW98" s="637"/>
      <c r="AKX98" s="637"/>
      <c r="AKY98" s="637"/>
      <c r="AKZ98" s="637"/>
      <c r="ALA98" s="637"/>
      <c r="ALB98" s="637"/>
      <c r="ALC98" s="637"/>
      <c r="ALD98" s="637"/>
      <c r="ALE98" s="637"/>
      <c r="ALF98" s="637"/>
      <c r="ALG98" s="637"/>
      <c r="ALH98" s="637"/>
      <c r="ALI98" s="637"/>
      <c r="ALJ98" s="637"/>
      <c r="ALK98" s="637"/>
      <c r="ALL98" s="637"/>
      <c r="ALM98" s="637"/>
      <c r="ALN98" s="637"/>
      <c r="ALO98" s="637"/>
      <c r="ALP98" s="637"/>
      <c r="ALQ98" s="637"/>
      <c r="ALR98" s="637"/>
      <c r="ALS98" s="637"/>
      <c r="ALT98" s="637"/>
      <c r="ALU98" s="637"/>
      <c r="ALV98" s="637"/>
      <c r="ALW98" s="637"/>
      <c r="ALX98" s="637"/>
      <c r="ALY98" s="637"/>
      <c r="ALZ98" s="637"/>
      <c r="AMA98" s="637"/>
      <c r="AMB98" s="637"/>
      <c r="AMC98" s="637"/>
      <c r="AMD98" s="637"/>
      <c r="AME98" s="637"/>
      <c r="AMF98" s="637"/>
      <c r="AMG98" s="637"/>
      <c r="AMH98" s="637"/>
      <c r="AMI98" s="637"/>
      <c r="AMJ98" s="637"/>
    </row>
    <row r="99" spans="1:1024" s="638" customFormat="1" ht="12.75">
      <c r="A99" s="984"/>
      <c r="B99" s="985"/>
      <c r="C99" s="986"/>
      <c r="D99" s="981" t="s">
        <v>861</v>
      </c>
      <c r="E99" s="982">
        <f>22421+42</f>
        <v>22463</v>
      </c>
      <c r="F99" s="982">
        <f t="shared" si="10"/>
        <v>0</v>
      </c>
      <c r="G99" s="987"/>
      <c r="H99" s="987"/>
      <c r="I99" s="987"/>
      <c r="J99" s="987"/>
      <c r="K99" s="987"/>
      <c r="L99" s="987"/>
      <c r="M99" s="987"/>
      <c r="N99" s="987"/>
      <c r="O99" s="987"/>
      <c r="P99" s="987"/>
      <c r="Q99" s="987"/>
      <c r="R99" s="984"/>
      <c r="S99" s="637"/>
      <c r="T99" s="637"/>
      <c r="U99" s="637"/>
      <c r="V99" s="637"/>
      <c r="W99" s="637"/>
      <c r="X99" s="637"/>
      <c r="Y99" s="637"/>
      <c r="Z99" s="637"/>
      <c r="AA99" s="637"/>
      <c r="AB99" s="637"/>
      <c r="AC99" s="637"/>
      <c r="AD99" s="637"/>
      <c r="AE99" s="637"/>
      <c r="AF99" s="637"/>
      <c r="AG99" s="637"/>
      <c r="AH99" s="637"/>
      <c r="AI99" s="637"/>
      <c r="AJ99" s="637"/>
      <c r="AK99" s="637"/>
      <c r="AL99" s="637"/>
      <c r="AM99" s="637"/>
      <c r="AN99" s="637"/>
      <c r="AO99" s="637"/>
      <c r="AP99" s="637"/>
      <c r="AQ99" s="637"/>
      <c r="AR99" s="637"/>
      <c r="AS99" s="637"/>
      <c r="AT99" s="637"/>
      <c r="AU99" s="637"/>
      <c r="AV99" s="637"/>
      <c r="AW99" s="637"/>
      <c r="AX99" s="637"/>
      <c r="AY99" s="637"/>
      <c r="AZ99" s="637"/>
      <c r="BA99" s="637"/>
      <c r="BB99" s="637"/>
      <c r="BC99" s="637"/>
      <c r="BD99" s="637"/>
      <c r="BE99" s="637"/>
      <c r="BF99" s="637"/>
      <c r="BG99" s="637"/>
      <c r="BH99" s="637"/>
      <c r="BI99" s="637"/>
      <c r="BJ99" s="637"/>
      <c r="BK99" s="637"/>
      <c r="BL99" s="637"/>
      <c r="BM99" s="637"/>
      <c r="BN99" s="637"/>
      <c r="BO99" s="637"/>
      <c r="BP99" s="637"/>
      <c r="BQ99" s="637"/>
      <c r="BR99" s="637"/>
      <c r="BS99" s="637"/>
      <c r="BT99" s="637"/>
      <c r="BU99" s="637"/>
      <c r="BV99" s="637"/>
      <c r="BW99" s="637"/>
      <c r="BX99" s="637"/>
      <c r="BY99" s="637"/>
      <c r="BZ99" s="637"/>
      <c r="CA99" s="637"/>
      <c r="CB99" s="637"/>
      <c r="CC99" s="637"/>
      <c r="CD99" s="637"/>
      <c r="CE99" s="637"/>
      <c r="CF99" s="637"/>
      <c r="CG99" s="637"/>
      <c r="CH99" s="637"/>
      <c r="CI99" s="637"/>
      <c r="CJ99" s="637"/>
      <c r="CK99" s="637"/>
      <c r="CL99" s="637"/>
      <c r="CM99" s="637"/>
      <c r="CN99" s="637"/>
      <c r="CO99" s="637"/>
      <c r="CP99" s="637"/>
      <c r="CQ99" s="637"/>
      <c r="CR99" s="637"/>
      <c r="CS99" s="637"/>
      <c r="CT99" s="637"/>
      <c r="CU99" s="637"/>
      <c r="CV99" s="637"/>
      <c r="CW99" s="637"/>
      <c r="CX99" s="637"/>
      <c r="CY99" s="637"/>
      <c r="CZ99" s="637"/>
      <c r="DA99" s="637"/>
      <c r="DB99" s="637"/>
      <c r="DC99" s="637"/>
      <c r="DD99" s="637"/>
      <c r="DE99" s="637"/>
      <c r="DF99" s="637"/>
      <c r="DG99" s="637"/>
      <c r="DH99" s="637"/>
      <c r="DI99" s="637"/>
      <c r="DJ99" s="637"/>
      <c r="DK99" s="637"/>
      <c r="DL99" s="637"/>
      <c r="DM99" s="637"/>
      <c r="DN99" s="637"/>
      <c r="DO99" s="637"/>
      <c r="DP99" s="637"/>
      <c r="DQ99" s="637"/>
      <c r="DR99" s="637"/>
      <c r="DS99" s="637"/>
      <c r="DT99" s="637"/>
      <c r="DU99" s="637"/>
      <c r="DV99" s="637"/>
      <c r="DW99" s="637"/>
      <c r="DX99" s="637"/>
      <c r="DY99" s="637"/>
      <c r="DZ99" s="637"/>
      <c r="EA99" s="637"/>
      <c r="EB99" s="637"/>
      <c r="EC99" s="637"/>
      <c r="ED99" s="637"/>
      <c r="EE99" s="637"/>
      <c r="EF99" s="637"/>
      <c r="EG99" s="637"/>
      <c r="EH99" s="637"/>
      <c r="EI99" s="637"/>
      <c r="EJ99" s="637"/>
      <c r="EK99" s="637"/>
      <c r="EL99" s="637"/>
      <c r="EM99" s="637"/>
      <c r="EN99" s="637"/>
      <c r="EO99" s="637"/>
      <c r="EP99" s="637"/>
      <c r="EQ99" s="637"/>
      <c r="ER99" s="637"/>
      <c r="ES99" s="637"/>
      <c r="ET99" s="637"/>
      <c r="EU99" s="637"/>
      <c r="EV99" s="637"/>
      <c r="EW99" s="637"/>
      <c r="EX99" s="637"/>
      <c r="EY99" s="637"/>
      <c r="EZ99" s="637"/>
      <c r="FA99" s="637"/>
      <c r="FB99" s="637"/>
      <c r="FC99" s="637"/>
      <c r="FD99" s="637"/>
      <c r="FE99" s="637"/>
      <c r="FF99" s="637"/>
      <c r="FG99" s="637"/>
      <c r="FH99" s="637"/>
      <c r="FI99" s="637"/>
      <c r="FJ99" s="637"/>
      <c r="FK99" s="637"/>
      <c r="FL99" s="637"/>
      <c r="FM99" s="637"/>
      <c r="FN99" s="637"/>
      <c r="FO99" s="637"/>
      <c r="FP99" s="637"/>
      <c r="FQ99" s="637"/>
      <c r="FR99" s="637"/>
      <c r="FS99" s="637"/>
      <c r="FT99" s="637"/>
      <c r="FU99" s="637"/>
      <c r="FV99" s="637"/>
      <c r="FW99" s="637"/>
      <c r="FX99" s="637"/>
      <c r="FY99" s="637"/>
      <c r="FZ99" s="637"/>
      <c r="GA99" s="637"/>
      <c r="GB99" s="637"/>
      <c r="GC99" s="637"/>
      <c r="GD99" s="637"/>
      <c r="GE99" s="637"/>
      <c r="GF99" s="637"/>
      <c r="GG99" s="637"/>
      <c r="GH99" s="637"/>
      <c r="GI99" s="637"/>
      <c r="GJ99" s="637"/>
      <c r="GK99" s="637"/>
      <c r="GL99" s="637"/>
      <c r="GM99" s="637"/>
      <c r="GN99" s="637"/>
      <c r="GO99" s="637"/>
      <c r="GP99" s="637"/>
      <c r="GQ99" s="637"/>
      <c r="GR99" s="637"/>
      <c r="GS99" s="637"/>
      <c r="GT99" s="637"/>
      <c r="GU99" s="637"/>
      <c r="GV99" s="637"/>
      <c r="GW99" s="637"/>
      <c r="GX99" s="637"/>
      <c r="GY99" s="637"/>
      <c r="GZ99" s="637"/>
      <c r="HA99" s="637"/>
      <c r="HB99" s="637"/>
      <c r="HC99" s="637"/>
      <c r="HD99" s="637"/>
      <c r="HE99" s="637"/>
      <c r="HF99" s="637"/>
      <c r="HG99" s="637"/>
      <c r="HH99" s="637"/>
      <c r="HI99" s="637"/>
      <c r="HJ99" s="637"/>
      <c r="HK99" s="637"/>
      <c r="HL99" s="637"/>
      <c r="HM99" s="637"/>
      <c r="HN99" s="637"/>
      <c r="HO99" s="637"/>
      <c r="HP99" s="637"/>
      <c r="HQ99" s="637"/>
      <c r="HR99" s="637"/>
      <c r="HS99" s="637"/>
      <c r="HT99" s="637"/>
      <c r="HU99" s="637"/>
      <c r="HV99" s="637"/>
      <c r="HW99" s="637"/>
      <c r="HX99" s="637"/>
      <c r="HY99" s="637"/>
      <c r="HZ99" s="637"/>
      <c r="IA99" s="637"/>
      <c r="IB99" s="637"/>
      <c r="IC99" s="637"/>
      <c r="ID99" s="637"/>
      <c r="IE99" s="637"/>
      <c r="IF99" s="637"/>
      <c r="IG99" s="637"/>
      <c r="IH99" s="637"/>
      <c r="II99" s="637"/>
      <c r="IJ99" s="637"/>
      <c r="IK99" s="637"/>
      <c r="IL99" s="637"/>
      <c r="IM99" s="637"/>
      <c r="IN99" s="637"/>
      <c r="IO99" s="637"/>
      <c r="IP99" s="637"/>
      <c r="IQ99" s="637"/>
      <c r="IR99" s="637"/>
      <c r="IS99" s="637"/>
      <c r="IT99" s="637"/>
      <c r="IU99" s="637"/>
      <c r="IV99" s="637"/>
      <c r="IW99" s="637"/>
      <c r="IX99" s="637"/>
      <c r="IY99" s="637"/>
      <c r="IZ99" s="637"/>
      <c r="JA99" s="637"/>
      <c r="JB99" s="637"/>
      <c r="JC99" s="637"/>
      <c r="JD99" s="637"/>
      <c r="JE99" s="637"/>
      <c r="JF99" s="637"/>
      <c r="JG99" s="637"/>
      <c r="JH99" s="637"/>
      <c r="JI99" s="637"/>
      <c r="JJ99" s="637"/>
      <c r="JK99" s="637"/>
      <c r="JL99" s="637"/>
      <c r="JM99" s="637"/>
      <c r="JN99" s="637"/>
      <c r="JO99" s="637"/>
      <c r="JP99" s="637"/>
      <c r="JQ99" s="637"/>
      <c r="JR99" s="637"/>
      <c r="JS99" s="637"/>
      <c r="JT99" s="637"/>
      <c r="JU99" s="637"/>
      <c r="JV99" s="637"/>
      <c r="JW99" s="637"/>
      <c r="JX99" s="637"/>
      <c r="JY99" s="637"/>
      <c r="JZ99" s="637"/>
      <c r="KA99" s="637"/>
      <c r="KB99" s="637"/>
      <c r="KC99" s="637"/>
      <c r="KD99" s="637"/>
      <c r="KE99" s="637"/>
      <c r="KF99" s="637"/>
      <c r="KG99" s="637"/>
      <c r="KH99" s="637"/>
      <c r="KI99" s="637"/>
      <c r="KJ99" s="637"/>
      <c r="KK99" s="637"/>
      <c r="KL99" s="637"/>
      <c r="KM99" s="637"/>
      <c r="KN99" s="637"/>
      <c r="KO99" s="637"/>
      <c r="KP99" s="637"/>
      <c r="KQ99" s="637"/>
      <c r="KR99" s="637"/>
      <c r="KS99" s="637"/>
      <c r="KT99" s="637"/>
      <c r="KU99" s="637"/>
      <c r="KV99" s="637"/>
      <c r="KW99" s="637"/>
      <c r="KX99" s="637"/>
      <c r="KY99" s="637"/>
      <c r="KZ99" s="637"/>
      <c r="LA99" s="637"/>
      <c r="LB99" s="637"/>
      <c r="LC99" s="637"/>
      <c r="LD99" s="637"/>
      <c r="LE99" s="637"/>
      <c r="LF99" s="637"/>
      <c r="LG99" s="637"/>
      <c r="LH99" s="637"/>
      <c r="LI99" s="637"/>
      <c r="LJ99" s="637"/>
      <c r="LK99" s="637"/>
      <c r="LL99" s="637"/>
      <c r="LM99" s="637"/>
      <c r="LN99" s="637"/>
      <c r="LO99" s="637"/>
      <c r="LP99" s="637"/>
      <c r="LQ99" s="637"/>
      <c r="LR99" s="637"/>
      <c r="LS99" s="637"/>
      <c r="LT99" s="637"/>
      <c r="LU99" s="637"/>
      <c r="LV99" s="637"/>
      <c r="LW99" s="637"/>
      <c r="LX99" s="637"/>
      <c r="LY99" s="637"/>
      <c r="LZ99" s="637"/>
      <c r="MA99" s="637"/>
      <c r="MB99" s="637"/>
      <c r="MC99" s="637"/>
      <c r="MD99" s="637"/>
      <c r="ME99" s="637"/>
      <c r="MF99" s="637"/>
      <c r="MG99" s="637"/>
      <c r="MH99" s="637"/>
      <c r="MI99" s="637"/>
      <c r="MJ99" s="637"/>
      <c r="MK99" s="637"/>
      <c r="ML99" s="637"/>
      <c r="MM99" s="637"/>
      <c r="MN99" s="637"/>
      <c r="MO99" s="637"/>
      <c r="MP99" s="637"/>
      <c r="MQ99" s="637"/>
      <c r="MR99" s="637"/>
      <c r="MS99" s="637"/>
      <c r="MT99" s="637"/>
      <c r="MU99" s="637"/>
      <c r="MV99" s="637"/>
      <c r="MW99" s="637"/>
      <c r="MX99" s="637"/>
      <c r="MY99" s="637"/>
      <c r="MZ99" s="637"/>
      <c r="NA99" s="637"/>
      <c r="NB99" s="637"/>
      <c r="NC99" s="637"/>
      <c r="ND99" s="637"/>
      <c r="NE99" s="637"/>
      <c r="NF99" s="637"/>
      <c r="NG99" s="637"/>
      <c r="NH99" s="637"/>
      <c r="NI99" s="637"/>
      <c r="NJ99" s="637"/>
      <c r="NK99" s="637"/>
      <c r="NL99" s="637"/>
      <c r="NM99" s="637"/>
      <c r="NN99" s="637"/>
      <c r="NO99" s="637"/>
      <c r="NP99" s="637"/>
      <c r="NQ99" s="637"/>
      <c r="NR99" s="637"/>
      <c r="NS99" s="637"/>
      <c r="NT99" s="637"/>
      <c r="NU99" s="637"/>
      <c r="NV99" s="637"/>
      <c r="NW99" s="637"/>
      <c r="NX99" s="637"/>
      <c r="NY99" s="637"/>
      <c r="NZ99" s="637"/>
      <c r="OA99" s="637"/>
      <c r="OB99" s="637"/>
      <c r="OC99" s="637"/>
      <c r="OD99" s="637"/>
      <c r="OE99" s="637"/>
      <c r="OF99" s="637"/>
      <c r="OG99" s="637"/>
      <c r="OH99" s="637"/>
      <c r="OI99" s="637"/>
      <c r="OJ99" s="637"/>
      <c r="OK99" s="637"/>
      <c r="OL99" s="637"/>
      <c r="OM99" s="637"/>
      <c r="ON99" s="637"/>
      <c r="OO99" s="637"/>
      <c r="OP99" s="637"/>
      <c r="OQ99" s="637"/>
      <c r="OR99" s="637"/>
      <c r="OS99" s="637"/>
      <c r="OT99" s="637"/>
      <c r="OU99" s="637"/>
      <c r="OV99" s="637"/>
      <c r="OW99" s="637"/>
      <c r="OX99" s="637"/>
      <c r="OY99" s="637"/>
      <c r="OZ99" s="637"/>
      <c r="PA99" s="637"/>
      <c r="PB99" s="637"/>
      <c r="PC99" s="637"/>
      <c r="PD99" s="637"/>
      <c r="PE99" s="637"/>
      <c r="PF99" s="637"/>
      <c r="PG99" s="637"/>
      <c r="PH99" s="637"/>
      <c r="PI99" s="637"/>
      <c r="PJ99" s="637"/>
      <c r="PK99" s="637"/>
      <c r="PL99" s="637"/>
      <c r="PM99" s="637"/>
      <c r="PN99" s="637"/>
      <c r="PO99" s="637"/>
      <c r="PP99" s="637"/>
      <c r="PQ99" s="637"/>
      <c r="PR99" s="637"/>
      <c r="PS99" s="637"/>
      <c r="PT99" s="637"/>
      <c r="PU99" s="637"/>
      <c r="PV99" s="637"/>
      <c r="PW99" s="637"/>
      <c r="PX99" s="637"/>
      <c r="PY99" s="637"/>
      <c r="PZ99" s="637"/>
      <c r="QA99" s="637"/>
      <c r="QB99" s="637"/>
      <c r="QC99" s="637"/>
      <c r="QD99" s="637"/>
      <c r="QE99" s="637"/>
      <c r="QF99" s="637"/>
      <c r="QG99" s="637"/>
      <c r="QH99" s="637"/>
      <c r="QI99" s="637"/>
      <c r="QJ99" s="637"/>
      <c r="QK99" s="637"/>
      <c r="QL99" s="637"/>
      <c r="QM99" s="637"/>
      <c r="QN99" s="637"/>
      <c r="QO99" s="637"/>
      <c r="QP99" s="637"/>
      <c r="QQ99" s="637"/>
      <c r="QR99" s="637"/>
      <c r="QS99" s="637"/>
      <c r="QT99" s="637"/>
      <c r="QU99" s="637"/>
      <c r="QV99" s="637"/>
      <c r="QW99" s="637"/>
      <c r="QX99" s="637"/>
      <c r="QY99" s="637"/>
      <c r="QZ99" s="637"/>
      <c r="RA99" s="637"/>
      <c r="RB99" s="637"/>
      <c r="RC99" s="637"/>
      <c r="RD99" s="637"/>
      <c r="RE99" s="637"/>
      <c r="RF99" s="637"/>
      <c r="RG99" s="637"/>
      <c r="RH99" s="637"/>
      <c r="RI99" s="637"/>
      <c r="RJ99" s="637"/>
      <c r="RK99" s="637"/>
      <c r="RL99" s="637"/>
      <c r="RM99" s="637"/>
      <c r="RN99" s="637"/>
      <c r="RO99" s="637"/>
      <c r="RP99" s="637"/>
      <c r="RQ99" s="637"/>
      <c r="RR99" s="637"/>
      <c r="RS99" s="637"/>
      <c r="RT99" s="637"/>
      <c r="RU99" s="637"/>
      <c r="RV99" s="637"/>
      <c r="RW99" s="637"/>
      <c r="RX99" s="637"/>
      <c r="RY99" s="637"/>
      <c r="RZ99" s="637"/>
      <c r="SA99" s="637"/>
      <c r="SB99" s="637"/>
      <c r="SC99" s="637"/>
      <c r="SD99" s="637"/>
      <c r="SE99" s="637"/>
      <c r="SF99" s="637"/>
      <c r="SG99" s="637"/>
      <c r="SH99" s="637"/>
      <c r="SI99" s="637"/>
      <c r="SJ99" s="637"/>
      <c r="SK99" s="637"/>
      <c r="SL99" s="637"/>
      <c r="SM99" s="637"/>
      <c r="SN99" s="637"/>
      <c r="SO99" s="637"/>
      <c r="SP99" s="637"/>
      <c r="SQ99" s="637"/>
      <c r="SR99" s="637"/>
      <c r="SS99" s="637"/>
      <c r="ST99" s="637"/>
      <c r="SU99" s="637"/>
      <c r="SV99" s="637"/>
      <c r="SW99" s="637"/>
      <c r="SX99" s="637"/>
      <c r="SY99" s="637"/>
      <c r="SZ99" s="637"/>
      <c r="TA99" s="637"/>
      <c r="TB99" s="637"/>
      <c r="TC99" s="637"/>
      <c r="TD99" s="637"/>
      <c r="TE99" s="637"/>
      <c r="TF99" s="637"/>
      <c r="TG99" s="637"/>
      <c r="TH99" s="637"/>
      <c r="TI99" s="637"/>
      <c r="TJ99" s="637"/>
      <c r="TK99" s="637"/>
      <c r="TL99" s="637"/>
      <c r="TM99" s="637"/>
      <c r="TN99" s="637"/>
      <c r="TO99" s="637"/>
      <c r="TP99" s="637"/>
      <c r="TQ99" s="637"/>
      <c r="TR99" s="637"/>
      <c r="TS99" s="637"/>
      <c r="TT99" s="637"/>
      <c r="TU99" s="637"/>
      <c r="TV99" s="637"/>
      <c r="TW99" s="637"/>
      <c r="TX99" s="637"/>
      <c r="TY99" s="637"/>
      <c r="TZ99" s="637"/>
      <c r="UA99" s="637"/>
      <c r="UB99" s="637"/>
      <c r="UC99" s="637"/>
      <c r="UD99" s="637"/>
      <c r="UE99" s="637"/>
      <c r="UF99" s="637"/>
      <c r="UG99" s="637"/>
      <c r="UH99" s="637"/>
      <c r="UI99" s="637"/>
      <c r="UJ99" s="637"/>
      <c r="UK99" s="637"/>
      <c r="UL99" s="637"/>
      <c r="UM99" s="637"/>
      <c r="UN99" s="637"/>
      <c r="UO99" s="637"/>
      <c r="UP99" s="637"/>
      <c r="UQ99" s="637"/>
      <c r="UR99" s="637"/>
      <c r="US99" s="637"/>
      <c r="UT99" s="637"/>
      <c r="UU99" s="637"/>
      <c r="UV99" s="637"/>
      <c r="UW99" s="637"/>
      <c r="UX99" s="637"/>
      <c r="UY99" s="637"/>
      <c r="UZ99" s="637"/>
      <c r="VA99" s="637"/>
      <c r="VB99" s="637"/>
      <c r="VC99" s="637"/>
      <c r="VD99" s="637"/>
      <c r="VE99" s="637"/>
      <c r="VF99" s="637"/>
      <c r="VG99" s="637"/>
      <c r="VH99" s="637"/>
      <c r="VI99" s="637"/>
      <c r="VJ99" s="637"/>
      <c r="VK99" s="637"/>
      <c r="VL99" s="637"/>
      <c r="VM99" s="637"/>
      <c r="VN99" s="637"/>
      <c r="VO99" s="637"/>
      <c r="VP99" s="637"/>
      <c r="VQ99" s="637"/>
      <c r="VR99" s="637"/>
      <c r="VS99" s="637"/>
      <c r="VT99" s="637"/>
      <c r="VU99" s="637"/>
      <c r="VV99" s="637"/>
      <c r="VW99" s="637"/>
      <c r="VX99" s="637"/>
      <c r="VY99" s="637"/>
      <c r="VZ99" s="637"/>
      <c r="WA99" s="637"/>
      <c r="WB99" s="637"/>
      <c r="WC99" s="637"/>
      <c r="WD99" s="637"/>
      <c r="WE99" s="637"/>
      <c r="WF99" s="637"/>
      <c r="WG99" s="637"/>
      <c r="WH99" s="637"/>
      <c r="WI99" s="637"/>
      <c r="WJ99" s="637"/>
      <c r="WK99" s="637"/>
      <c r="WL99" s="637"/>
      <c r="WM99" s="637"/>
      <c r="WN99" s="637"/>
      <c r="WO99" s="637"/>
      <c r="WP99" s="637"/>
      <c r="WQ99" s="637"/>
      <c r="WR99" s="637"/>
      <c r="WS99" s="637"/>
      <c r="WT99" s="637"/>
      <c r="WU99" s="637"/>
      <c r="WV99" s="637"/>
      <c r="WW99" s="637"/>
      <c r="WX99" s="637"/>
      <c r="WY99" s="637"/>
      <c r="WZ99" s="637"/>
      <c r="XA99" s="637"/>
      <c r="XB99" s="637"/>
      <c r="XC99" s="637"/>
      <c r="XD99" s="637"/>
      <c r="XE99" s="637"/>
      <c r="XF99" s="637"/>
      <c r="XG99" s="637"/>
      <c r="XH99" s="637"/>
      <c r="XI99" s="637"/>
      <c r="XJ99" s="637"/>
      <c r="XK99" s="637"/>
      <c r="XL99" s="637"/>
      <c r="XM99" s="637"/>
      <c r="XN99" s="637"/>
      <c r="XO99" s="637"/>
      <c r="XP99" s="637"/>
      <c r="XQ99" s="637"/>
      <c r="XR99" s="637"/>
      <c r="XS99" s="637"/>
      <c r="XT99" s="637"/>
      <c r="XU99" s="637"/>
      <c r="XV99" s="637"/>
      <c r="XW99" s="637"/>
      <c r="XX99" s="637"/>
      <c r="XY99" s="637"/>
      <c r="XZ99" s="637"/>
      <c r="YA99" s="637"/>
      <c r="YB99" s="637"/>
      <c r="YC99" s="637"/>
      <c r="YD99" s="637"/>
      <c r="YE99" s="637"/>
      <c r="YF99" s="637"/>
      <c r="YG99" s="637"/>
      <c r="YH99" s="637"/>
      <c r="YI99" s="637"/>
      <c r="YJ99" s="637"/>
      <c r="YK99" s="637"/>
      <c r="YL99" s="637"/>
      <c r="YM99" s="637"/>
      <c r="YN99" s="637"/>
      <c r="YO99" s="637"/>
      <c r="YP99" s="637"/>
      <c r="YQ99" s="637"/>
      <c r="YR99" s="637"/>
      <c r="YS99" s="637"/>
      <c r="YT99" s="637"/>
      <c r="YU99" s="637"/>
      <c r="YV99" s="637"/>
      <c r="YW99" s="637"/>
      <c r="YX99" s="637"/>
      <c r="YY99" s="637"/>
      <c r="YZ99" s="637"/>
      <c r="ZA99" s="637"/>
      <c r="ZB99" s="637"/>
      <c r="ZC99" s="637"/>
      <c r="ZD99" s="637"/>
      <c r="ZE99" s="637"/>
      <c r="ZF99" s="637"/>
      <c r="ZG99" s="637"/>
      <c r="ZH99" s="637"/>
      <c r="ZI99" s="637"/>
      <c r="ZJ99" s="637"/>
      <c r="ZK99" s="637"/>
      <c r="ZL99" s="637"/>
      <c r="ZM99" s="637"/>
      <c r="ZN99" s="637"/>
      <c r="ZO99" s="637"/>
      <c r="ZP99" s="637"/>
      <c r="ZQ99" s="637"/>
      <c r="ZR99" s="637"/>
      <c r="ZS99" s="637"/>
      <c r="ZT99" s="637"/>
      <c r="ZU99" s="637"/>
      <c r="ZV99" s="637"/>
      <c r="ZW99" s="637"/>
      <c r="ZX99" s="637"/>
      <c r="ZY99" s="637"/>
      <c r="ZZ99" s="637"/>
      <c r="AAA99" s="637"/>
      <c r="AAB99" s="637"/>
      <c r="AAC99" s="637"/>
      <c r="AAD99" s="637"/>
      <c r="AAE99" s="637"/>
      <c r="AAF99" s="637"/>
      <c r="AAG99" s="637"/>
      <c r="AAH99" s="637"/>
      <c r="AAI99" s="637"/>
      <c r="AAJ99" s="637"/>
      <c r="AAK99" s="637"/>
      <c r="AAL99" s="637"/>
      <c r="AAM99" s="637"/>
      <c r="AAN99" s="637"/>
      <c r="AAO99" s="637"/>
      <c r="AAP99" s="637"/>
      <c r="AAQ99" s="637"/>
      <c r="AAR99" s="637"/>
      <c r="AAS99" s="637"/>
      <c r="AAT99" s="637"/>
      <c r="AAU99" s="637"/>
      <c r="AAV99" s="637"/>
      <c r="AAW99" s="637"/>
      <c r="AAX99" s="637"/>
      <c r="AAY99" s="637"/>
      <c r="AAZ99" s="637"/>
      <c r="ABA99" s="637"/>
      <c r="ABB99" s="637"/>
      <c r="ABC99" s="637"/>
      <c r="ABD99" s="637"/>
      <c r="ABE99" s="637"/>
      <c r="ABF99" s="637"/>
      <c r="ABG99" s="637"/>
      <c r="ABH99" s="637"/>
      <c r="ABI99" s="637"/>
      <c r="ABJ99" s="637"/>
      <c r="ABK99" s="637"/>
      <c r="ABL99" s="637"/>
      <c r="ABM99" s="637"/>
      <c r="ABN99" s="637"/>
      <c r="ABO99" s="637"/>
      <c r="ABP99" s="637"/>
      <c r="ABQ99" s="637"/>
      <c r="ABR99" s="637"/>
      <c r="ABS99" s="637"/>
      <c r="ABT99" s="637"/>
      <c r="ABU99" s="637"/>
      <c r="ABV99" s="637"/>
      <c r="ABW99" s="637"/>
      <c r="ABX99" s="637"/>
      <c r="ABY99" s="637"/>
      <c r="ABZ99" s="637"/>
      <c r="ACA99" s="637"/>
      <c r="ACB99" s="637"/>
      <c r="ACC99" s="637"/>
      <c r="ACD99" s="637"/>
      <c r="ACE99" s="637"/>
      <c r="ACF99" s="637"/>
      <c r="ACG99" s="637"/>
      <c r="ACH99" s="637"/>
      <c r="ACI99" s="637"/>
      <c r="ACJ99" s="637"/>
      <c r="ACK99" s="637"/>
      <c r="ACL99" s="637"/>
      <c r="ACM99" s="637"/>
      <c r="ACN99" s="637"/>
      <c r="ACO99" s="637"/>
      <c r="ACP99" s="637"/>
      <c r="ACQ99" s="637"/>
      <c r="ACR99" s="637"/>
      <c r="ACS99" s="637"/>
      <c r="ACT99" s="637"/>
      <c r="ACU99" s="637"/>
      <c r="ACV99" s="637"/>
      <c r="ACW99" s="637"/>
      <c r="ACX99" s="637"/>
      <c r="ACY99" s="637"/>
      <c r="ACZ99" s="637"/>
      <c r="ADA99" s="637"/>
      <c r="ADB99" s="637"/>
      <c r="ADC99" s="637"/>
      <c r="ADD99" s="637"/>
      <c r="ADE99" s="637"/>
      <c r="ADF99" s="637"/>
      <c r="ADG99" s="637"/>
      <c r="ADH99" s="637"/>
      <c r="ADI99" s="637"/>
      <c r="ADJ99" s="637"/>
      <c r="ADK99" s="637"/>
      <c r="ADL99" s="637"/>
      <c r="ADM99" s="637"/>
      <c r="ADN99" s="637"/>
      <c r="ADO99" s="637"/>
      <c r="ADP99" s="637"/>
      <c r="ADQ99" s="637"/>
      <c r="ADR99" s="637"/>
      <c r="ADS99" s="637"/>
      <c r="ADT99" s="637"/>
      <c r="ADU99" s="637"/>
      <c r="ADV99" s="637"/>
      <c r="ADW99" s="637"/>
      <c r="ADX99" s="637"/>
      <c r="ADY99" s="637"/>
      <c r="ADZ99" s="637"/>
      <c r="AEA99" s="637"/>
      <c r="AEB99" s="637"/>
      <c r="AEC99" s="637"/>
      <c r="AED99" s="637"/>
      <c r="AEE99" s="637"/>
      <c r="AEF99" s="637"/>
      <c r="AEG99" s="637"/>
      <c r="AEH99" s="637"/>
      <c r="AEI99" s="637"/>
      <c r="AEJ99" s="637"/>
      <c r="AEK99" s="637"/>
      <c r="AEL99" s="637"/>
      <c r="AEM99" s="637"/>
      <c r="AEN99" s="637"/>
      <c r="AEO99" s="637"/>
      <c r="AEP99" s="637"/>
      <c r="AEQ99" s="637"/>
      <c r="AER99" s="637"/>
      <c r="AES99" s="637"/>
      <c r="AET99" s="637"/>
      <c r="AEU99" s="637"/>
      <c r="AEV99" s="637"/>
      <c r="AEW99" s="637"/>
      <c r="AEX99" s="637"/>
      <c r="AEY99" s="637"/>
      <c r="AEZ99" s="637"/>
      <c r="AFA99" s="637"/>
      <c r="AFB99" s="637"/>
      <c r="AFC99" s="637"/>
      <c r="AFD99" s="637"/>
      <c r="AFE99" s="637"/>
      <c r="AFF99" s="637"/>
      <c r="AFG99" s="637"/>
      <c r="AFH99" s="637"/>
      <c r="AFI99" s="637"/>
      <c r="AFJ99" s="637"/>
      <c r="AFK99" s="637"/>
      <c r="AFL99" s="637"/>
      <c r="AFM99" s="637"/>
      <c r="AFN99" s="637"/>
      <c r="AFO99" s="637"/>
      <c r="AFP99" s="637"/>
      <c r="AFQ99" s="637"/>
      <c r="AFR99" s="637"/>
      <c r="AFS99" s="637"/>
      <c r="AFT99" s="637"/>
      <c r="AFU99" s="637"/>
      <c r="AFV99" s="637"/>
      <c r="AFW99" s="637"/>
      <c r="AFX99" s="637"/>
      <c r="AFY99" s="637"/>
      <c r="AFZ99" s="637"/>
      <c r="AGA99" s="637"/>
      <c r="AGB99" s="637"/>
      <c r="AGC99" s="637"/>
      <c r="AGD99" s="637"/>
      <c r="AGE99" s="637"/>
      <c r="AGF99" s="637"/>
      <c r="AGG99" s="637"/>
      <c r="AGH99" s="637"/>
      <c r="AGI99" s="637"/>
      <c r="AGJ99" s="637"/>
      <c r="AGK99" s="637"/>
      <c r="AGL99" s="637"/>
      <c r="AGM99" s="637"/>
      <c r="AGN99" s="637"/>
      <c r="AGO99" s="637"/>
      <c r="AGP99" s="637"/>
      <c r="AGQ99" s="637"/>
      <c r="AGR99" s="637"/>
      <c r="AGS99" s="637"/>
      <c r="AGT99" s="637"/>
      <c r="AGU99" s="637"/>
      <c r="AGV99" s="637"/>
      <c r="AGW99" s="637"/>
      <c r="AGX99" s="637"/>
      <c r="AGY99" s="637"/>
      <c r="AGZ99" s="637"/>
      <c r="AHA99" s="637"/>
      <c r="AHB99" s="637"/>
      <c r="AHC99" s="637"/>
      <c r="AHD99" s="637"/>
      <c r="AHE99" s="637"/>
      <c r="AHF99" s="637"/>
      <c r="AHG99" s="637"/>
      <c r="AHH99" s="637"/>
      <c r="AHI99" s="637"/>
      <c r="AHJ99" s="637"/>
      <c r="AHK99" s="637"/>
      <c r="AHL99" s="637"/>
      <c r="AHM99" s="637"/>
      <c r="AHN99" s="637"/>
      <c r="AHO99" s="637"/>
      <c r="AHP99" s="637"/>
      <c r="AHQ99" s="637"/>
      <c r="AHR99" s="637"/>
      <c r="AHS99" s="637"/>
      <c r="AHT99" s="637"/>
      <c r="AHU99" s="637"/>
      <c r="AHV99" s="637"/>
      <c r="AHW99" s="637"/>
      <c r="AHX99" s="637"/>
      <c r="AHY99" s="637"/>
      <c r="AHZ99" s="637"/>
      <c r="AIA99" s="637"/>
      <c r="AIB99" s="637"/>
      <c r="AIC99" s="637"/>
      <c r="AID99" s="637"/>
      <c r="AIE99" s="637"/>
      <c r="AIF99" s="637"/>
      <c r="AIG99" s="637"/>
      <c r="AIH99" s="637"/>
      <c r="AII99" s="637"/>
      <c r="AIJ99" s="637"/>
      <c r="AIK99" s="637"/>
      <c r="AIL99" s="637"/>
      <c r="AIM99" s="637"/>
      <c r="AIN99" s="637"/>
      <c r="AIO99" s="637"/>
      <c r="AIP99" s="637"/>
      <c r="AIQ99" s="637"/>
      <c r="AIR99" s="637"/>
      <c r="AIS99" s="637"/>
      <c r="AIT99" s="637"/>
      <c r="AIU99" s="637"/>
      <c r="AIV99" s="637"/>
      <c r="AIW99" s="637"/>
      <c r="AIX99" s="637"/>
      <c r="AIY99" s="637"/>
      <c r="AIZ99" s="637"/>
      <c r="AJA99" s="637"/>
      <c r="AJB99" s="637"/>
      <c r="AJC99" s="637"/>
      <c r="AJD99" s="637"/>
      <c r="AJE99" s="637"/>
      <c r="AJF99" s="637"/>
      <c r="AJG99" s="637"/>
      <c r="AJH99" s="637"/>
      <c r="AJI99" s="637"/>
      <c r="AJJ99" s="637"/>
      <c r="AJK99" s="637"/>
      <c r="AJL99" s="637"/>
      <c r="AJM99" s="637"/>
      <c r="AJN99" s="637"/>
      <c r="AJO99" s="637"/>
      <c r="AJP99" s="637"/>
      <c r="AJQ99" s="637"/>
      <c r="AJR99" s="637"/>
      <c r="AJS99" s="637"/>
      <c r="AJT99" s="637"/>
      <c r="AJU99" s="637"/>
      <c r="AJV99" s="637"/>
      <c r="AJW99" s="637"/>
      <c r="AJX99" s="637"/>
      <c r="AJY99" s="637"/>
      <c r="AJZ99" s="637"/>
      <c r="AKA99" s="637"/>
      <c r="AKB99" s="637"/>
      <c r="AKC99" s="637"/>
      <c r="AKD99" s="637"/>
      <c r="AKE99" s="637"/>
      <c r="AKF99" s="637"/>
      <c r="AKG99" s="637"/>
      <c r="AKH99" s="637"/>
      <c r="AKI99" s="637"/>
      <c r="AKJ99" s="637"/>
      <c r="AKK99" s="637"/>
      <c r="AKL99" s="637"/>
      <c r="AKM99" s="637"/>
      <c r="AKN99" s="637"/>
      <c r="AKO99" s="637"/>
      <c r="AKP99" s="637"/>
      <c r="AKQ99" s="637"/>
      <c r="AKR99" s="637"/>
      <c r="AKS99" s="637"/>
      <c r="AKT99" s="637"/>
      <c r="AKU99" s="637"/>
      <c r="AKV99" s="637"/>
      <c r="AKW99" s="637"/>
      <c r="AKX99" s="637"/>
      <c r="AKY99" s="637"/>
      <c r="AKZ99" s="637"/>
      <c r="ALA99" s="637"/>
      <c r="ALB99" s="637"/>
      <c r="ALC99" s="637"/>
      <c r="ALD99" s="637"/>
      <c r="ALE99" s="637"/>
      <c r="ALF99" s="637"/>
      <c r="ALG99" s="637"/>
      <c r="ALH99" s="637"/>
      <c r="ALI99" s="637"/>
      <c r="ALJ99" s="637"/>
      <c r="ALK99" s="637"/>
      <c r="ALL99" s="637"/>
      <c r="ALM99" s="637"/>
      <c r="ALN99" s="637"/>
      <c r="ALO99" s="637"/>
      <c r="ALP99" s="637"/>
      <c r="ALQ99" s="637"/>
      <c r="ALR99" s="637"/>
      <c r="ALS99" s="637"/>
      <c r="ALT99" s="637"/>
      <c r="ALU99" s="637"/>
      <c r="ALV99" s="637"/>
      <c r="ALW99" s="637"/>
      <c r="ALX99" s="637"/>
      <c r="ALY99" s="637"/>
      <c r="ALZ99" s="637"/>
      <c r="AMA99" s="637"/>
      <c r="AMB99" s="637"/>
      <c r="AMC99" s="637"/>
      <c r="AMD99" s="637"/>
      <c r="AME99" s="637"/>
      <c r="AMF99" s="637"/>
      <c r="AMG99" s="637"/>
      <c r="AMH99" s="637"/>
      <c r="AMI99" s="637"/>
      <c r="AMJ99" s="637"/>
    </row>
    <row r="100" spans="1:1024" s="638" customFormat="1" ht="12.75">
      <c r="A100" s="984"/>
      <c r="B100" s="985"/>
      <c r="C100" s="986"/>
      <c r="D100" s="981" t="s">
        <v>1041</v>
      </c>
      <c r="E100" s="982">
        <f>22421+42+27+575</f>
        <v>23065</v>
      </c>
      <c r="F100" s="982"/>
      <c r="G100" s="987"/>
      <c r="H100" s="987"/>
      <c r="I100" s="987"/>
      <c r="J100" s="987"/>
      <c r="K100" s="987"/>
      <c r="L100" s="987"/>
      <c r="M100" s="987"/>
      <c r="N100" s="987"/>
      <c r="O100" s="987"/>
      <c r="P100" s="987"/>
      <c r="Q100" s="987"/>
      <c r="R100" s="984"/>
      <c r="S100" s="637"/>
      <c r="T100" s="637"/>
      <c r="U100" s="637"/>
      <c r="V100" s="637"/>
      <c r="W100" s="637"/>
      <c r="X100" s="637"/>
      <c r="Y100" s="637"/>
      <c r="Z100" s="637"/>
      <c r="AA100" s="637"/>
      <c r="AB100" s="637"/>
      <c r="AC100" s="637"/>
      <c r="AD100" s="637"/>
      <c r="AE100" s="637"/>
      <c r="AF100" s="637"/>
      <c r="AG100" s="637"/>
      <c r="AH100" s="637"/>
      <c r="AI100" s="637"/>
      <c r="AJ100" s="637"/>
      <c r="AK100" s="637"/>
      <c r="AL100" s="637"/>
      <c r="AM100" s="637"/>
      <c r="AN100" s="637"/>
      <c r="AO100" s="637"/>
      <c r="AP100" s="637"/>
      <c r="AQ100" s="637"/>
      <c r="AR100" s="637"/>
      <c r="AS100" s="637"/>
      <c r="AT100" s="637"/>
      <c r="AU100" s="637"/>
      <c r="AV100" s="637"/>
      <c r="AW100" s="637"/>
      <c r="AX100" s="637"/>
      <c r="AY100" s="637"/>
      <c r="AZ100" s="637"/>
      <c r="BA100" s="637"/>
      <c r="BB100" s="637"/>
      <c r="BC100" s="637"/>
      <c r="BD100" s="637"/>
      <c r="BE100" s="637"/>
      <c r="BF100" s="637"/>
      <c r="BG100" s="637"/>
      <c r="BH100" s="637"/>
      <c r="BI100" s="637"/>
      <c r="BJ100" s="637"/>
      <c r="BK100" s="637"/>
      <c r="BL100" s="637"/>
      <c r="BM100" s="637"/>
      <c r="BN100" s="637"/>
      <c r="BO100" s="637"/>
      <c r="BP100" s="637"/>
      <c r="BQ100" s="637"/>
      <c r="BR100" s="637"/>
      <c r="BS100" s="637"/>
      <c r="BT100" s="637"/>
      <c r="BU100" s="637"/>
      <c r="BV100" s="637"/>
      <c r="BW100" s="637"/>
      <c r="BX100" s="637"/>
      <c r="BY100" s="637"/>
      <c r="BZ100" s="637"/>
      <c r="CA100" s="637"/>
      <c r="CB100" s="637"/>
      <c r="CC100" s="637"/>
      <c r="CD100" s="637"/>
      <c r="CE100" s="637"/>
      <c r="CF100" s="637"/>
      <c r="CG100" s="637"/>
      <c r="CH100" s="637"/>
      <c r="CI100" s="637"/>
      <c r="CJ100" s="637"/>
      <c r="CK100" s="637"/>
      <c r="CL100" s="637"/>
      <c r="CM100" s="637"/>
      <c r="CN100" s="637"/>
      <c r="CO100" s="637"/>
      <c r="CP100" s="637"/>
      <c r="CQ100" s="637"/>
      <c r="CR100" s="637"/>
      <c r="CS100" s="637"/>
      <c r="CT100" s="637"/>
      <c r="CU100" s="637"/>
      <c r="CV100" s="637"/>
      <c r="CW100" s="637"/>
      <c r="CX100" s="637"/>
      <c r="CY100" s="637"/>
      <c r="CZ100" s="637"/>
      <c r="DA100" s="637"/>
      <c r="DB100" s="637"/>
      <c r="DC100" s="637"/>
      <c r="DD100" s="637"/>
      <c r="DE100" s="637"/>
      <c r="DF100" s="637"/>
      <c r="DG100" s="637"/>
      <c r="DH100" s="637"/>
      <c r="DI100" s="637"/>
      <c r="DJ100" s="637"/>
      <c r="DK100" s="637"/>
      <c r="DL100" s="637"/>
      <c r="DM100" s="637"/>
      <c r="DN100" s="637"/>
      <c r="DO100" s="637"/>
      <c r="DP100" s="637"/>
      <c r="DQ100" s="637"/>
      <c r="DR100" s="637"/>
      <c r="DS100" s="637"/>
      <c r="DT100" s="637"/>
      <c r="DU100" s="637"/>
      <c r="DV100" s="637"/>
      <c r="DW100" s="637"/>
      <c r="DX100" s="637"/>
      <c r="DY100" s="637"/>
      <c r="DZ100" s="637"/>
      <c r="EA100" s="637"/>
      <c r="EB100" s="637"/>
      <c r="EC100" s="637"/>
      <c r="ED100" s="637"/>
      <c r="EE100" s="637"/>
      <c r="EF100" s="637"/>
      <c r="EG100" s="637"/>
      <c r="EH100" s="637"/>
      <c r="EI100" s="637"/>
      <c r="EJ100" s="637"/>
      <c r="EK100" s="637"/>
      <c r="EL100" s="637"/>
      <c r="EM100" s="637"/>
      <c r="EN100" s="637"/>
      <c r="EO100" s="637"/>
      <c r="EP100" s="637"/>
      <c r="EQ100" s="637"/>
      <c r="ER100" s="637"/>
      <c r="ES100" s="637"/>
      <c r="ET100" s="637"/>
      <c r="EU100" s="637"/>
      <c r="EV100" s="637"/>
      <c r="EW100" s="637"/>
      <c r="EX100" s="637"/>
      <c r="EY100" s="637"/>
      <c r="EZ100" s="637"/>
      <c r="FA100" s="637"/>
      <c r="FB100" s="637"/>
      <c r="FC100" s="637"/>
      <c r="FD100" s="637"/>
      <c r="FE100" s="637"/>
      <c r="FF100" s="637"/>
      <c r="FG100" s="637"/>
      <c r="FH100" s="637"/>
      <c r="FI100" s="637"/>
      <c r="FJ100" s="637"/>
      <c r="FK100" s="637"/>
      <c r="FL100" s="637"/>
      <c r="FM100" s="637"/>
      <c r="FN100" s="637"/>
      <c r="FO100" s="637"/>
      <c r="FP100" s="637"/>
      <c r="FQ100" s="637"/>
      <c r="FR100" s="637"/>
      <c r="FS100" s="637"/>
      <c r="FT100" s="637"/>
      <c r="FU100" s="637"/>
      <c r="FV100" s="637"/>
      <c r="FW100" s="637"/>
      <c r="FX100" s="637"/>
      <c r="FY100" s="637"/>
      <c r="FZ100" s="637"/>
      <c r="GA100" s="637"/>
      <c r="GB100" s="637"/>
      <c r="GC100" s="637"/>
      <c r="GD100" s="637"/>
      <c r="GE100" s="637"/>
      <c r="GF100" s="637"/>
      <c r="GG100" s="637"/>
      <c r="GH100" s="637"/>
      <c r="GI100" s="637"/>
      <c r="GJ100" s="637"/>
      <c r="GK100" s="637"/>
      <c r="GL100" s="637"/>
      <c r="GM100" s="637"/>
      <c r="GN100" s="637"/>
      <c r="GO100" s="637"/>
      <c r="GP100" s="637"/>
      <c r="GQ100" s="637"/>
      <c r="GR100" s="637"/>
      <c r="GS100" s="637"/>
      <c r="GT100" s="637"/>
      <c r="GU100" s="637"/>
      <c r="GV100" s="637"/>
      <c r="GW100" s="637"/>
      <c r="GX100" s="637"/>
      <c r="GY100" s="637"/>
      <c r="GZ100" s="637"/>
      <c r="HA100" s="637"/>
      <c r="HB100" s="637"/>
      <c r="HC100" s="637"/>
      <c r="HD100" s="637"/>
      <c r="HE100" s="637"/>
      <c r="HF100" s="637"/>
      <c r="HG100" s="637"/>
      <c r="HH100" s="637"/>
      <c r="HI100" s="637"/>
      <c r="HJ100" s="637"/>
      <c r="HK100" s="637"/>
      <c r="HL100" s="637"/>
      <c r="HM100" s="637"/>
      <c r="HN100" s="637"/>
      <c r="HO100" s="637"/>
      <c r="HP100" s="637"/>
      <c r="HQ100" s="637"/>
      <c r="HR100" s="637"/>
      <c r="HS100" s="637"/>
      <c r="HT100" s="637"/>
      <c r="HU100" s="637"/>
      <c r="HV100" s="637"/>
      <c r="HW100" s="637"/>
      <c r="HX100" s="637"/>
      <c r="HY100" s="637"/>
      <c r="HZ100" s="637"/>
      <c r="IA100" s="637"/>
      <c r="IB100" s="637"/>
      <c r="IC100" s="637"/>
      <c r="ID100" s="637"/>
      <c r="IE100" s="637"/>
      <c r="IF100" s="637"/>
      <c r="IG100" s="637"/>
      <c r="IH100" s="637"/>
      <c r="II100" s="637"/>
      <c r="IJ100" s="637"/>
      <c r="IK100" s="637"/>
      <c r="IL100" s="637"/>
      <c r="IM100" s="637"/>
      <c r="IN100" s="637"/>
      <c r="IO100" s="637"/>
      <c r="IP100" s="637"/>
      <c r="IQ100" s="637"/>
      <c r="IR100" s="637"/>
      <c r="IS100" s="637"/>
      <c r="IT100" s="637"/>
      <c r="IU100" s="637"/>
      <c r="IV100" s="637"/>
      <c r="IW100" s="637"/>
      <c r="IX100" s="637"/>
      <c r="IY100" s="637"/>
      <c r="IZ100" s="637"/>
      <c r="JA100" s="637"/>
      <c r="JB100" s="637"/>
      <c r="JC100" s="637"/>
      <c r="JD100" s="637"/>
      <c r="JE100" s="637"/>
      <c r="JF100" s="637"/>
      <c r="JG100" s="637"/>
      <c r="JH100" s="637"/>
      <c r="JI100" s="637"/>
      <c r="JJ100" s="637"/>
      <c r="JK100" s="637"/>
      <c r="JL100" s="637"/>
      <c r="JM100" s="637"/>
      <c r="JN100" s="637"/>
      <c r="JO100" s="637"/>
      <c r="JP100" s="637"/>
      <c r="JQ100" s="637"/>
      <c r="JR100" s="637"/>
      <c r="JS100" s="637"/>
      <c r="JT100" s="637"/>
      <c r="JU100" s="637"/>
      <c r="JV100" s="637"/>
      <c r="JW100" s="637"/>
      <c r="JX100" s="637"/>
      <c r="JY100" s="637"/>
      <c r="JZ100" s="637"/>
      <c r="KA100" s="637"/>
      <c r="KB100" s="637"/>
      <c r="KC100" s="637"/>
      <c r="KD100" s="637"/>
      <c r="KE100" s="637"/>
      <c r="KF100" s="637"/>
      <c r="KG100" s="637"/>
      <c r="KH100" s="637"/>
      <c r="KI100" s="637"/>
      <c r="KJ100" s="637"/>
      <c r="KK100" s="637"/>
      <c r="KL100" s="637"/>
      <c r="KM100" s="637"/>
      <c r="KN100" s="637"/>
      <c r="KO100" s="637"/>
      <c r="KP100" s="637"/>
      <c r="KQ100" s="637"/>
      <c r="KR100" s="637"/>
      <c r="KS100" s="637"/>
      <c r="KT100" s="637"/>
      <c r="KU100" s="637"/>
      <c r="KV100" s="637"/>
      <c r="KW100" s="637"/>
      <c r="KX100" s="637"/>
      <c r="KY100" s="637"/>
      <c r="KZ100" s="637"/>
      <c r="LA100" s="637"/>
      <c r="LB100" s="637"/>
      <c r="LC100" s="637"/>
      <c r="LD100" s="637"/>
      <c r="LE100" s="637"/>
      <c r="LF100" s="637"/>
      <c r="LG100" s="637"/>
      <c r="LH100" s="637"/>
      <c r="LI100" s="637"/>
      <c r="LJ100" s="637"/>
      <c r="LK100" s="637"/>
      <c r="LL100" s="637"/>
      <c r="LM100" s="637"/>
      <c r="LN100" s="637"/>
      <c r="LO100" s="637"/>
      <c r="LP100" s="637"/>
      <c r="LQ100" s="637"/>
      <c r="LR100" s="637"/>
      <c r="LS100" s="637"/>
      <c r="LT100" s="637"/>
      <c r="LU100" s="637"/>
      <c r="LV100" s="637"/>
      <c r="LW100" s="637"/>
      <c r="LX100" s="637"/>
      <c r="LY100" s="637"/>
      <c r="LZ100" s="637"/>
      <c r="MA100" s="637"/>
      <c r="MB100" s="637"/>
      <c r="MC100" s="637"/>
      <c r="MD100" s="637"/>
      <c r="ME100" s="637"/>
      <c r="MF100" s="637"/>
      <c r="MG100" s="637"/>
      <c r="MH100" s="637"/>
      <c r="MI100" s="637"/>
      <c r="MJ100" s="637"/>
      <c r="MK100" s="637"/>
      <c r="ML100" s="637"/>
      <c r="MM100" s="637"/>
      <c r="MN100" s="637"/>
      <c r="MO100" s="637"/>
      <c r="MP100" s="637"/>
      <c r="MQ100" s="637"/>
      <c r="MR100" s="637"/>
      <c r="MS100" s="637"/>
      <c r="MT100" s="637"/>
      <c r="MU100" s="637"/>
      <c r="MV100" s="637"/>
      <c r="MW100" s="637"/>
      <c r="MX100" s="637"/>
      <c r="MY100" s="637"/>
      <c r="MZ100" s="637"/>
      <c r="NA100" s="637"/>
      <c r="NB100" s="637"/>
      <c r="NC100" s="637"/>
      <c r="ND100" s="637"/>
      <c r="NE100" s="637"/>
      <c r="NF100" s="637"/>
      <c r="NG100" s="637"/>
      <c r="NH100" s="637"/>
      <c r="NI100" s="637"/>
      <c r="NJ100" s="637"/>
      <c r="NK100" s="637"/>
      <c r="NL100" s="637"/>
      <c r="NM100" s="637"/>
      <c r="NN100" s="637"/>
      <c r="NO100" s="637"/>
      <c r="NP100" s="637"/>
      <c r="NQ100" s="637"/>
      <c r="NR100" s="637"/>
      <c r="NS100" s="637"/>
      <c r="NT100" s="637"/>
      <c r="NU100" s="637"/>
      <c r="NV100" s="637"/>
      <c r="NW100" s="637"/>
      <c r="NX100" s="637"/>
      <c r="NY100" s="637"/>
      <c r="NZ100" s="637"/>
      <c r="OA100" s="637"/>
      <c r="OB100" s="637"/>
      <c r="OC100" s="637"/>
      <c r="OD100" s="637"/>
      <c r="OE100" s="637"/>
      <c r="OF100" s="637"/>
      <c r="OG100" s="637"/>
      <c r="OH100" s="637"/>
      <c r="OI100" s="637"/>
      <c r="OJ100" s="637"/>
      <c r="OK100" s="637"/>
      <c r="OL100" s="637"/>
      <c r="OM100" s="637"/>
      <c r="ON100" s="637"/>
      <c r="OO100" s="637"/>
      <c r="OP100" s="637"/>
      <c r="OQ100" s="637"/>
      <c r="OR100" s="637"/>
      <c r="OS100" s="637"/>
      <c r="OT100" s="637"/>
      <c r="OU100" s="637"/>
      <c r="OV100" s="637"/>
      <c r="OW100" s="637"/>
      <c r="OX100" s="637"/>
      <c r="OY100" s="637"/>
      <c r="OZ100" s="637"/>
      <c r="PA100" s="637"/>
      <c r="PB100" s="637"/>
      <c r="PC100" s="637"/>
      <c r="PD100" s="637"/>
      <c r="PE100" s="637"/>
      <c r="PF100" s="637"/>
      <c r="PG100" s="637"/>
      <c r="PH100" s="637"/>
      <c r="PI100" s="637"/>
      <c r="PJ100" s="637"/>
      <c r="PK100" s="637"/>
      <c r="PL100" s="637"/>
      <c r="PM100" s="637"/>
      <c r="PN100" s="637"/>
      <c r="PO100" s="637"/>
      <c r="PP100" s="637"/>
      <c r="PQ100" s="637"/>
      <c r="PR100" s="637"/>
      <c r="PS100" s="637"/>
      <c r="PT100" s="637"/>
      <c r="PU100" s="637"/>
      <c r="PV100" s="637"/>
      <c r="PW100" s="637"/>
      <c r="PX100" s="637"/>
      <c r="PY100" s="637"/>
      <c r="PZ100" s="637"/>
      <c r="QA100" s="637"/>
      <c r="QB100" s="637"/>
      <c r="QC100" s="637"/>
      <c r="QD100" s="637"/>
      <c r="QE100" s="637"/>
      <c r="QF100" s="637"/>
      <c r="QG100" s="637"/>
      <c r="QH100" s="637"/>
      <c r="QI100" s="637"/>
      <c r="QJ100" s="637"/>
      <c r="QK100" s="637"/>
      <c r="QL100" s="637"/>
      <c r="QM100" s="637"/>
      <c r="QN100" s="637"/>
      <c r="QO100" s="637"/>
      <c r="QP100" s="637"/>
      <c r="QQ100" s="637"/>
      <c r="QR100" s="637"/>
      <c r="QS100" s="637"/>
      <c r="QT100" s="637"/>
      <c r="QU100" s="637"/>
      <c r="QV100" s="637"/>
      <c r="QW100" s="637"/>
      <c r="QX100" s="637"/>
      <c r="QY100" s="637"/>
      <c r="QZ100" s="637"/>
      <c r="RA100" s="637"/>
      <c r="RB100" s="637"/>
      <c r="RC100" s="637"/>
      <c r="RD100" s="637"/>
      <c r="RE100" s="637"/>
      <c r="RF100" s="637"/>
      <c r="RG100" s="637"/>
      <c r="RH100" s="637"/>
      <c r="RI100" s="637"/>
      <c r="RJ100" s="637"/>
      <c r="RK100" s="637"/>
      <c r="RL100" s="637"/>
      <c r="RM100" s="637"/>
      <c r="RN100" s="637"/>
      <c r="RO100" s="637"/>
      <c r="RP100" s="637"/>
      <c r="RQ100" s="637"/>
      <c r="RR100" s="637"/>
      <c r="RS100" s="637"/>
      <c r="RT100" s="637"/>
      <c r="RU100" s="637"/>
      <c r="RV100" s="637"/>
      <c r="RW100" s="637"/>
      <c r="RX100" s="637"/>
      <c r="RY100" s="637"/>
      <c r="RZ100" s="637"/>
      <c r="SA100" s="637"/>
      <c r="SB100" s="637"/>
      <c r="SC100" s="637"/>
      <c r="SD100" s="637"/>
      <c r="SE100" s="637"/>
      <c r="SF100" s="637"/>
      <c r="SG100" s="637"/>
      <c r="SH100" s="637"/>
      <c r="SI100" s="637"/>
      <c r="SJ100" s="637"/>
      <c r="SK100" s="637"/>
      <c r="SL100" s="637"/>
      <c r="SM100" s="637"/>
      <c r="SN100" s="637"/>
      <c r="SO100" s="637"/>
      <c r="SP100" s="637"/>
      <c r="SQ100" s="637"/>
      <c r="SR100" s="637"/>
      <c r="SS100" s="637"/>
      <c r="ST100" s="637"/>
      <c r="SU100" s="637"/>
      <c r="SV100" s="637"/>
      <c r="SW100" s="637"/>
      <c r="SX100" s="637"/>
      <c r="SY100" s="637"/>
      <c r="SZ100" s="637"/>
      <c r="TA100" s="637"/>
      <c r="TB100" s="637"/>
      <c r="TC100" s="637"/>
      <c r="TD100" s="637"/>
      <c r="TE100" s="637"/>
      <c r="TF100" s="637"/>
      <c r="TG100" s="637"/>
      <c r="TH100" s="637"/>
      <c r="TI100" s="637"/>
      <c r="TJ100" s="637"/>
      <c r="TK100" s="637"/>
      <c r="TL100" s="637"/>
      <c r="TM100" s="637"/>
      <c r="TN100" s="637"/>
      <c r="TO100" s="637"/>
      <c r="TP100" s="637"/>
      <c r="TQ100" s="637"/>
      <c r="TR100" s="637"/>
      <c r="TS100" s="637"/>
      <c r="TT100" s="637"/>
      <c r="TU100" s="637"/>
      <c r="TV100" s="637"/>
      <c r="TW100" s="637"/>
      <c r="TX100" s="637"/>
      <c r="TY100" s="637"/>
      <c r="TZ100" s="637"/>
      <c r="UA100" s="637"/>
      <c r="UB100" s="637"/>
      <c r="UC100" s="637"/>
      <c r="UD100" s="637"/>
      <c r="UE100" s="637"/>
      <c r="UF100" s="637"/>
      <c r="UG100" s="637"/>
      <c r="UH100" s="637"/>
      <c r="UI100" s="637"/>
      <c r="UJ100" s="637"/>
      <c r="UK100" s="637"/>
      <c r="UL100" s="637"/>
      <c r="UM100" s="637"/>
      <c r="UN100" s="637"/>
      <c r="UO100" s="637"/>
      <c r="UP100" s="637"/>
      <c r="UQ100" s="637"/>
      <c r="UR100" s="637"/>
      <c r="US100" s="637"/>
      <c r="UT100" s="637"/>
      <c r="UU100" s="637"/>
      <c r="UV100" s="637"/>
      <c r="UW100" s="637"/>
      <c r="UX100" s="637"/>
      <c r="UY100" s="637"/>
      <c r="UZ100" s="637"/>
      <c r="VA100" s="637"/>
      <c r="VB100" s="637"/>
      <c r="VC100" s="637"/>
      <c r="VD100" s="637"/>
      <c r="VE100" s="637"/>
      <c r="VF100" s="637"/>
      <c r="VG100" s="637"/>
      <c r="VH100" s="637"/>
      <c r="VI100" s="637"/>
      <c r="VJ100" s="637"/>
      <c r="VK100" s="637"/>
      <c r="VL100" s="637"/>
      <c r="VM100" s="637"/>
      <c r="VN100" s="637"/>
      <c r="VO100" s="637"/>
      <c r="VP100" s="637"/>
      <c r="VQ100" s="637"/>
      <c r="VR100" s="637"/>
      <c r="VS100" s="637"/>
      <c r="VT100" s="637"/>
      <c r="VU100" s="637"/>
      <c r="VV100" s="637"/>
      <c r="VW100" s="637"/>
      <c r="VX100" s="637"/>
      <c r="VY100" s="637"/>
      <c r="VZ100" s="637"/>
      <c r="WA100" s="637"/>
      <c r="WB100" s="637"/>
      <c r="WC100" s="637"/>
      <c r="WD100" s="637"/>
      <c r="WE100" s="637"/>
      <c r="WF100" s="637"/>
      <c r="WG100" s="637"/>
      <c r="WH100" s="637"/>
      <c r="WI100" s="637"/>
      <c r="WJ100" s="637"/>
      <c r="WK100" s="637"/>
      <c r="WL100" s="637"/>
      <c r="WM100" s="637"/>
      <c r="WN100" s="637"/>
      <c r="WO100" s="637"/>
      <c r="WP100" s="637"/>
      <c r="WQ100" s="637"/>
      <c r="WR100" s="637"/>
      <c r="WS100" s="637"/>
      <c r="WT100" s="637"/>
      <c r="WU100" s="637"/>
      <c r="WV100" s="637"/>
      <c r="WW100" s="637"/>
      <c r="WX100" s="637"/>
      <c r="WY100" s="637"/>
      <c r="WZ100" s="637"/>
      <c r="XA100" s="637"/>
      <c r="XB100" s="637"/>
      <c r="XC100" s="637"/>
      <c r="XD100" s="637"/>
      <c r="XE100" s="637"/>
      <c r="XF100" s="637"/>
      <c r="XG100" s="637"/>
      <c r="XH100" s="637"/>
      <c r="XI100" s="637"/>
      <c r="XJ100" s="637"/>
      <c r="XK100" s="637"/>
      <c r="XL100" s="637"/>
      <c r="XM100" s="637"/>
      <c r="XN100" s="637"/>
      <c r="XO100" s="637"/>
      <c r="XP100" s="637"/>
      <c r="XQ100" s="637"/>
      <c r="XR100" s="637"/>
      <c r="XS100" s="637"/>
      <c r="XT100" s="637"/>
      <c r="XU100" s="637"/>
      <c r="XV100" s="637"/>
      <c r="XW100" s="637"/>
      <c r="XX100" s="637"/>
      <c r="XY100" s="637"/>
      <c r="XZ100" s="637"/>
      <c r="YA100" s="637"/>
      <c r="YB100" s="637"/>
      <c r="YC100" s="637"/>
      <c r="YD100" s="637"/>
      <c r="YE100" s="637"/>
      <c r="YF100" s="637"/>
      <c r="YG100" s="637"/>
      <c r="YH100" s="637"/>
      <c r="YI100" s="637"/>
      <c r="YJ100" s="637"/>
      <c r="YK100" s="637"/>
      <c r="YL100" s="637"/>
      <c r="YM100" s="637"/>
      <c r="YN100" s="637"/>
      <c r="YO100" s="637"/>
      <c r="YP100" s="637"/>
      <c r="YQ100" s="637"/>
      <c r="YR100" s="637"/>
      <c r="YS100" s="637"/>
      <c r="YT100" s="637"/>
      <c r="YU100" s="637"/>
      <c r="YV100" s="637"/>
      <c r="YW100" s="637"/>
      <c r="YX100" s="637"/>
      <c r="YY100" s="637"/>
      <c r="YZ100" s="637"/>
      <c r="ZA100" s="637"/>
      <c r="ZB100" s="637"/>
      <c r="ZC100" s="637"/>
      <c r="ZD100" s="637"/>
      <c r="ZE100" s="637"/>
      <c r="ZF100" s="637"/>
      <c r="ZG100" s="637"/>
      <c r="ZH100" s="637"/>
      <c r="ZI100" s="637"/>
      <c r="ZJ100" s="637"/>
      <c r="ZK100" s="637"/>
      <c r="ZL100" s="637"/>
      <c r="ZM100" s="637"/>
      <c r="ZN100" s="637"/>
      <c r="ZO100" s="637"/>
      <c r="ZP100" s="637"/>
      <c r="ZQ100" s="637"/>
      <c r="ZR100" s="637"/>
      <c r="ZS100" s="637"/>
      <c r="ZT100" s="637"/>
      <c r="ZU100" s="637"/>
      <c r="ZV100" s="637"/>
      <c r="ZW100" s="637"/>
      <c r="ZX100" s="637"/>
      <c r="ZY100" s="637"/>
      <c r="ZZ100" s="637"/>
      <c r="AAA100" s="637"/>
      <c r="AAB100" s="637"/>
      <c r="AAC100" s="637"/>
      <c r="AAD100" s="637"/>
      <c r="AAE100" s="637"/>
      <c r="AAF100" s="637"/>
      <c r="AAG100" s="637"/>
      <c r="AAH100" s="637"/>
      <c r="AAI100" s="637"/>
      <c r="AAJ100" s="637"/>
      <c r="AAK100" s="637"/>
      <c r="AAL100" s="637"/>
      <c r="AAM100" s="637"/>
      <c r="AAN100" s="637"/>
      <c r="AAO100" s="637"/>
      <c r="AAP100" s="637"/>
      <c r="AAQ100" s="637"/>
      <c r="AAR100" s="637"/>
      <c r="AAS100" s="637"/>
      <c r="AAT100" s="637"/>
      <c r="AAU100" s="637"/>
      <c r="AAV100" s="637"/>
      <c r="AAW100" s="637"/>
      <c r="AAX100" s="637"/>
      <c r="AAY100" s="637"/>
      <c r="AAZ100" s="637"/>
      <c r="ABA100" s="637"/>
      <c r="ABB100" s="637"/>
      <c r="ABC100" s="637"/>
      <c r="ABD100" s="637"/>
      <c r="ABE100" s="637"/>
      <c r="ABF100" s="637"/>
      <c r="ABG100" s="637"/>
      <c r="ABH100" s="637"/>
      <c r="ABI100" s="637"/>
      <c r="ABJ100" s="637"/>
      <c r="ABK100" s="637"/>
      <c r="ABL100" s="637"/>
      <c r="ABM100" s="637"/>
      <c r="ABN100" s="637"/>
      <c r="ABO100" s="637"/>
      <c r="ABP100" s="637"/>
      <c r="ABQ100" s="637"/>
      <c r="ABR100" s="637"/>
      <c r="ABS100" s="637"/>
      <c r="ABT100" s="637"/>
      <c r="ABU100" s="637"/>
      <c r="ABV100" s="637"/>
      <c r="ABW100" s="637"/>
      <c r="ABX100" s="637"/>
      <c r="ABY100" s="637"/>
      <c r="ABZ100" s="637"/>
      <c r="ACA100" s="637"/>
      <c r="ACB100" s="637"/>
      <c r="ACC100" s="637"/>
      <c r="ACD100" s="637"/>
      <c r="ACE100" s="637"/>
      <c r="ACF100" s="637"/>
      <c r="ACG100" s="637"/>
      <c r="ACH100" s="637"/>
      <c r="ACI100" s="637"/>
      <c r="ACJ100" s="637"/>
      <c r="ACK100" s="637"/>
      <c r="ACL100" s="637"/>
      <c r="ACM100" s="637"/>
      <c r="ACN100" s="637"/>
      <c r="ACO100" s="637"/>
      <c r="ACP100" s="637"/>
      <c r="ACQ100" s="637"/>
      <c r="ACR100" s="637"/>
      <c r="ACS100" s="637"/>
      <c r="ACT100" s="637"/>
      <c r="ACU100" s="637"/>
      <c r="ACV100" s="637"/>
      <c r="ACW100" s="637"/>
      <c r="ACX100" s="637"/>
      <c r="ACY100" s="637"/>
      <c r="ACZ100" s="637"/>
      <c r="ADA100" s="637"/>
      <c r="ADB100" s="637"/>
      <c r="ADC100" s="637"/>
      <c r="ADD100" s="637"/>
      <c r="ADE100" s="637"/>
      <c r="ADF100" s="637"/>
      <c r="ADG100" s="637"/>
      <c r="ADH100" s="637"/>
      <c r="ADI100" s="637"/>
      <c r="ADJ100" s="637"/>
      <c r="ADK100" s="637"/>
      <c r="ADL100" s="637"/>
      <c r="ADM100" s="637"/>
      <c r="ADN100" s="637"/>
      <c r="ADO100" s="637"/>
      <c r="ADP100" s="637"/>
      <c r="ADQ100" s="637"/>
      <c r="ADR100" s="637"/>
      <c r="ADS100" s="637"/>
      <c r="ADT100" s="637"/>
      <c r="ADU100" s="637"/>
      <c r="ADV100" s="637"/>
      <c r="ADW100" s="637"/>
      <c r="ADX100" s="637"/>
      <c r="ADY100" s="637"/>
      <c r="ADZ100" s="637"/>
      <c r="AEA100" s="637"/>
      <c r="AEB100" s="637"/>
      <c r="AEC100" s="637"/>
      <c r="AED100" s="637"/>
      <c r="AEE100" s="637"/>
      <c r="AEF100" s="637"/>
      <c r="AEG100" s="637"/>
      <c r="AEH100" s="637"/>
      <c r="AEI100" s="637"/>
      <c r="AEJ100" s="637"/>
      <c r="AEK100" s="637"/>
      <c r="AEL100" s="637"/>
      <c r="AEM100" s="637"/>
      <c r="AEN100" s="637"/>
      <c r="AEO100" s="637"/>
      <c r="AEP100" s="637"/>
      <c r="AEQ100" s="637"/>
      <c r="AER100" s="637"/>
      <c r="AES100" s="637"/>
      <c r="AET100" s="637"/>
      <c r="AEU100" s="637"/>
      <c r="AEV100" s="637"/>
      <c r="AEW100" s="637"/>
      <c r="AEX100" s="637"/>
      <c r="AEY100" s="637"/>
      <c r="AEZ100" s="637"/>
      <c r="AFA100" s="637"/>
      <c r="AFB100" s="637"/>
      <c r="AFC100" s="637"/>
      <c r="AFD100" s="637"/>
      <c r="AFE100" s="637"/>
      <c r="AFF100" s="637"/>
      <c r="AFG100" s="637"/>
      <c r="AFH100" s="637"/>
      <c r="AFI100" s="637"/>
      <c r="AFJ100" s="637"/>
      <c r="AFK100" s="637"/>
      <c r="AFL100" s="637"/>
      <c r="AFM100" s="637"/>
      <c r="AFN100" s="637"/>
      <c r="AFO100" s="637"/>
      <c r="AFP100" s="637"/>
      <c r="AFQ100" s="637"/>
      <c r="AFR100" s="637"/>
      <c r="AFS100" s="637"/>
      <c r="AFT100" s="637"/>
      <c r="AFU100" s="637"/>
      <c r="AFV100" s="637"/>
      <c r="AFW100" s="637"/>
      <c r="AFX100" s="637"/>
      <c r="AFY100" s="637"/>
      <c r="AFZ100" s="637"/>
      <c r="AGA100" s="637"/>
      <c r="AGB100" s="637"/>
      <c r="AGC100" s="637"/>
      <c r="AGD100" s="637"/>
      <c r="AGE100" s="637"/>
      <c r="AGF100" s="637"/>
      <c r="AGG100" s="637"/>
      <c r="AGH100" s="637"/>
      <c r="AGI100" s="637"/>
      <c r="AGJ100" s="637"/>
      <c r="AGK100" s="637"/>
      <c r="AGL100" s="637"/>
      <c r="AGM100" s="637"/>
      <c r="AGN100" s="637"/>
      <c r="AGO100" s="637"/>
      <c r="AGP100" s="637"/>
      <c r="AGQ100" s="637"/>
      <c r="AGR100" s="637"/>
      <c r="AGS100" s="637"/>
      <c r="AGT100" s="637"/>
      <c r="AGU100" s="637"/>
      <c r="AGV100" s="637"/>
      <c r="AGW100" s="637"/>
      <c r="AGX100" s="637"/>
      <c r="AGY100" s="637"/>
      <c r="AGZ100" s="637"/>
      <c r="AHA100" s="637"/>
      <c r="AHB100" s="637"/>
      <c r="AHC100" s="637"/>
      <c r="AHD100" s="637"/>
      <c r="AHE100" s="637"/>
      <c r="AHF100" s="637"/>
      <c r="AHG100" s="637"/>
      <c r="AHH100" s="637"/>
      <c r="AHI100" s="637"/>
      <c r="AHJ100" s="637"/>
      <c r="AHK100" s="637"/>
      <c r="AHL100" s="637"/>
      <c r="AHM100" s="637"/>
      <c r="AHN100" s="637"/>
      <c r="AHO100" s="637"/>
      <c r="AHP100" s="637"/>
      <c r="AHQ100" s="637"/>
      <c r="AHR100" s="637"/>
      <c r="AHS100" s="637"/>
      <c r="AHT100" s="637"/>
      <c r="AHU100" s="637"/>
      <c r="AHV100" s="637"/>
      <c r="AHW100" s="637"/>
      <c r="AHX100" s="637"/>
      <c r="AHY100" s="637"/>
      <c r="AHZ100" s="637"/>
      <c r="AIA100" s="637"/>
      <c r="AIB100" s="637"/>
      <c r="AIC100" s="637"/>
      <c r="AID100" s="637"/>
      <c r="AIE100" s="637"/>
      <c r="AIF100" s="637"/>
      <c r="AIG100" s="637"/>
      <c r="AIH100" s="637"/>
      <c r="AII100" s="637"/>
      <c r="AIJ100" s="637"/>
      <c r="AIK100" s="637"/>
      <c r="AIL100" s="637"/>
      <c r="AIM100" s="637"/>
      <c r="AIN100" s="637"/>
      <c r="AIO100" s="637"/>
      <c r="AIP100" s="637"/>
      <c r="AIQ100" s="637"/>
      <c r="AIR100" s="637"/>
      <c r="AIS100" s="637"/>
      <c r="AIT100" s="637"/>
      <c r="AIU100" s="637"/>
      <c r="AIV100" s="637"/>
      <c r="AIW100" s="637"/>
      <c r="AIX100" s="637"/>
      <c r="AIY100" s="637"/>
      <c r="AIZ100" s="637"/>
      <c r="AJA100" s="637"/>
      <c r="AJB100" s="637"/>
      <c r="AJC100" s="637"/>
      <c r="AJD100" s="637"/>
      <c r="AJE100" s="637"/>
      <c r="AJF100" s="637"/>
      <c r="AJG100" s="637"/>
      <c r="AJH100" s="637"/>
      <c r="AJI100" s="637"/>
      <c r="AJJ100" s="637"/>
      <c r="AJK100" s="637"/>
      <c r="AJL100" s="637"/>
      <c r="AJM100" s="637"/>
      <c r="AJN100" s="637"/>
      <c r="AJO100" s="637"/>
      <c r="AJP100" s="637"/>
      <c r="AJQ100" s="637"/>
      <c r="AJR100" s="637"/>
      <c r="AJS100" s="637"/>
      <c r="AJT100" s="637"/>
      <c r="AJU100" s="637"/>
      <c r="AJV100" s="637"/>
      <c r="AJW100" s="637"/>
      <c r="AJX100" s="637"/>
      <c r="AJY100" s="637"/>
      <c r="AJZ100" s="637"/>
      <c r="AKA100" s="637"/>
      <c r="AKB100" s="637"/>
      <c r="AKC100" s="637"/>
      <c r="AKD100" s="637"/>
      <c r="AKE100" s="637"/>
      <c r="AKF100" s="637"/>
      <c r="AKG100" s="637"/>
      <c r="AKH100" s="637"/>
      <c r="AKI100" s="637"/>
      <c r="AKJ100" s="637"/>
      <c r="AKK100" s="637"/>
      <c r="AKL100" s="637"/>
      <c r="AKM100" s="637"/>
      <c r="AKN100" s="637"/>
      <c r="AKO100" s="637"/>
      <c r="AKP100" s="637"/>
      <c r="AKQ100" s="637"/>
      <c r="AKR100" s="637"/>
      <c r="AKS100" s="637"/>
      <c r="AKT100" s="637"/>
      <c r="AKU100" s="637"/>
      <c r="AKV100" s="637"/>
      <c r="AKW100" s="637"/>
      <c r="AKX100" s="637"/>
      <c r="AKY100" s="637"/>
      <c r="AKZ100" s="637"/>
      <c r="ALA100" s="637"/>
      <c r="ALB100" s="637"/>
      <c r="ALC100" s="637"/>
      <c r="ALD100" s="637"/>
      <c r="ALE100" s="637"/>
      <c r="ALF100" s="637"/>
      <c r="ALG100" s="637"/>
      <c r="ALH100" s="637"/>
      <c r="ALI100" s="637"/>
      <c r="ALJ100" s="637"/>
      <c r="ALK100" s="637"/>
      <c r="ALL100" s="637"/>
      <c r="ALM100" s="637"/>
      <c r="ALN100" s="637"/>
      <c r="ALO100" s="637"/>
      <c r="ALP100" s="637"/>
      <c r="ALQ100" s="637"/>
      <c r="ALR100" s="637"/>
      <c r="ALS100" s="637"/>
      <c r="ALT100" s="637"/>
      <c r="ALU100" s="637"/>
      <c r="ALV100" s="637"/>
      <c r="ALW100" s="637"/>
      <c r="ALX100" s="637"/>
      <c r="ALY100" s="637"/>
      <c r="ALZ100" s="637"/>
      <c r="AMA100" s="637"/>
      <c r="AMB100" s="637"/>
      <c r="AMC100" s="637"/>
      <c r="AMD100" s="637"/>
      <c r="AME100" s="637"/>
      <c r="AMF100" s="637"/>
      <c r="AMG100" s="637"/>
      <c r="AMH100" s="637"/>
      <c r="AMI100" s="637"/>
      <c r="AMJ100" s="637"/>
    </row>
    <row r="101" spans="1:1024" s="638" customFormat="1" ht="12.75" hidden="1">
      <c r="A101" s="984"/>
      <c r="B101" s="985"/>
      <c r="C101" s="986"/>
      <c r="D101" s="1006"/>
      <c r="E101" s="1007">
        <v>21196</v>
      </c>
      <c r="F101" s="1007"/>
      <c r="G101" s="1011"/>
      <c r="H101" s="1011"/>
      <c r="I101" s="1011"/>
      <c r="J101" s="1011"/>
      <c r="K101" s="1011"/>
      <c r="L101" s="1011"/>
      <c r="M101" s="1011"/>
      <c r="N101" s="1011"/>
      <c r="O101" s="1011"/>
      <c r="P101" s="1011"/>
      <c r="Q101" s="1011"/>
      <c r="R101" s="1010"/>
      <c r="S101" s="637"/>
      <c r="T101" s="637"/>
      <c r="U101" s="637"/>
      <c r="V101" s="637"/>
      <c r="W101" s="637"/>
      <c r="X101" s="637"/>
      <c r="Y101" s="637"/>
      <c r="Z101" s="637"/>
      <c r="AA101" s="637"/>
      <c r="AB101" s="637"/>
      <c r="AC101" s="637"/>
      <c r="AD101" s="637"/>
      <c r="AE101" s="637"/>
      <c r="AF101" s="637"/>
      <c r="AG101" s="637"/>
      <c r="AH101" s="637"/>
      <c r="AI101" s="637"/>
      <c r="AJ101" s="637"/>
      <c r="AK101" s="637"/>
      <c r="AL101" s="637"/>
      <c r="AM101" s="637"/>
      <c r="AN101" s="637"/>
      <c r="AO101" s="637"/>
      <c r="AP101" s="637"/>
      <c r="AQ101" s="637"/>
      <c r="AR101" s="637"/>
      <c r="AS101" s="637"/>
      <c r="AT101" s="637"/>
      <c r="AU101" s="637"/>
      <c r="AV101" s="637"/>
      <c r="AW101" s="637"/>
      <c r="AX101" s="637"/>
      <c r="AY101" s="637"/>
      <c r="AZ101" s="637"/>
      <c r="BA101" s="637"/>
      <c r="BB101" s="637"/>
      <c r="BC101" s="637"/>
      <c r="BD101" s="637"/>
      <c r="BE101" s="637"/>
      <c r="BF101" s="637"/>
      <c r="BG101" s="637"/>
      <c r="BH101" s="637"/>
      <c r="BI101" s="637"/>
      <c r="BJ101" s="637"/>
      <c r="BK101" s="637"/>
      <c r="BL101" s="637"/>
      <c r="BM101" s="637"/>
      <c r="BN101" s="637"/>
      <c r="BO101" s="637"/>
      <c r="BP101" s="637"/>
      <c r="BQ101" s="637"/>
      <c r="BR101" s="637"/>
      <c r="BS101" s="637"/>
      <c r="BT101" s="637"/>
      <c r="BU101" s="637"/>
      <c r="BV101" s="637"/>
      <c r="BW101" s="637"/>
      <c r="BX101" s="637"/>
      <c r="BY101" s="637"/>
      <c r="BZ101" s="637"/>
      <c r="CA101" s="637"/>
      <c r="CB101" s="637"/>
      <c r="CC101" s="637"/>
      <c r="CD101" s="637"/>
      <c r="CE101" s="637"/>
      <c r="CF101" s="637"/>
      <c r="CG101" s="637"/>
      <c r="CH101" s="637"/>
      <c r="CI101" s="637"/>
      <c r="CJ101" s="637"/>
      <c r="CK101" s="637"/>
      <c r="CL101" s="637"/>
      <c r="CM101" s="637"/>
      <c r="CN101" s="637"/>
      <c r="CO101" s="637"/>
      <c r="CP101" s="637"/>
      <c r="CQ101" s="637"/>
      <c r="CR101" s="637"/>
      <c r="CS101" s="637"/>
      <c r="CT101" s="637"/>
      <c r="CU101" s="637"/>
      <c r="CV101" s="637"/>
      <c r="CW101" s="637"/>
      <c r="CX101" s="637"/>
      <c r="CY101" s="637"/>
      <c r="CZ101" s="637"/>
      <c r="DA101" s="637"/>
      <c r="DB101" s="637"/>
      <c r="DC101" s="637"/>
      <c r="DD101" s="637"/>
      <c r="DE101" s="637"/>
      <c r="DF101" s="637"/>
      <c r="DG101" s="637"/>
      <c r="DH101" s="637"/>
      <c r="DI101" s="637"/>
      <c r="DJ101" s="637"/>
      <c r="DK101" s="637"/>
      <c r="DL101" s="637"/>
      <c r="DM101" s="637"/>
      <c r="DN101" s="637"/>
      <c r="DO101" s="637"/>
      <c r="DP101" s="637"/>
      <c r="DQ101" s="637"/>
      <c r="DR101" s="637"/>
      <c r="DS101" s="637"/>
      <c r="DT101" s="637"/>
      <c r="DU101" s="637"/>
      <c r="DV101" s="637"/>
      <c r="DW101" s="637"/>
      <c r="DX101" s="637"/>
      <c r="DY101" s="637"/>
      <c r="DZ101" s="637"/>
      <c r="EA101" s="637"/>
      <c r="EB101" s="637"/>
      <c r="EC101" s="637"/>
      <c r="ED101" s="637"/>
      <c r="EE101" s="637"/>
      <c r="EF101" s="637"/>
      <c r="EG101" s="637"/>
      <c r="EH101" s="637"/>
      <c r="EI101" s="637"/>
      <c r="EJ101" s="637"/>
      <c r="EK101" s="637"/>
      <c r="EL101" s="637"/>
      <c r="EM101" s="637"/>
      <c r="EN101" s="637"/>
      <c r="EO101" s="637"/>
      <c r="EP101" s="637"/>
      <c r="EQ101" s="637"/>
      <c r="ER101" s="637"/>
      <c r="ES101" s="637"/>
      <c r="ET101" s="637"/>
      <c r="EU101" s="637"/>
      <c r="EV101" s="637"/>
      <c r="EW101" s="637"/>
      <c r="EX101" s="637"/>
      <c r="EY101" s="637"/>
      <c r="EZ101" s="637"/>
      <c r="FA101" s="637"/>
      <c r="FB101" s="637"/>
      <c r="FC101" s="637"/>
      <c r="FD101" s="637"/>
      <c r="FE101" s="637"/>
      <c r="FF101" s="637"/>
      <c r="FG101" s="637"/>
      <c r="FH101" s="637"/>
      <c r="FI101" s="637"/>
      <c r="FJ101" s="637"/>
      <c r="FK101" s="637"/>
      <c r="FL101" s="637"/>
      <c r="FM101" s="637"/>
      <c r="FN101" s="637"/>
      <c r="FO101" s="637"/>
      <c r="FP101" s="637"/>
      <c r="FQ101" s="637"/>
      <c r="FR101" s="637"/>
      <c r="FS101" s="637"/>
      <c r="FT101" s="637"/>
      <c r="FU101" s="637"/>
      <c r="FV101" s="637"/>
      <c r="FW101" s="637"/>
      <c r="FX101" s="637"/>
      <c r="FY101" s="637"/>
      <c r="FZ101" s="637"/>
      <c r="GA101" s="637"/>
      <c r="GB101" s="637"/>
      <c r="GC101" s="637"/>
      <c r="GD101" s="637"/>
      <c r="GE101" s="637"/>
      <c r="GF101" s="637"/>
      <c r="GG101" s="637"/>
      <c r="GH101" s="637"/>
      <c r="GI101" s="637"/>
      <c r="GJ101" s="637"/>
      <c r="GK101" s="637"/>
      <c r="GL101" s="637"/>
      <c r="GM101" s="637"/>
      <c r="GN101" s="637"/>
      <c r="GO101" s="637"/>
      <c r="GP101" s="637"/>
      <c r="GQ101" s="637"/>
      <c r="GR101" s="637"/>
      <c r="GS101" s="637"/>
      <c r="GT101" s="637"/>
      <c r="GU101" s="637"/>
      <c r="GV101" s="637"/>
      <c r="GW101" s="637"/>
      <c r="GX101" s="637"/>
      <c r="GY101" s="637"/>
      <c r="GZ101" s="637"/>
      <c r="HA101" s="637"/>
      <c r="HB101" s="637"/>
      <c r="HC101" s="637"/>
      <c r="HD101" s="637"/>
      <c r="HE101" s="637"/>
      <c r="HF101" s="637"/>
      <c r="HG101" s="637"/>
      <c r="HH101" s="637"/>
      <c r="HI101" s="637"/>
      <c r="HJ101" s="637"/>
      <c r="HK101" s="637"/>
      <c r="HL101" s="637"/>
      <c r="HM101" s="637"/>
      <c r="HN101" s="637"/>
      <c r="HO101" s="637"/>
      <c r="HP101" s="637"/>
      <c r="HQ101" s="637"/>
      <c r="HR101" s="637"/>
      <c r="HS101" s="637"/>
      <c r="HT101" s="637"/>
      <c r="HU101" s="637"/>
      <c r="HV101" s="637"/>
      <c r="HW101" s="637"/>
      <c r="HX101" s="637"/>
      <c r="HY101" s="637"/>
      <c r="HZ101" s="637"/>
      <c r="IA101" s="637"/>
      <c r="IB101" s="637"/>
      <c r="IC101" s="637"/>
      <c r="ID101" s="637"/>
      <c r="IE101" s="637"/>
      <c r="IF101" s="637"/>
      <c r="IG101" s="637"/>
      <c r="IH101" s="637"/>
      <c r="II101" s="637"/>
      <c r="IJ101" s="637"/>
      <c r="IK101" s="637"/>
      <c r="IL101" s="637"/>
      <c r="IM101" s="637"/>
      <c r="IN101" s="637"/>
      <c r="IO101" s="637"/>
      <c r="IP101" s="637"/>
      <c r="IQ101" s="637"/>
      <c r="IR101" s="637"/>
      <c r="IS101" s="637"/>
      <c r="IT101" s="637"/>
      <c r="IU101" s="637"/>
      <c r="IV101" s="637"/>
      <c r="IW101" s="637"/>
      <c r="IX101" s="637"/>
      <c r="IY101" s="637"/>
      <c r="IZ101" s="637"/>
      <c r="JA101" s="637"/>
      <c r="JB101" s="637"/>
      <c r="JC101" s="637"/>
      <c r="JD101" s="637"/>
      <c r="JE101" s="637"/>
      <c r="JF101" s="637"/>
      <c r="JG101" s="637"/>
      <c r="JH101" s="637"/>
      <c r="JI101" s="637"/>
      <c r="JJ101" s="637"/>
      <c r="JK101" s="637"/>
      <c r="JL101" s="637"/>
      <c r="JM101" s="637"/>
      <c r="JN101" s="637"/>
      <c r="JO101" s="637"/>
      <c r="JP101" s="637"/>
      <c r="JQ101" s="637"/>
      <c r="JR101" s="637"/>
      <c r="JS101" s="637"/>
      <c r="JT101" s="637"/>
      <c r="JU101" s="637"/>
      <c r="JV101" s="637"/>
      <c r="JW101" s="637"/>
      <c r="JX101" s="637"/>
      <c r="JY101" s="637"/>
      <c r="JZ101" s="637"/>
      <c r="KA101" s="637"/>
      <c r="KB101" s="637"/>
      <c r="KC101" s="637"/>
      <c r="KD101" s="637"/>
      <c r="KE101" s="637"/>
      <c r="KF101" s="637"/>
      <c r="KG101" s="637"/>
      <c r="KH101" s="637"/>
      <c r="KI101" s="637"/>
      <c r="KJ101" s="637"/>
      <c r="KK101" s="637"/>
      <c r="KL101" s="637"/>
      <c r="KM101" s="637"/>
      <c r="KN101" s="637"/>
      <c r="KO101" s="637"/>
      <c r="KP101" s="637"/>
      <c r="KQ101" s="637"/>
      <c r="KR101" s="637"/>
      <c r="KS101" s="637"/>
      <c r="KT101" s="637"/>
      <c r="KU101" s="637"/>
      <c r="KV101" s="637"/>
      <c r="KW101" s="637"/>
      <c r="KX101" s="637"/>
      <c r="KY101" s="637"/>
      <c r="KZ101" s="637"/>
      <c r="LA101" s="637"/>
      <c r="LB101" s="637"/>
      <c r="LC101" s="637"/>
      <c r="LD101" s="637"/>
      <c r="LE101" s="637"/>
      <c r="LF101" s="637"/>
      <c r="LG101" s="637"/>
      <c r="LH101" s="637"/>
      <c r="LI101" s="637"/>
      <c r="LJ101" s="637"/>
      <c r="LK101" s="637"/>
      <c r="LL101" s="637"/>
      <c r="LM101" s="637"/>
      <c r="LN101" s="637"/>
      <c r="LO101" s="637"/>
      <c r="LP101" s="637"/>
      <c r="LQ101" s="637"/>
      <c r="LR101" s="637"/>
      <c r="LS101" s="637"/>
      <c r="LT101" s="637"/>
      <c r="LU101" s="637"/>
      <c r="LV101" s="637"/>
      <c r="LW101" s="637"/>
      <c r="LX101" s="637"/>
      <c r="LY101" s="637"/>
      <c r="LZ101" s="637"/>
      <c r="MA101" s="637"/>
      <c r="MB101" s="637"/>
      <c r="MC101" s="637"/>
      <c r="MD101" s="637"/>
      <c r="ME101" s="637"/>
      <c r="MF101" s="637"/>
      <c r="MG101" s="637"/>
      <c r="MH101" s="637"/>
      <c r="MI101" s="637"/>
      <c r="MJ101" s="637"/>
      <c r="MK101" s="637"/>
      <c r="ML101" s="637"/>
      <c r="MM101" s="637"/>
      <c r="MN101" s="637"/>
      <c r="MO101" s="637"/>
      <c r="MP101" s="637"/>
      <c r="MQ101" s="637"/>
      <c r="MR101" s="637"/>
      <c r="MS101" s="637"/>
      <c r="MT101" s="637"/>
      <c r="MU101" s="637"/>
      <c r="MV101" s="637"/>
      <c r="MW101" s="637"/>
      <c r="MX101" s="637"/>
      <c r="MY101" s="637"/>
      <c r="MZ101" s="637"/>
      <c r="NA101" s="637"/>
      <c r="NB101" s="637"/>
      <c r="NC101" s="637"/>
      <c r="ND101" s="637"/>
      <c r="NE101" s="637"/>
      <c r="NF101" s="637"/>
      <c r="NG101" s="637"/>
      <c r="NH101" s="637"/>
      <c r="NI101" s="637"/>
      <c r="NJ101" s="637"/>
      <c r="NK101" s="637"/>
      <c r="NL101" s="637"/>
      <c r="NM101" s="637"/>
      <c r="NN101" s="637"/>
      <c r="NO101" s="637"/>
      <c r="NP101" s="637"/>
      <c r="NQ101" s="637"/>
      <c r="NR101" s="637"/>
      <c r="NS101" s="637"/>
      <c r="NT101" s="637"/>
      <c r="NU101" s="637"/>
      <c r="NV101" s="637"/>
      <c r="NW101" s="637"/>
      <c r="NX101" s="637"/>
      <c r="NY101" s="637"/>
      <c r="NZ101" s="637"/>
      <c r="OA101" s="637"/>
      <c r="OB101" s="637"/>
      <c r="OC101" s="637"/>
      <c r="OD101" s="637"/>
      <c r="OE101" s="637"/>
      <c r="OF101" s="637"/>
      <c r="OG101" s="637"/>
      <c r="OH101" s="637"/>
      <c r="OI101" s="637"/>
      <c r="OJ101" s="637"/>
      <c r="OK101" s="637"/>
      <c r="OL101" s="637"/>
      <c r="OM101" s="637"/>
      <c r="ON101" s="637"/>
      <c r="OO101" s="637"/>
      <c r="OP101" s="637"/>
      <c r="OQ101" s="637"/>
      <c r="OR101" s="637"/>
      <c r="OS101" s="637"/>
      <c r="OT101" s="637"/>
      <c r="OU101" s="637"/>
      <c r="OV101" s="637"/>
      <c r="OW101" s="637"/>
      <c r="OX101" s="637"/>
      <c r="OY101" s="637"/>
      <c r="OZ101" s="637"/>
      <c r="PA101" s="637"/>
      <c r="PB101" s="637"/>
      <c r="PC101" s="637"/>
      <c r="PD101" s="637"/>
      <c r="PE101" s="637"/>
      <c r="PF101" s="637"/>
      <c r="PG101" s="637"/>
      <c r="PH101" s="637"/>
      <c r="PI101" s="637"/>
      <c r="PJ101" s="637"/>
      <c r="PK101" s="637"/>
      <c r="PL101" s="637"/>
      <c r="PM101" s="637"/>
      <c r="PN101" s="637"/>
      <c r="PO101" s="637"/>
      <c r="PP101" s="637"/>
      <c r="PQ101" s="637"/>
      <c r="PR101" s="637"/>
      <c r="PS101" s="637"/>
      <c r="PT101" s="637"/>
      <c r="PU101" s="637"/>
      <c r="PV101" s="637"/>
      <c r="PW101" s="637"/>
      <c r="PX101" s="637"/>
      <c r="PY101" s="637"/>
      <c r="PZ101" s="637"/>
      <c r="QA101" s="637"/>
      <c r="QB101" s="637"/>
      <c r="QC101" s="637"/>
      <c r="QD101" s="637"/>
      <c r="QE101" s="637"/>
      <c r="QF101" s="637"/>
      <c r="QG101" s="637"/>
      <c r="QH101" s="637"/>
      <c r="QI101" s="637"/>
      <c r="QJ101" s="637"/>
      <c r="QK101" s="637"/>
      <c r="QL101" s="637"/>
      <c r="QM101" s="637"/>
      <c r="QN101" s="637"/>
      <c r="QO101" s="637"/>
      <c r="QP101" s="637"/>
      <c r="QQ101" s="637"/>
      <c r="QR101" s="637"/>
      <c r="QS101" s="637"/>
      <c r="QT101" s="637"/>
      <c r="QU101" s="637"/>
      <c r="QV101" s="637"/>
      <c r="QW101" s="637"/>
      <c r="QX101" s="637"/>
      <c r="QY101" s="637"/>
      <c r="QZ101" s="637"/>
      <c r="RA101" s="637"/>
      <c r="RB101" s="637"/>
      <c r="RC101" s="637"/>
      <c r="RD101" s="637"/>
      <c r="RE101" s="637"/>
      <c r="RF101" s="637"/>
      <c r="RG101" s="637"/>
      <c r="RH101" s="637"/>
      <c r="RI101" s="637"/>
      <c r="RJ101" s="637"/>
      <c r="RK101" s="637"/>
      <c r="RL101" s="637"/>
      <c r="RM101" s="637"/>
      <c r="RN101" s="637"/>
      <c r="RO101" s="637"/>
      <c r="RP101" s="637"/>
      <c r="RQ101" s="637"/>
      <c r="RR101" s="637"/>
      <c r="RS101" s="637"/>
      <c r="RT101" s="637"/>
      <c r="RU101" s="637"/>
      <c r="RV101" s="637"/>
      <c r="RW101" s="637"/>
      <c r="RX101" s="637"/>
      <c r="RY101" s="637"/>
      <c r="RZ101" s="637"/>
      <c r="SA101" s="637"/>
      <c r="SB101" s="637"/>
      <c r="SC101" s="637"/>
      <c r="SD101" s="637"/>
      <c r="SE101" s="637"/>
      <c r="SF101" s="637"/>
      <c r="SG101" s="637"/>
      <c r="SH101" s="637"/>
      <c r="SI101" s="637"/>
      <c r="SJ101" s="637"/>
      <c r="SK101" s="637"/>
      <c r="SL101" s="637"/>
      <c r="SM101" s="637"/>
      <c r="SN101" s="637"/>
      <c r="SO101" s="637"/>
      <c r="SP101" s="637"/>
      <c r="SQ101" s="637"/>
      <c r="SR101" s="637"/>
      <c r="SS101" s="637"/>
      <c r="ST101" s="637"/>
      <c r="SU101" s="637"/>
      <c r="SV101" s="637"/>
      <c r="SW101" s="637"/>
      <c r="SX101" s="637"/>
      <c r="SY101" s="637"/>
      <c r="SZ101" s="637"/>
      <c r="TA101" s="637"/>
      <c r="TB101" s="637"/>
      <c r="TC101" s="637"/>
      <c r="TD101" s="637"/>
      <c r="TE101" s="637"/>
      <c r="TF101" s="637"/>
      <c r="TG101" s="637"/>
      <c r="TH101" s="637"/>
      <c r="TI101" s="637"/>
      <c r="TJ101" s="637"/>
      <c r="TK101" s="637"/>
      <c r="TL101" s="637"/>
      <c r="TM101" s="637"/>
      <c r="TN101" s="637"/>
      <c r="TO101" s="637"/>
      <c r="TP101" s="637"/>
      <c r="TQ101" s="637"/>
      <c r="TR101" s="637"/>
      <c r="TS101" s="637"/>
      <c r="TT101" s="637"/>
      <c r="TU101" s="637"/>
      <c r="TV101" s="637"/>
      <c r="TW101" s="637"/>
      <c r="TX101" s="637"/>
      <c r="TY101" s="637"/>
      <c r="TZ101" s="637"/>
      <c r="UA101" s="637"/>
      <c r="UB101" s="637"/>
      <c r="UC101" s="637"/>
      <c r="UD101" s="637"/>
      <c r="UE101" s="637"/>
      <c r="UF101" s="637"/>
      <c r="UG101" s="637"/>
      <c r="UH101" s="637"/>
      <c r="UI101" s="637"/>
      <c r="UJ101" s="637"/>
      <c r="UK101" s="637"/>
      <c r="UL101" s="637"/>
      <c r="UM101" s="637"/>
      <c r="UN101" s="637"/>
      <c r="UO101" s="637"/>
      <c r="UP101" s="637"/>
      <c r="UQ101" s="637"/>
      <c r="UR101" s="637"/>
      <c r="US101" s="637"/>
      <c r="UT101" s="637"/>
      <c r="UU101" s="637"/>
      <c r="UV101" s="637"/>
      <c r="UW101" s="637"/>
      <c r="UX101" s="637"/>
      <c r="UY101" s="637"/>
      <c r="UZ101" s="637"/>
      <c r="VA101" s="637"/>
      <c r="VB101" s="637"/>
      <c r="VC101" s="637"/>
      <c r="VD101" s="637"/>
      <c r="VE101" s="637"/>
      <c r="VF101" s="637"/>
      <c r="VG101" s="637"/>
      <c r="VH101" s="637"/>
      <c r="VI101" s="637"/>
      <c r="VJ101" s="637"/>
      <c r="VK101" s="637"/>
      <c r="VL101" s="637"/>
      <c r="VM101" s="637"/>
      <c r="VN101" s="637"/>
      <c r="VO101" s="637"/>
      <c r="VP101" s="637"/>
      <c r="VQ101" s="637"/>
      <c r="VR101" s="637"/>
      <c r="VS101" s="637"/>
      <c r="VT101" s="637"/>
      <c r="VU101" s="637"/>
      <c r="VV101" s="637"/>
      <c r="VW101" s="637"/>
      <c r="VX101" s="637"/>
      <c r="VY101" s="637"/>
      <c r="VZ101" s="637"/>
      <c r="WA101" s="637"/>
      <c r="WB101" s="637"/>
      <c r="WC101" s="637"/>
      <c r="WD101" s="637"/>
      <c r="WE101" s="637"/>
      <c r="WF101" s="637"/>
      <c r="WG101" s="637"/>
      <c r="WH101" s="637"/>
      <c r="WI101" s="637"/>
      <c r="WJ101" s="637"/>
      <c r="WK101" s="637"/>
      <c r="WL101" s="637"/>
      <c r="WM101" s="637"/>
      <c r="WN101" s="637"/>
      <c r="WO101" s="637"/>
      <c r="WP101" s="637"/>
      <c r="WQ101" s="637"/>
      <c r="WR101" s="637"/>
      <c r="WS101" s="637"/>
      <c r="WT101" s="637"/>
      <c r="WU101" s="637"/>
      <c r="WV101" s="637"/>
      <c r="WW101" s="637"/>
      <c r="WX101" s="637"/>
      <c r="WY101" s="637"/>
      <c r="WZ101" s="637"/>
      <c r="XA101" s="637"/>
      <c r="XB101" s="637"/>
      <c r="XC101" s="637"/>
      <c r="XD101" s="637"/>
      <c r="XE101" s="637"/>
      <c r="XF101" s="637"/>
      <c r="XG101" s="637"/>
      <c r="XH101" s="637"/>
      <c r="XI101" s="637"/>
      <c r="XJ101" s="637"/>
      <c r="XK101" s="637"/>
      <c r="XL101" s="637"/>
      <c r="XM101" s="637"/>
      <c r="XN101" s="637"/>
      <c r="XO101" s="637"/>
      <c r="XP101" s="637"/>
      <c r="XQ101" s="637"/>
      <c r="XR101" s="637"/>
      <c r="XS101" s="637"/>
      <c r="XT101" s="637"/>
      <c r="XU101" s="637"/>
      <c r="XV101" s="637"/>
      <c r="XW101" s="637"/>
      <c r="XX101" s="637"/>
      <c r="XY101" s="637"/>
      <c r="XZ101" s="637"/>
      <c r="YA101" s="637"/>
      <c r="YB101" s="637"/>
      <c r="YC101" s="637"/>
      <c r="YD101" s="637"/>
      <c r="YE101" s="637"/>
      <c r="YF101" s="637"/>
      <c r="YG101" s="637"/>
      <c r="YH101" s="637"/>
      <c r="YI101" s="637"/>
      <c r="YJ101" s="637"/>
      <c r="YK101" s="637"/>
      <c r="YL101" s="637"/>
      <c r="YM101" s="637"/>
      <c r="YN101" s="637"/>
      <c r="YO101" s="637"/>
      <c r="YP101" s="637"/>
      <c r="YQ101" s="637"/>
      <c r="YR101" s="637"/>
      <c r="YS101" s="637"/>
      <c r="YT101" s="637"/>
      <c r="YU101" s="637"/>
      <c r="YV101" s="637"/>
      <c r="YW101" s="637"/>
      <c r="YX101" s="637"/>
      <c r="YY101" s="637"/>
      <c r="YZ101" s="637"/>
      <c r="ZA101" s="637"/>
      <c r="ZB101" s="637"/>
      <c r="ZC101" s="637"/>
      <c r="ZD101" s="637"/>
      <c r="ZE101" s="637"/>
      <c r="ZF101" s="637"/>
      <c r="ZG101" s="637"/>
      <c r="ZH101" s="637"/>
      <c r="ZI101" s="637"/>
      <c r="ZJ101" s="637"/>
      <c r="ZK101" s="637"/>
      <c r="ZL101" s="637"/>
      <c r="ZM101" s="637"/>
      <c r="ZN101" s="637"/>
      <c r="ZO101" s="637"/>
      <c r="ZP101" s="637"/>
      <c r="ZQ101" s="637"/>
      <c r="ZR101" s="637"/>
      <c r="ZS101" s="637"/>
      <c r="ZT101" s="637"/>
      <c r="ZU101" s="637"/>
      <c r="ZV101" s="637"/>
      <c r="ZW101" s="637"/>
      <c r="ZX101" s="637"/>
      <c r="ZY101" s="637"/>
      <c r="ZZ101" s="637"/>
      <c r="AAA101" s="637"/>
      <c r="AAB101" s="637"/>
      <c r="AAC101" s="637"/>
      <c r="AAD101" s="637"/>
      <c r="AAE101" s="637"/>
      <c r="AAF101" s="637"/>
      <c r="AAG101" s="637"/>
      <c r="AAH101" s="637"/>
      <c r="AAI101" s="637"/>
      <c r="AAJ101" s="637"/>
      <c r="AAK101" s="637"/>
      <c r="AAL101" s="637"/>
      <c r="AAM101" s="637"/>
      <c r="AAN101" s="637"/>
      <c r="AAO101" s="637"/>
      <c r="AAP101" s="637"/>
      <c r="AAQ101" s="637"/>
      <c r="AAR101" s="637"/>
      <c r="AAS101" s="637"/>
      <c r="AAT101" s="637"/>
      <c r="AAU101" s="637"/>
      <c r="AAV101" s="637"/>
      <c r="AAW101" s="637"/>
      <c r="AAX101" s="637"/>
      <c r="AAY101" s="637"/>
      <c r="AAZ101" s="637"/>
      <c r="ABA101" s="637"/>
      <c r="ABB101" s="637"/>
      <c r="ABC101" s="637"/>
      <c r="ABD101" s="637"/>
      <c r="ABE101" s="637"/>
      <c r="ABF101" s="637"/>
      <c r="ABG101" s="637"/>
      <c r="ABH101" s="637"/>
      <c r="ABI101" s="637"/>
      <c r="ABJ101" s="637"/>
      <c r="ABK101" s="637"/>
      <c r="ABL101" s="637"/>
      <c r="ABM101" s="637"/>
      <c r="ABN101" s="637"/>
      <c r="ABO101" s="637"/>
      <c r="ABP101" s="637"/>
      <c r="ABQ101" s="637"/>
      <c r="ABR101" s="637"/>
      <c r="ABS101" s="637"/>
      <c r="ABT101" s="637"/>
      <c r="ABU101" s="637"/>
      <c r="ABV101" s="637"/>
      <c r="ABW101" s="637"/>
      <c r="ABX101" s="637"/>
      <c r="ABY101" s="637"/>
      <c r="ABZ101" s="637"/>
      <c r="ACA101" s="637"/>
      <c r="ACB101" s="637"/>
      <c r="ACC101" s="637"/>
      <c r="ACD101" s="637"/>
      <c r="ACE101" s="637"/>
      <c r="ACF101" s="637"/>
      <c r="ACG101" s="637"/>
      <c r="ACH101" s="637"/>
      <c r="ACI101" s="637"/>
      <c r="ACJ101" s="637"/>
      <c r="ACK101" s="637"/>
      <c r="ACL101" s="637"/>
      <c r="ACM101" s="637"/>
      <c r="ACN101" s="637"/>
      <c r="ACO101" s="637"/>
      <c r="ACP101" s="637"/>
      <c r="ACQ101" s="637"/>
      <c r="ACR101" s="637"/>
      <c r="ACS101" s="637"/>
      <c r="ACT101" s="637"/>
      <c r="ACU101" s="637"/>
      <c r="ACV101" s="637"/>
      <c r="ACW101" s="637"/>
      <c r="ACX101" s="637"/>
      <c r="ACY101" s="637"/>
      <c r="ACZ101" s="637"/>
      <c r="ADA101" s="637"/>
      <c r="ADB101" s="637"/>
      <c r="ADC101" s="637"/>
      <c r="ADD101" s="637"/>
      <c r="ADE101" s="637"/>
      <c r="ADF101" s="637"/>
      <c r="ADG101" s="637"/>
      <c r="ADH101" s="637"/>
      <c r="ADI101" s="637"/>
      <c r="ADJ101" s="637"/>
      <c r="ADK101" s="637"/>
      <c r="ADL101" s="637"/>
      <c r="ADM101" s="637"/>
      <c r="ADN101" s="637"/>
      <c r="ADO101" s="637"/>
      <c r="ADP101" s="637"/>
      <c r="ADQ101" s="637"/>
      <c r="ADR101" s="637"/>
      <c r="ADS101" s="637"/>
      <c r="ADT101" s="637"/>
      <c r="ADU101" s="637"/>
      <c r="ADV101" s="637"/>
      <c r="ADW101" s="637"/>
      <c r="ADX101" s="637"/>
      <c r="ADY101" s="637"/>
      <c r="ADZ101" s="637"/>
      <c r="AEA101" s="637"/>
      <c r="AEB101" s="637"/>
      <c r="AEC101" s="637"/>
      <c r="AED101" s="637"/>
      <c r="AEE101" s="637"/>
      <c r="AEF101" s="637"/>
      <c r="AEG101" s="637"/>
      <c r="AEH101" s="637"/>
      <c r="AEI101" s="637"/>
      <c r="AEJ101" s="637"/>
      <c r="AEK101" s="637"/>
      <c r="AEL101" s="637"/>
      <c r="AEM101" s="637"/>
      <c r="AEN101" s="637"/>
      <c r="AEO101" s="637"/>
      <c r="AEP101" s="637"/>
      <c r="AEQ101" s="637"/>
      <c r="AER101" s="637"/>
      <c r="AES101" s="637"/>
      <c r="AET101" s="637"/>
      <c r="AEU101" s="637"/>
      <c r="AEV101" s="637"/>
      <c r="AEW101" s="637"/>
      <c r="AEX101" s="637"/>
      <c r="AEY101" s="637"/>
      <c r="AEZ101" s="637"/>
      <c r="AFA101" s="637"/>
      <c r="AFB101" s="637"/>
      <c r="AFC101" s="637"/>
      <c r="AFD101" s="637"/>
      <c r="AFE101" s="637"/>
      <c r="AFF101" s="637"/>
      <c r="AFG101" s="637"/>
      <c r="AFH101" s="637"/>
      <c r="AFI101" s="637"/>
      <c r="AFJ101" s="637"/>
      <c r="AFK101" s="637"/>
      <c r="AFL101" s="637"/>
      <c r="AFM101" s="637"/>
      <c r="AFN101" s="637"/>
      <c r="AFO101" s="637"/>
      <c r="AFP101" s="637"/>
      <c r="AFQ101" s="637"/>
      <c r="AFR101" s="637"/>
      <c r="AFS101" s="637"/>
      <c r="AFT101" s="637"/>
      <c r="AFU101" s="637"/>
      <c r="AFV101" s="637"/>
      <c r="AFW101" s="637"/>
      <c r="AFX101" s="637"/>
      <c r="AFY101" s="637"/>
      <c r="AFZ101" s="637"/>
      <c r="AGA101" s="637"/>
      <c r="AGB101" s="637"/>
      <c r="AGC101" s="637"/>
      <c r="AGD101" s="637"/>
      <c r="AGE101" s="637"/>
      <c r="AGF101" s="637"/>
      <c r="AGG101" s="637"/>
      <c r="AGH101" s="637"/>
      <c r="AGI101" s="637"/>
      <c r="AGJ101" s="637"/>
      <c r="AGK101" s="637"/>
      <c r="AGL101" s="637"/>
      <c r="AGM101" s="637"/>
      <c r="AGN101" s="637"/>
      <c r="AGO101" s="637"/>
      <c r="AGP101" s="637"/>
      <c r="AGQ101" s="637"/>
      <c r="AGR101" s="637"/>
      <c r="AGS101" s="637"/>
      <c r="AGT101" s="637"/>
      <c r="AGU101" s="637"/>
      <c r="AGV101" s="637"/>
      <c r="AGW101" s="637"/>
      <c r="AGX101" s="637"/>
      <c r="AGY101" s="637"/>
      <c r="AGZ101" s="637"/>
      <c r="AHA101" s="637"/>
      <c r="AHB101" s="637"/>
      <c r="AHC101" s="637"/>
      <c r="AHD101" s="637"/>
      <c r="AHE101" s="637"/>
      <c r="AHF101" s="637"/>
      <c r="AHG101" s="637"/>
      <c r="AHH101" s="637"/>
      <c r="AHI101" s="637"/>
      <c r="AHJ101" s="637"/>
      <c r="AHK101" s="637"/>
      <c r="AHL101" s="637"/>
      <c r="AHM101" s="637"/>
      <c r="AHN101" s="637"/>
      <c r="AHO101" s="637"/>
      <c r="AHP101" s="637"/>
      <c r="AHQ101" s="637"/>
      <c r="AHR101" s="637"/>
      <c r="AHS101" s="637"/>
      <c r="AHT101" s="637"/>
      <c r="AHU101" s="637"/>
      <c r="AHV101" s="637"/>
      <c r="AHW101" s="637"/>
      <c r="AHX101" s="637"/>
      <c r="AHY101" s="637"/>
      <c r="AHZ101" s="637"/>
      <c r="AIA101" s="637"/>
      <c r="AIB101" s="637"/>
      <c r="AIC101" s="637"/>
      <c r="AID101" s="637"/>
      <c r="AIE101" s="637"/>
      <c r="AIF101" s="637"/>
      <c r="AIG101" s="637"/>
      <c r="AIH101" s="637"/>
      <c r="AII101" s="637"/>
      <c r="AIJ101" s="637"/>
      <c r="AIK101" s="637"/>
      <c r="AIL101" s="637"/>
      <c r="AIM101" s="637"/>
      <c r="AIN101" s="637"/>
      <c r="AIO101" s="637"/>
      <c r="AIP101" s="637"/>
      <c r="AIQ101" s="637"/>
      <c r="AIR101" s="637"/>
      <c r="AIS101" s="637"/>
      <c r="AIT101" s="637"/>
      <c r="AIU101" s="637"/>
      <c r="AIV101" s="637"/>
      <c r="AIW101" s="637"/>
      <c r="AIX101" s="637"/>
      <c r="AIY101" s="637"/>
      <c r="AIZ101" s="637"/>
      <c r="AJA101" s="637"/>
      <c r="AJB101" s="637"/>
      <c r="AJC101" s="637"/>
      <c r="AJD101" s="637"/>
      <c r="AJE101" s="637"/>
      <c r="AJF101" s="637"/>
      <c r="AJG101" s="637"/>
      <c r="AJH101" s="637"/>
      <c r="AJI101" s="637"/>
      <c r="AJJ101" s="637"/>
      <c r="AJK101" s="637"/>
      <c r="AJL101" s="637"/>
      <c r="AJM101" s="637"/>
      <c r="AJN101" s="637"/>
      <c r="AJO101" s="637"/>
      <c r="AJP101" s="637"/>
      <c r="AJQ101" s="637"/>
      <c r="AJR101" s="637"/>
      <c r="AJS101" s="637"/>
      <c r="AJT101" s="637"/>
      <c r="AJU101" s="637"/>
      <c r="AJV101" s="637"/>
      <c r="AJW101" s="637"/>
      <c r="AJX101" s="637"/>
      <c r="AJY101" s="637"/>
      <c r="AJZ101" s="637"/>
      <c r="AKA101" s="637"/>
      <c r="AKB101" s="637"/>
      <c r="AKC101" s="637"/>
      <c r="AKD101" s="637"/>
      <c r="AKE101" s="637"/>
      <c r="AKF101" s="637"/>
      <c r="AKG101" s="637"/>
      <c r="AKH101" s="637"/>
      <c r="AKI101" s="637"/>
      <c r="AKJ101" s="637"/>
      <c r="AKK101" s="637"/>
      <c r="AKL101" s="637"/>
      <c r="AKM101" s="637"/>
      <c r="AKN101" s="637"/>
      <c r="AKO101" s="637"/>
      <c r="AKP101" s="637"/>
      <c r="AKQ101" s="637"/>
      <c r="AKR101" s="637"/>
      <c r="AKS101" s="637"/>
      <c r="AKT101" s="637"/>
      <c r="AKU101" s="637"/>
      <c r="AKV101" s="637"/>
      <c r="AKW101" s="637"/>
      <c r="AKX101" s="637"/>
      <c r="AKY101" s="637"/>
      <c r="AKZ101" s="637"/>
      <c r="ALA101" s="637"/>
      <c r="ALB101" s="637"/>
      <c r="ALC101" s="637"/>
      <c r="ALD101" s="637"/>
      <c r="ALE101" s="637"/>
      <c r="ALF101" s="637"/>
      <c r="ALG101" s="637"/>
      <c r="ALH101" s="637"/>
      <c r="ALI101" s="637"/>
      <c r="ALJ101" s="637"/>
      <c r="ALK101" s="637"/>
      <c r="ALL101" s="637"/>
      <c r="ALM101" s="637"/>
      <c r="ALN101" s="637"/>
      <c r="ALO101" s="637"/>
      <c r="ALP101" s="637"/>
      <c r="ALQ101" s="637"/>
      <c r="ALR101" s="637"/>
      <c r="ALS101" s="637"/>
      <c r="ALT101" s="637"/>
      <c r="ALU101" s="637"/>
      <c r="ALV101" s="637"/>
      <c r="ALW101" s="637"/>
      <c r="ALX101" s="637"/>
      <c r="ALY101" s="637"/>
      <c r="ALZ101" s="637"/>
      <c r="AMA101" s="637"/>
      <c r="AMB101" s="637"/>
      <c r="AMC101" s="637"/>
      <c r="AMD101" s="637"/>
      <c r="AME101" s="637"/>
      <c r="AMF101" s="637"/>
      <c r="AMG101" s="637"/>
      <c r="AMH101" s="637"/>
      <c r="AMI101" s="637"/>
      <c r="AMJ101" s="637"/>
    </row>
    <row r="102" spans="1:1024" s="638" customFormat="1" ht="12.75">
      <c r="A102" s="1094" t="s">
        <v>156</v>
      </c>
      <c r="B102" s="1094"/>
      <c r="C102" s="1094"/>
      <c r="D102" s="981" t="s">
        <v>4</v>
      </c>
      <c r="E102" s="982">
        <f aca="true" t="shared" si="11" ref="E102:R105">E86+E90+E94+E98</f>
        <v>28363</v>
      </c>
      <c r="F102" s="982">
        <f t="shared" si="11"/>
        <v>28363</v>
      </c>
      <c r="G102" s="982">
        <f t="shared" si="11"/>
        <v>18619</v>
      </c>
      <c r="H102" s="982">
        <f t="shared" si="11"/>
        <v>5632</v>
      </c>
      <c r="I102" s="982">
        <f t="shared" si="11"/>
        <v>3512</v>
      </c>
      <c r="J102" s="982">
        <f t="shared" si="11"/>
        <v>0</v>
      </c>
      <c r="K102" s="982">
        <f t="shared" si="11"/>
        <v>0</v>
      </c>
      <c r="L102" s="982">
        <f t="shared" si="11"/>
        <v>0</v>
      </c>
      <c r="M102" s="982">
        <f t="shared" si="11"/>
        <v>0</v>
      </c>
      <c r="N102" s="982">
        <f t="shared" si="11"/>
        <v>600</v>
      </c>
      <c r="O102" s="982">
        <f t="shared" si="11"/>
        <v>0</v>
      </c>
      <c r="P102" s="982">
        <f t="shared" si="11"/>
        <v>0</v>
      </c>
      <c r="Q102" s="982">
        <f t="shared" si="11"/>
        <v>0</v>
      </c>
      <c r="R102" s="982">
        <f t="shared" si="11"/>
        <v>0</v>
      </c>
      <c r="S102" s="637"/>
      <c r="T102" s="637"/>
      <c r="U102" s="637"/>
      <c r="V102" s="637"/>
      <c r="W102" s="637"/>
      <c r="X102" s="637"/>
      <c r="Y102" s="637"/>
      <c r="Z102" s="637"/>
      <c r="AA102" s="637"/>
      <c r="AB102" s="637"/>
      <c r="AC102" s="637"/>
      <c r="AD102" s="637"/>
      <c r="AE102" s="637"/>
      <c r="AF102" s="637"/>
      <c r="AG102" s="637"/>
      <c r="AH102" s="637"/>
      <c r="AI102" s="637"/>
      <c r="AJ102" s="637"/>
      <c r="AK102" s="637"/>
      <c r="AL102" s="637"/>
      <c r="AM102" s="637"/>
      <c r="AN102" s="637"/>
      <c r="AO102" s="637"/>
      <c r="AP102" s="637"/>
      <c r="AQ102" s="637"/>
      <c r="AR102" s="637"/>
      <c r="AS102" s="637"/>
      <c r="AT102" s="637"/>
      <c r="AU102" s="637"/>
      <c r="AV102" s="637"/>
      <c r="AW102" s="637"/>
      <c r="AX102" s="637"/>
      <c r="AY102" s="637"/>
      <c r="AZ102" s="637"/>
      <c r="BA102" s="637"/>
      <c r="BB102" s="637"/>
      <c r="BC102" s="637"/>
      <c r="BD102" s="637"/>
      <c r="BE102" s="637"/>
      <c r="BF102" s="637"/>
      <c r="BG102" s="637"/>
      <c r="BH102" s="637"/>
      <c r="BI102" s="637"/>
      <c r="BJ102" s="637"/>
      <c r="BK102" s="637"/>
      <c r="BL102" s="637"/>
      <c r="BM102" s="637"/>
      <c r="BN102" s="637"/>
      <c r="BO102" s="637"/>
      <c r="BP102" s="637"/>
      <c r="BQ102" s="637"/>
      <c r="BR102" s="637"/>
      <c r="BS102" s="637"/>
      <c r="BT102" s="637"/>
      <c r="BU102" s="637"/>
      <c r="BV102" s="637"/>
      <c r="BW102" s="637"/>
      <c r="BX102" s="637"/>
      <c r="BY102" s="637"/>
      <c r="BZ102" s="637"/>
      <c r="CA102" s="637"/>
      <c r="CB102" s="637"/>
      <c r="CC102" s="637"/>
      <c r="CD102" s="637"/>
      <c r="CE102" s="637"/>
      <c r="CF102" s="637"/>
      <c r="CG102" s="637"/>
      <c r="CH102" s="637"/>
      <c r="CI102" s="637"/>
      <c r="CJ102" s="637"/>
      <c r="CK102" s="637"/>
      <c r="CL102" s="637"/>
      <c r="CM102" s="637"/>
      <c r="CN102" s="637"/>
      <c r="CO102" s="637"/>
      <c r="CP102" s="637"/>
      <c r="CQ102" s="637"/>
      <c r="CR102" s="637"/>
      <c r="CS102" s="637"/>
      <c r="CT102" s="637"/>
      <c r="CU102" s="637"/>
      <c r="CV102" s="637"/>
      <c r="CW102" s="637"/>
      <c r="CX102" s="637"/>
      <c r="CY102" s="637"/>
      <c r="CZ102" s="637"/>
      <c r="DA102" s="637"/>
      <c r="DB102" s="637"/>
      <c r="DC102" s="637"/>
      <c r="DD102" s="637"/>
      <c r="DE102" s="637"/>
      <c r="DF102" s="637"/>
      <c r="DG102" s="637"/>
      <c r="DH102" s="637"/>
      <c r="DI102" s="637"/>
      <c r="DJ102" s="637"/>
      <c r="DK102" s="637"/>
      <c r="DL102" s="637"/>
      <c r="DM102" s="637"/>
      <c r="DN102" s="637"/>
      <c r="DO102" s="637"/>
      <c r="DP102" s="637"/>
      <c r="DQ102" s="637"/>
      <c r="DR102" s="637"/>
      <c r="DS102" s="637"/>
      <c r="DT102" s="637"/>
      <c r="DU102" s="637"/>
      <c r="DV102" s="637"/>
      <c r="DW102" s="637"/>
      <c r="DX102" s="637"/>
      <c r="DY102" s="637"/>
      <c r="DZ102" s="637"/>
      <c r="EA102" s="637"/>
      <c r="EB102" s="637"/>
      <c r="EC102" s="637"/>
      <c r="ED102" s="637"/>
      <c r="EE102" s="637"/>
      <c r="EF102" s="637"/>
      <c r="EG102" s="637"/>
      <c r="EH102" s="637"/>
      <c r="EI102" s="637"/>
      <c r="EJ102" s="637"/>
      <c r="EK102" s="637"/>
      <c r="EL102" s="637"/>
      <c r="EM102" s="637"/>
      <c r="EN102" s="637"/>
      <c r="EO102" s="637"/>
      <c r="EP102" s="637"/>
      <c r="EQ102" s="637"/>
      <c r="ER102" s="637"/>
      <c r="ES102" s="637"/>
      <c r="ET102" s="637"/>
      <c r="EU102" s="637"/>
      <c r="EV102" s="637"/>
      <c r="EW102" s="637"/>
      <c r="EX102" s="637"/>
      <c r="EY102" s="637"/>
      <c r="EZ102" s="637"/>
      <c r="FA102" s="637"/>
      <c r="FB102" s="637"/>
      <c r="FC102" s="637"/>
      <c r="FD102" s="637"/>
      <c r="FE102" s="637"/>
      <c r="FF102" s="637"/>
      <c r="FG102" s="637"/>
      <c r="FH102" s="637"/>
      <c r="FI102" s="637"/>
      <c r="FJ102" s="637"/>
      <c r="FK102" s="637"/>
      <c r="FL102" s="637"/>
      <c r="FM102" s="637"/>
      <c r="FN102" s="637"/>
      <c r="FO102" s="637"/>
      <c r="FP102" s="637"/>
      <c r="FQ102" s="637"/>
      <c r="FR102" s="637"/>
      <c r="FS102" s="637"/>
      <c r="FT102" s="637"/>
      <c r="FU102" s="637"/>
      <c r="FV102" s="637"/>
      <c r="FW102" s="637"/>
      <c r="FX102" s="637"/>
      <c r="FY102" s="637"/>
      <c r="FZ102" s="637"/>
      <c r="GA102" s="637"/>
      <c r="GB102" s="637"/>
      <c r="GC102" s="637"/>
      <c r="GD102" s="637"/>
      <c r="GE102" s="637"/>
      <c r="GF102" s="637"/>
      <c r="GG102" s="637"/>
      <c r="GH102" s="637"/>
      <c r="GI102" s="637"/>
      <c r="GJ102" s="637"/>
      <c r="GK102" s="637"/>
      <c r="GL102" s="637"/>
      <c r="GM102" s="637"/>
      <c r="GN102" s="637"/>
      <c r="GO102" s="637"/>
      <c r="GP102" s="637"/>
      <c r="GQ102" s="637"/>
      <c r="GR102" s="637"/>
      <c r="GS102" s="637"/>
      <c r="GT102" s="637"/>
      <c r="GU102" s="637"/>
      <c r="GV102" s="637"/>
      <c r="GW102" s="637"/>
      <c r="GX102" s="637"/>
      <c r="GY102" s="637"/>
      <c r="GZ102" s="637"/>
      <c r="HA102" s="637"/>
      <c r="HB102" s="637"/>
      <c r="HC102" s="637"/>
      <c r="HD102" s="637"/>
      <c r="HE102" s="637"/>
      <c r="HF102" s="637"/>
      <c r="HG102" s="637"/>
      <c r="HH102" s="637"/>
      <c r="HI102" s="637"/>
      <c r="HJ102" s="637"/>
      <c r="HK102" s="637"/>
      <c r="HL102" s="637"/>
      <c r="HM102" s="637"/>
      <c r="HN102" s="637"/>
      <c r="HO102" s="637"/>
      <c r="HP102" s="637"/>
      <c r="HQ102" s="637"/>
      <c r="HR102" s="637"/>
      <c r="HS102" s="637"/>
      <c r="HT102" s="637"/>
      <c r="HU102" s="637"/>
      <c r="HV102" s="637"/>
      <c r="HW102" s="637"/>
      <c r="HX102" s="637"/>
      <c r="HY102" s="637"/>
      <c r="HZ102" s="637"/>
      <c r="IA102" s="637"/>
      <c r="IB102" s="637"/>
      <c r="IC102" s="637"/>
      <c r="ID102" s="637"/>
      <c r="IE102" s="637"/>
      <c r="IF102" s="637"/>
      <c r="IG102" s="637"/>
      <c r="IH102" s="637"/>
      <c r="II102" s="637"/>
      <c r="IJ102" s="637"/>
      <c r="IK102" s="637"/>
      <c r="IL102" s="637"/>
      <c r="IM102" s="637"/>
      <c r="IN102" s="637"/>
      <c r="IO102" s="637"/>
      <c r="IP102" s="637"/>
      <c r="IQ102" s="637"/>
      <c r="IR102" s="637"/>
      <c r="IS102" s="637"/>
      <c r="IT102" s="637"/>
      <c r="IU102" s="637"/>
      <c r="IV102" s="637"/>
      <c r="IW102" s="637"/>
      <c r="IX102" s="637"/>
      <c r="IY102" s="637"/>
      <c r="IZ102" s="637"/>
      <c r="JA102" s="637"/>
      <c r="JB102" s="637"/>
      <c r="JC102" s="637"/>
      <c r="JD102" s="637"/>
      <c r="JE102" s="637"/>
      <c r="JF102" s="637"/>
      <c r="JG102" s="637"/>
      <c r="JH102" s="637"/>
      <c r="JI102" s="637"/>
      <c r="JJ102" s="637"/>
      <c r="JK102" s="637"/>
      <c r="JL102" s="637"/>
      <c r="JM102" s="637"/>
      <c r="JN102" s="637"/>
      <c r="JO102" s="637"/>
      <c r="JP102" s="637"/>
      <c r="JQ102" s="637"/>
      <c r="JR102" s="637"/>
      <c r="JS102" s="637"/>
      <c r="JT102" s="637"/>
      <c r="JU102" s="637"/>
      <c r="JV102" s="637"/>
      <c r="JW102" s="637"/>
      <c r="JX102" s="637"/>
      <c r="JY102" s="637"/>
      <c r="JZ102" s="637"/>
      <c r="KA102" s="637"/>
      <c r="KB102" s="637"/>
      <c r="KC102" s="637"/>
      <c r="KD102" s="637"/>
      <c r="KE102" s="637"/>
      <c r="KF102" s="637"/>
      <c r="KG102" s="637"/>
      <c r="KH102" s="637"/>
      <c r="KI102" s="637"/>
      <c r="KJ102" s="637"/>
      <c r="KK102" s="637"/>
      <c r="KL102" s="637"/>
      <c r="KM102" s="637"/>
      <c r="KN102" s="637"/>
      <c r="KO102" s="637"/>
      <c r="KP102" s="637"/>
      <c r="KQ102" s="637"/>
      <c r="KR102" s="637"/>
      <c r="KS102" s="637"/>
      <c r="KT102" s="637"/>
      <c r="KU102" s="637"/>
      <c r="KV102" s="637"/>
      <c r="KW102" s="637"/>
      <c r="KX102" s="637"/>
      <c r="KY102" s="637"/>
      <c r="KZ102" s="637"/>
      <c r="LA102" s="637"/>
      <c r="LB102" s="637"/>
      <c r="LC102" s="637"/>
      <c r="LD102" s="637"/>
      <c r="LE102" s="637"/>
      <c r="LF102" s="637"/>
      <c r="LG102" s="637"/>
      <c r="LH102" s="637"/>
      <c r="LI102" s="637"/>
      <c r="LJ102" s="637"/>
      <c r="LK102" s="637"/>
      <c r="LL102" s="637"/>
      <c r="LM102" s="637"/>
      <c r="LN102" s="637"/>
      <c r="LO102" s="637"/>
      <c r="LP102" s="637"/>
      <c r="LQ102" s="637"/>
      <c r="LR102" s="637"/>
      <c r="LS102" s="637"/>
      <c r="LT102" s="637"/>
      <c r="LU102" s="637"/>
      <c r="LV102" s="637"/>
      <c r="LW102" s="637"/>
      <c r="LX102" s="637"/>
      <c r="LY102" s="637"/>
      <c r="LZ102" s="637"/>
      <c r="MA102" s="637"/>
      <c r="MB102" s="637"/>
      <c r="MC102" s="637"/>
      <c r="MD102" s="637"/>
      <c r="ME102" s="637"/>
      <c r="MF102" s="637"/>
      <c r="MG102" s="637"/>
      <c r="MH102" s="637"/>
      <c r="MI102" s="637"/>
      <c r="MJ102" s="637"/>
      <c r="MK102" s="637"/>
      <c r="ML102" s="637"/>
      <c r="MM102" s="637"/>
      <c r="MN102" s="637"/>
      <c r="MO102" s="637"/>
      <c r="MP102" s="637"/>
      <c r="MQ102" s="637"/>
      <c r="MR102" s="637"/>
      <c r="MS102" s="637"/>
      <c r="MT102" s="637"/>
      <c r="MU102" s="637"/>
      <c r="MV102" s="637"/>
      <c r="MW102" s="637"/>
      <c r="MX102" s="637"/>
      <c r="MY102" s="637"/>
      <c r="MZ102" s="637"/>
      <c r="NA102" s="637"/>
      <c r="NB102" s="637"/>
      <c r="NC102" s="637"/>
      <c r="ND102" s="637"/>
      <c r="NE102" s="637"/>
      <c r="NF102" s="637"/>
      <c r="NG102" s="637"/>
      <c r="NH102" s="637"/>
      <c r="NI102" s="637"/>
      <c r="NJ102" s="637"/>
      <c r="NK102" s="637"/>
      <c r="NL102" s="637"/>
      <c r="NM102" s="637"/>
      <c r="NN102" s="637"/>
      <c r="NO102" s="637"/>
      <c r="NP102" s="637"/>
      <c r="NQ102" s="637"/>
      <c r="NR102" s="637"/>
      <c r="NS102" s="637"/>
      <c r="NT102" s="637"/>
      <c r="NU102" s="637"/>
      <c r="NV102" s="637"/>
      <c r="NW102" s="637"/>
      <c r="NX102" s="637"/>
      <c r="NY102" s="637"/>
      <c r="NZ102" s="637"/>
      <c r="OA102" s="637"/>
      <c r="OB102" s="637"/>
      <c r="OC102" s="637"/>
      <c r="OD102" s="637"/>
      <c r="OE102" s="637"/>
      <c r="OF102" s="637"/>
      <c r="OG102" s="637"/>
      <c r="OH102" s="637"/>
      <c r="OI102" s="637"/>
      <c r="OJ102" s="637"/>
      <c r="OK102" s="637"/>
      <c r="OL102" s="637"/>
      <c r="OM102" s="637"/>
      <c r="ON102" s="637"/>
      <c r="OO102" s="637"/>
      <c r="OP102" s="637"/>
      <c r="OQ102" s="637"/>
      <c r="OR102" s="637"/>
      <c r="OS102" s="637"/>
      <c r="OT102" s="637"/>
      <c r="OU102" s="637"/>
      <c r="OV102" s="637"/>
      <c r="OW102" s="637"/>
      <c r="OX102" s="637"/>
      <c r="OY102" s="637"/>
      <c r="OZ102" s="637"/>
      <c r="PA102" s="637"/>
      <c r="PB102" s="637"/>
      <c r="PC102" s="637"/>
      <c r="PD102" s="637"/>
      <c r="PE102" s="637"/>
      <c r="PF102" s="637"/>
      <c r="PG102" s="637"/>
      <c r="PH102" s="637"/>
      <c r="PI102" s="637"/>
      <c r="PJ102" s="637"/>
      <c r="PK102" s="637"/>
      <c r="PL102" s="637"/>
      <c r="PM102" s="637"/>
      <c r="PN102" s="637"/>
      <c r="PO102" s="637"/>
      <c r="PP102" s="637"/>
      <c r="PQ102" s="637"/>
      <c r="PR102" s="637"/>
      <c r="PS102" s="637"/>
      <c r="PT102" s="637"/>
      <c r="PU102" s="637"/>
      <c r="PV102" s="637"/>
      <c r="PW102" s="637"/>
      <c r="PX102" s="637"/>
      <c r="PY102" s="637"/>
      <c r="PZ102" s="637"/>
      <c r="QA102" s="637"/>
      <c r="QB102" s="637"/>
      <c r="QC102" s="637"/>
      <c r="QD102" s="637"/>
      <c r="QE102" s="637"/>
      <c r="QF102" s="637"/>
      <c r="QG102" s="637"/>
      <c r="QH102" s="637"/>
      <c r="QI102" s="637"/>
      <c r="QJ102" s="637"/>
      <c r="QK102" s="637"/>
      <c r="QL102" s="637"/>
      <c r="QM102" s="637"/>
      <c r="QN102" s="637"/>
      <c r="QO102" s="637"/>
      <c r="QP102" s="637"/>
      <c r="QQ102" s="637"/>
      <c r="QR102" s="637"/>
      <c r="QS102" s="637"/>
      <c r="QT102" s="637"/>
      <c r="QU102" s="637"/>
      <c r="QV102" s="637"/>
      <c r="QW102" s="637"/>
      <c r="QX102" s="637"/>
      <c r="QY102" s="637"/>
      <c r="QZ102" s="637"/>
      <c r="RA102" s="637"/>
      <c r="RB102" s="637"/>
      <c r="RC102" s="637"/>
      <c r="RD102" s="637"/>
      <c r="RE102" s="637"/>
      <c r="RF102" s="637"/>
      <c r="RG102" s="637"/>
      <c r="RH102" s="637"/>
      <c r="RI102" s="637"/>
      <c r="RJ102" s="637"/>
      <c r="RK102" s="637"/>
      <c r="RL102" s="637"/>
      <c r="RM102" s="637"/>
      <c r="RN102" s="637"/>
      <c r="RO102" s="637"/>
      <c r="RP102" s="637"/>
      <c r="RQ102" s="637"/>
      <c r="RR102" s="637"/>
      <c r="RS102" s="637"/>
      <c r="RT102" s="637"/>
      <c r="RU102" s="637"/>
      <c r="RV102" s="637"/>
      <c r="RW102" s="637"/>
      <c r="RX102" s="637"/>
      <c r="RY102" s="637"/>
      <c r="RZ102" s="637"/>
      <c r="SA102" s="637"/>
      <c r="SB102" s="637"/>
      <c r="SC102" s="637"/>
      <c r="SD102" s="637"/>
      <c r="SE102" s="637"/>
      <c r="SF102" s="637"/>
      <c r="SG102" s="637"/>
      <c r="SH102" s="637"/>
      <c r="SI102" s="637"/>
      <c r="SJ102" s="637"/>
      <c r="SK102" s="637"/>
      <c r="SL102" s="637"/>
      <c r="SM102" s="637"/>
      <c r="SN102" s="637"/>
      <c r="SO102" s="637"/>
      <c r="SP102" s="637"/>
      <c r="SQ102" s="637"/>
      <c r="SR102" s="637"/>
      <c r="SS102" s="637"/>
      <c r="ST102" s="637"/>
      <c r="SU102" s="637"/>
      <c r="SV102" s="637"/>
      <c r="SW102" s="637"/>
      <c r="SX102" s="637"/>
      <c r="SY102" s="637"/>
      <c r="SZ102" s="637"/>
      <c r="TA102" s="637"/>
      <c r="TB102" s="637"/>
      <c r="TC102" s="637"/>
      <c r="TD102" s="637"/>
      <c r="TE102" s="637"/>
      <c r="TF102" s="637"/>
      <c r="TG102" s="637"/>
      <c r="TH102" s="637"/>
      <c r="TI102" s="637"/>
      <c r="TJ102" s="637"/>
      <c r="TK102" s="637"/>
      <c r="TL102" s="637"/>
      <c r="TM102" s="637"/>
      <c r="TN102" s="637"/>
      <c r="TO102" s="637"/>
      <c r="TP102" s="637"/>
      <c r="TQ102" s="637"/>
      <c r="TR102" s="637"/>
      <c r="TS102" s="637"/>
      <c r="TT102" s="637"/>
      <c r="TU102" s="637"/>
      <c r="TV102" s="637"/>
      <c r="TW102" s="637"/>
      <c r="TX102" s="637"/>
      <c r="TY102" s="637"/>
      <c r="TZ102" s="637"/>
      <c r="UA102" s="637"/>
      <c r="UB102" s="637"/>
      <c r="UC102" s="637"/>
      <c r="UD102" s="637"/>
      <c r="UE102" s="637"/>
      <c r="UF102" s="637"/>
      <c r="UG102" s="637"/>
      <c r="UH102" s="637"/>
      <c r="UI102" s="637"/>
      <c r="UJ102" s="637"/>
      <c r="UK102" s="637"/>
      <c r="UL102" s="637"/>
      <c r="UM102" s="637"/>
      <c r="UN102" s="637"/>
      <c r="UO102" s="637"/>
      <c r="UP102" s="637"/>
      <c r="UQ102" s="637"/>
      <c r="UR102" s="637"/>
      <c r="US102" s="637"/>
      <c r="UT102" s="637"/>
      <c r="UU102" s="637"/>
      <c r="UV102" s="637"/>
      <c r="UW102" s="637"/>
      <c r="UX102" s="637"/>
      <c r="UY102" s="637"/>
      <c r="UZ102" s="637"/>
      <c r="VA102" s="637"/>
      <c r="VB102" s="637"/>
      <c r="VC102" s="637"/>
      <c r="VD102" s="637"/>
      <c r="VE102" s="637"/>
      <c r="VF102" s="637"/>
      <c r="VG102" s="637"/>
      <c r="VH102" s="637"/>
      <c r="VI102" s="637"/>
      <c r="VJ102" s="637"/>
      <c r="VK102" s="637"/>
      <c r="VL102" s="637"/>
      <c r="VM102" s="637"/>
      <c r="VN102" s="637"/>
      <c r="VO102" s="637"/>
      <c r="VP102" s="637"/>
      <c r="VQ102" s="637"/>
      <c r="VR102" s="637"/>
      <c r="VS102" s="637"/>
      <c r="VT102" s="637"/>
      <c r="VU102" s="637"/>
      <c r="VV102" s="637"/>
      <c r="VW102" s="637"/>
      <c r="VX102" s="637"/>
      <c r="VY102" s="637"/>
      <c r="VZ102" s="637"/>
      <c r="WA102" s="637"/>
      <c r="WB102" s="637"/>
      <c r="WC102" s="637"/>
      <c r="WD102" s="637"/>
      <c r="WE102" s="637"/>
      <c r="WF102" s="637"/>
      <c r="WG102" s="637"/>
      <c r="WH102" s="637"/>
      <c r="WI102" s="637"/>
      <c r="WJ102" s="637"/>
      <c r="WK102" s="637"/>
      <c r="WL102" s="637"/>
      <c r="WM102" s="637"/>
      <c r="WN102" s="637"/>
      <c r="WO102" s="637"/>
      <c r="WP102" s="637"/>
      <c r="WQ102" s="637"/>
      <c r="WR102" s="637"/>
      <c r="WS102" s="637"/>
      <c r="WT102" s="637"/>
      <c r="WU102" s="637"/>
      <c r="WV102" s="637"/>
      <c r="WW102" s="637"/>
      <c r="WX102" s="637"/>
      <c r="WY102" s="637"/>
      <c r="WZ102" s="637"/>
      <c r="XA102" s="637"/>
      <c r="XB102" s="637"/>
      <c r="XC102" s="637"/>
      <c r="XD102" s="637"/>
      <c r="XE102" s="637"/>
      <c r="XF102" s="637"/>
      <c r="XG102" s="637"/>
      <c r="XH102" s="637"/>
      <c r="XI102" s="637"/>
      <c r="XJ102" s="637"/>
      <c r="XK102" s="637"/>
      <c r="XL102" s="637"/>
      <c r="XM102" s="637"/>
      <c r="XN102" s="637"/>
      <c r="XO102" s="637"/>
      <c r="XP102" s="637"/>
      <c r="XQ102" s="637"/>
      <c r="XR102" s="637"/>
      <c r="XS102" s="637"/>
      <c r="XT102" s="637"/>
      <c r="XU102" s="637"/>
      <c r="XV102" s="637"/>
      <c r="XW102" s="637"/>
      <c r="XX102" s="637"/>
      <c r="XY102" s="637"/>
      <c r="XZ102" s="637"/>
      <c r="YA102" s="637"/>
      <c r="YB102" s="637"/>
      <c r="YC102" s="637"/>
      <c r="YD102" s="637"/>
      <c r="YE102" s="637"/>
      <c r="YF102" s="637"/>
      <c r="YG102" s="637"/>
      <c r="YH102" s="637"/>
      <c r="YI102" s="637"/>
      <c r="YJ102" s="637"/>
      <c r="YK102" s="637"/>
      <c r="YL102" s="637"/>
      <c r="YM102" s="637"/>
      <c r="YN102" s="637"/>
      <c r="YO102" s="637"/>
      <c r="YP102" s="637"/>
      <c r="YQ102" s="637"/>
      <c r="YR102" s="637"/>
      <c r="YS102" s="637"/>
      <c r="YT102" s="637"/>
      <c r="YU102" s="637"/>
      <c r="YV102" s="637"/>
      <c r="YW102" s="637"/>
      <c r="YX102" s="637"/>
      <c r="YY102" s="637"/>
      <c r="YZ102" s="637"/>
      <c r="ZA102" s="637"/>
      <c r="ZB102" s="637"/>
      <c r="ZC102" s="637"/>
      <c r="ZD102" s="637"/>
      <c r="ZE102" s="637"/>
      <c r="ZF102" s="637"/>
      <c r="ZG102" s="637"/>
      <c r="ZH102" s="637"/>
      <c r="ZI102" s="637"/>
      <c r="ZJ102" s="637"/>
      <c r="ZK102" s="637"/>
      <c r="ZL102" s="637"/>
      <c r="ZM102" s="637"/>
      <c r="ZN102" s="637"/>
      <c r="ZO102" s="637"/>
      <c r="ZP102" s="637"/>
      <c r="ZQ102" s="637"/>
      <c r="ZR102" s="637"/>
      <c r="ZS102" s="637"/>
      <c r="ZT102" s="637"/>
      <c r="ZU102" s="637"/>
      <c r="ZV102" s="637"/>
      <c r="ZW102" s="637"/>
      <c r="ZX102" s="637"/>
      <c r="ZY102" s="637"/>
      <c r="ZZ102" s="637"/>
      <c r="AAA102" s="637"/>
      <c r="AAB102" s="637"/>
      <c r="AAC102" s="637"/>
      <c r="AAD102" s="637"/>
      <c r="AAE102" s="637"/>
      <c r="AAF102" s="637"/>
      <c r="AAG102" s="637"/>
      <c r="AAH102" s="637"/>
      <c r="AAI102" s="637"/>
      <c r="AAJ102" s="637"/>
      <c r="AAK102" s="637"/>
      <c r="AAL102" s="637"/>
      <c r="AAM102" s="637"/>
      <c r="AAN102" s="637"/>
      <c r="AAO102" s="637"/>
      <c r="AAP102" s="637"/>
      <c r="AAQ102" s="637"/>
      <c r="AAR102" s="637"/>
      <c r="AAS102" s="637"/>
      <c r="AAT102" s="637"/>
      <c r="AAU102" s="637"/>
      <c r="AAV102" s="637"/>
      <c r="AAW102" s="637"/>
      <c r="AAX102" s="637"/>
      <c r="AAY102" s="637"/>
      <c r="AAZ102" s="637"/>
      <c r="ABA102" s="637"/>
      <c r="ABB102" s="637"/>
      <c r="ABC102" s="637"/>
      <c r="ABD102" s="637"/>
      <c r="ABE102" s="637"/>
      <c r="ABF102" s="637"/>
      <c r="ABG102" s="637"/>
      <c r="ABH102" s="637"/>
      <c r="ABI102" s="637"/>
      <c r="ABJ102" s="637"/>
      <c r="ABK102" s="637"/>
      <c r="ABL102" s="637"/>
      <c r="ABM102" s="637"/>
      <c r="ABN102" s="637"/>
      <c r="ABO102" s="637"/>
      <c r="ABP102" s="637"/>
      <c r="ABQ102" s="637"/>
      <c r="ABR102" s="637"/>
      <c r="ABS102" s="637"/>
      <c r="ABT102" s="637"/>
      <c r="ABU102" s="637"/>
      <c r="ABV102" s="637"/>
      <c r="ABW102" s="637"/>
      <c r="ABX102" s="637"/>
      <c r="ABY102" s="637"/>
      <c r="ABZ102" s="637"/>
      <c r="ACA102" s="637"/>
      <c r="ACB102" s="637"/>
      <c r="ACC102" s="637"/>
      <c r="ACD102" s="637"/>
      <c r="ACE102" s="637"/>
      <c r="ACF102" s="637"/>
      <c r="ACG102" s="637"/>
      <c r="ACH102" s="637"/>
      <c r="ACI102" s="637"/>
      <c r="ACJ102" s="637"/>
      <c r="ACK102" s="637"/>
      <c r="ACL102" s="637"/>
      <c r="ACM102" s="637"/>
      <c r="ACN102" s="637"/>
      <c r="ACO102" s="637"/>
      <c r="ACP102" s="637"/>
      <c r="ACQ102" s="637"/>
      <c r="ACR102" s="637"/>
      <c r="ACS102" s="637"/>
      <c r="ACT102" s="637"/>
      <c r="ACU102" s="637"/>
      <c r="ACV102" s="637"/>
      <c r="ACW102" s="637"/>
      <c r="ACX102" s="637"/>
      <c r="ACY102" s="637"/>
      <c r="ACZ102" s="637"/>
      <c r="ADA102" s="637"/>
      <c r="ADB102" s="637"/>
      <c r="ADC102" s="637"/>
      <c r="ADD102" s="637"/>
      <c r="ADE102" s="637"/>
      <c r="ADF102" s="637"/>
      <c r="ADG102" s="637"/>
      <c r="ADH102" s="637"/>
      <c r="ADI102" s="637"/>
      <c r="ADJ102" s="637"/>
      <c r="ADK102" s="637"/>
      <c r="ADL102" s="637"/>
      <c r="ADM102" s="637"/>
      <c r="ADN102" s="637"/>
      <c r="ADO102" s="637"/>
      <c r="ADP102" s="637"/>
      <c r="ADQ102" s="637"/>
      <c r="ADR102" s="637"/>
      <c r="ADS102" s="637"/>
      <c r="ADT102" s="637"/>
      <c r="ADU102" s="637"/>
      <c r="ADV102" s="637"/>
      <c r="ADW102" s="637"/>
      <c r="ADX102" s="637"/>
      <c r="ADY102" s="637"/>
      <c r="ADZ102" s="637"/>
      <c r="AEA102" s="637"/>
      <c r="AEB102" s="637"/>
      <c r="AEC102" s="637"/>
      <c r="AED102" s="637"/>
      <c r="AEE102" s="637"/>
      <c r="AEF102" s="637"/>
      <c r="AEG102" s="637"/>
      <c r="AEH102" s="637"/>
      <c r="AEI102" s="637"/>
      <c r="AEJ102" s="637"/>
      <c r="AEK102" s="637"/>
      <c r="AEL102" s="637"/>
      <c r="AEM102" s="637"/>
      <c r="AEN102" s="637"/>
      <c r="AEO102" s="637"/>
      <c r="AEP102" s="637"/>
      <c r="AEQ102" s="637"/>
      <c r="AER102" s="637"/>
      <c r="AES102" s="637"/>
      <c r="AET102" s="637"/>
      <c r="AEU102" s="637"/>
      <c r="AEV102" s="637"/>
      <c r="AEW102" s="637"/>
      <c r="AEX102" s="637"/>
      <c r="AEY102" s="637"/>
      <c r="AEZ102" s="637"/>
      <c r="AFA102" s="637"/>
      <c r="AFB102" s="637"/>
      <c r="AFC102" s="637"/>
      <c r="AFD102" s="637"/>
      <c r="AFE102" s="637"/>
      <c r="AFF102" s="637"/>
      <c r="AFG102" s="637"/>
      <c r="AFH102" s="637"/>
      <c r="AFI102" s="637"/>
      <c r="AFJ102" s="637"/>
      <c r="AFK102" s="637"/>
      <c r="AFL102" s="637"/>
      <c r="AFM102" s="637"/>
      <c r="AFN102" s="637"/>
      <c r="AFO102" s="637"/>
      <c r="AFP102" s="637"/>
      <c r="AFQ102" s="637"/>
      <c r="AFR102" s="637"/>
      <c r="AFS102" s="637"/>
      <c r="AFT102" s="637"/>
      <c r="AFU102" s="637"/>
      <c r="AFV102" s="637"/>
      <c r="AFW102" s="637"/>
      <c r="AFX102" s="637"/>
      <c r="AFY102" s="637"/>
      <c r="AFZ102" s="637"/>
      <c r="AGA102" s="637"/>
      <c r="AGB102" s="637"/>
      <c r="AGC102" s="637"/>
      <c r="AGD102" s="637"/>
      <c r="AGE102" s="637"/>
      <c r="AGF102" s="637"/>
      <c r="AGG102" s="637"/>
      <c r="AGH102" s="637"/>
      <c r="AGI102" s="637"/>
      <c r="AGJ102" s="637"/>
      <c r="AGK102" s="637"/>
      <c r="AGL102" s="637"/>
      <c r="AGM102" s="637"/>
      <c r="AGN102" s="637"/>
      <c r="AGO102" s="637"/>
      <c r="AGP102" s="637"/>
      <c r="AGQ102" s="637"/>
      <c r="AGR102" s="637"/>
      <c r="AGS102" s="637"/>
      <c r="AGT102" s="637"/>
      <c r="AGU102" s="637"/>
      <c r="AGV102" s="637"/>
      <c r="AGW102" s="637"/>
      <c r="AGX102" s="637"/>
      <c r="AGY102" s="637"/>
      <c r="AGZ102" s="637"/>
      <c r="AHA102" s="637"/>
      <c r="AHB102" s="637"/>
      <c r="AHC102" s="637"/>
      <c r="AHD102" s="637"/>
      <c r="AHE102" s="637"/>
      <c r="AHF102" s="637"/>
      <c r="AHG102" s="637"/>
      <c r="AHH102" s="637"/>
      <c r="AHI102" s="637"/>
      <c r="AHJ102" s="637"/>
      <c r="AHK102" s="637"/>
      <c r="AHL102" s="637"/>
      <c r="AHM102" s="637"/>
      <c r="AHN102" s="637"/>
      <c r="AHO102" s="637"/>
      <c r="AHP102" s="637"/>
      <c r="AHQ102" s="637"/>
      <c r="AHR102" s="637"/>
      <c r="AHS102" s="637"/>
      <c r="AHT102" s="637"/>
      <c r="AHU102" s="637"/>
      <c r="AHV102" s="637"/>
      <c r="AHW102" s="637"/>
      <c r="AHX102" s="637"/>
      <c r="AHY102" s="637"/>
      <c r="AHZ102" s="637"/>
      <c r="AIA102" s="637"/>
      <c r="AIB102" s="637"/>
      <c r="AIC102" s="637"/>
      <c r="AID102" s="637"/>
      <c r="AIE102" s="637"/>
      <c r="AIF102" s="637"/>
      <c r="AIG102" s="637"/>
      <c r="AIH102" s="637"/>
      <c r="AII102" s="637"/>
      <c r="AIJ102" s="637"/>
      <c r="AIK102" s="637"/>
      <c r="AIL102" s="637"/>
      <c r="AIM102" s="637"/>
      <c r="AIN102" s="637"/>
      <c r="AIO102" s="637"/>
      <c r="AIP102" s="637"/>
      <c r="AIQ102" s="637"/>
      <c r="AIR102" s="637"/>
      <c r="AIS102" s="637"/>
      <c r="AIT102" s="637"/>
      <c r="AIU102" s="637"/>
      <c r="AIV102" s="637"/>
      <c r="AIW102" s="637"/>
      <c r="AIX102" s="637"/>
      <c r="AIY102" s="637"/>
      <c r="AIZ102" s="637"/>
      <c r="AJA102" s="637"/>
      <c r="AJB102" s="637"/>
      <c r="AJC102" s="637"/>
      <c r="AJD102" s="637"/>
      <c r="AJE102" s="637"/>
      <c r="AJF102" s="637"/>
      <c r="AJG102" s="637"/>
      <c r="AJH102" s="637"/>
      <c r="AJI102" s="637"/>
      <c r="AJJ102" s="637"/>
      <c r="AJK102" s="637"/>
      <c r="AJL102" s="637"/>
      <c r="AJM102" s="637"/>
      <c r="AJN102" s="637"/>
      <c r="AJO102" s="637"/>
      <c r="AJP102" s="637"/>
      <c r="AJQ102" s="637"/>
      <c r="AJR102" s="637"/>
      <c r="AJS102" s="637"/>
      <c r="AJT102" s="637"/>
      <c r="AJU102" s="637"/>
      <c r="AJV102" s="637"/>
      <c r="AJW102" s="637"/>
      <c r="AJX102" s="637"/>
      <c r="AJY102" s="637"/>
      <c r="AJZ102" s="637"/>
      <c r="AKA102" s="637"/>
      <c r="AKB102" s="637"/>
      <c r="AKC102" s="637"/>
      <c r="AKD102" s="637"/>
      <c r="AKE102" s="637"/>
      <c r="AKF102" s="637"/>
      <c r="AKG102" s="637"/>
      <c r="AKH102" s="637"/>
      <c r="AKI102" s="637"/>
      <c r="AKJ102" s="637"/>
      <c r="AKK102" s="637"/>
      <c r="AKL102" s="637"/>
      <c r="AKM102" s="637"/>
      <c r="AKN102" s="637"/>
      <c r="AKO102" s="637"/>
      <c r="AKP102" s="637"/>
      <c r="AKQ102" s="637"/>
      <c r="AKR102" s="637"/>
      <c r="AKS102" s="637"/>
      <c r="AKT102" s="637"/>
      <c r="AKU102" s="637"/>
      <c r="AKV102" s="637"/>
      <c r="AKW102" s="637"/>
      <c r="AKX102" s="637"/>
      <c r="AKY102" s="637"/>
      <c r="AKZ102" s="637"/>
      <c r="ALA102" s="637"/>
      <c r="ALB102" s="637"/>
      <c r="ALC102" s="637"/>
      <c r="ALD102" s="637"/>
      <c r="ALE102" s="637"/>
      <c r="ALF102" s="637"/>
      <c r="ALG102" s="637"/>
      <c r="ALH102" s="637"/>
      <c r="ALI102" s="637"/>
      <c r="ALJ102" s="637"/>
      <c r="ALK102" s="637"/>
      <c r="ALL102" s="637"/>
      <c r="ALM102" s="637"/>
      <c r="ALN102" s="637"/>
      <c r="ALO102" s="637"/>
      <c r="ALP102" s="637"/>
      <c r="ALQ102" s="637"/>
      <c r="ALR102" s="637"/>
      <c r="ALS102" s="637"/>
      <c r="ALT102" s="637"/>
      <c r="ALU102" s="637"/>
      <c r="ALV102" s="637"/>
      <c r="ALW102" s="637"/>
      <c r="ALX102" s="637"/>
      <c r="ALY102" s="637"/>
      <c r="ALZ102" s="637"/>
      <c r="AMA102" s="637"/>
      <c r="AMB102" s="637"/>
      <c r="AMC102" s="637"/>
      <c r="AMD102" s="637"/>
      <c r="AME102" s="637"/>
      <c r="AMF102" s="637"/>
      <c r="AMG102" s="637"/>
      <c r="AMH102" s="637"/>
      <c r="AMI102" s="637"/>
      <c r="AMJ102" s="637"/>
    </row>
    <row r="103" spans="1:1024" s="638" customFormat="1" ht="12.75">
      <c r="A103" s="945"/>
      <c r="B103" s="945"/>
      <c r="C103" s="639"/>
      <c r="D103" s="981" t="s">
        <v>861</v>
      </c>
      <c r="E103" s="982">
        <f t="shared" si="11"/>
        <v>29855</v>
      </c>
      <c r="F103" s="982">
        <f t="shared" si="11"/>
        <v>29855</v>
      </c>
      <c r="G103" s="982">
        <f t="shared" si="11"/>
        <v>19283</v>
      </c>
      <c r="H103" s="982">
        <f t="shared" si="11"/>
        <v>5990</v>
      </c>
      <c r="I103" s="982">
        <f t="shared" si="11"/>
        <v>3963</v>
      </c>
      <c r="J103" s="982">
        <f t="shared" si="11"/>
        <v>19</v>
      </c>
      <c r="K103" s="982">
        <f t="shared" si="11"/>
        <v>0</v>
      </c>
      <c r="L103" s="982">
        <f t="shared" si="11"/>
        <v>0</v>
      </c>
      <c r="M103" s="982">
        <f t="shared" si="11"/>
        <v>0</v>
      </c>
      <c r="N103" s="982">
        <f t="shared" si="11"/>
        <v>600</v>
      </c>
      <c r="O103" s="982">
        <f t="shared" si="11"/>
        <v>0</v>
      </c>
      <c r="P103" s="982">
        <f t="shared" si="11"/>
        <v>0</v>
      </c>
      <c r="Q103" s="982">
        <f t="shared" si="11"/>
        <v>0</v>
      </c>
      <c r="R103" s="982">
        <f t="shared" si="11"/>
        <v>0</v>
      </c>
      <c r="S103" s="637"/>
      <c r="T103" s="637"/>
      <c r="U103" s="637"/>
      <c r="V103" s="637"/>
      <c r="W103" s="637"/>
      <c r="X103" s="637"/>
      <c r="Y103" s="637"/>
      <c r="Z103" s="637"/>
      <c r="AA103" s="637"/>
      <c r="AB103" s="637"/>
      <c r="AC103" s="637"/>
      <c r="AD103" s="637"/>
      <c r="AE103" s="637"/>
      <c r="AF103" s="637"/>
      <c r="AG103" s="637"/>
      <c r="AH103" s="637"/>
      <c r="AI103" s="637"/>
      <c r="AJ103" s="637"/>
      <c r="AK103" s="637"/>
      <c r="AL103" s="637"/>
      <c r="AM103" s="637"/>
      <c r="AN103" s="637"/>
      <c r="AO103" s="637"/>
      <c r="AP103" s="637"/>
      <c r="AQ103" s="637"/>
      <c r="AR103" s="637"/>
      <c r="AS103" s="637"/>
      <c r="AT103" s="637"/>
      <c r="AU103" s="637"/>
      <c r="AV103" s="637"/>
      <c r="AW103" s="637"/>
      <c r="AX103" s="637"/>
      <c r="AY103" s="637"/>
      <c r="AZ103" s="637"/>
      <c r="BA103" s="637"/>
      <c r="BB103" s="637"/>
      <c r="BC103" s="637"/>
      <c r="BD103" s="637"/>
      <c r="BE103" s="637"/>
      <c r="BF103" s="637"/>
      <c r="BG103" s="637"/>
      <c r="BH103" s="637"/>
      <c r="BI103" s="637"/>
      <c r="BJ103" s="637"/>
      <c r="BK103" s="637"/>
      <c r="BL103" s="637"/>
      <c r="BM103" s="637"/>
      <c r="BN103" s="637"/>
      <c r="BO103" s="637"/>
      <c r="BP103" s="637"/>
      <c r="BQ103" s="637"/>
      <c r="BR103" s="637"/>
      <c r="BS103" s="637"/>
      <c r="BT103" s="637"/>
      <c r="BU103" s="637"/>
      <c r="BV103" s="637"/>
      <c r="BW103" s="637"/>
      <c r="BX103" s="637"/>
      <c r="BY103" s="637"/>
      <c r="BZ103" s="637"/>
      <c r="CA103" s="637"/>
      <c r="CB103" s="637"/>
      <c r="CC103" s="637"/>
      <c r="CD103" s="637"/>
      <c r="CE103" s="637"/>
      <c r="CF103" s="637"/>
      <c r="CG103" s="637"/>
      <c r="CH103" s="637"/>
      <c r="CI103" s="637"/>
      <c r="CJ103" s="637"/>
      <c r="CK103" s="637"/>
      <c r="CL103" s="637"/>
      <c r="CM103" s="637"/>
      <c r="CN103" s="637"/>
      <c r="CO103" s="637"/>
      <c r="CP103" s="637"/>
      <c r="CQ103" s="637"/>
      <c r="CR103" s="637"/>
      <c r="CS103" s="637"/>
      <c r="CT103" s="637"/>
      <c r="CU103" s="637"/>
      <c r="CV103" s="637"/>
      <c r="CW103" s="637"/>
      <c r="CX103" s="637"/>
      <c r="CY103" s="637"/>
      <c r="CZ103" s="637"/>
      <c r="DA103" s="637"/>
      <c r="DB103" s="637"/>
      <c r="DC103" s="637"/>
      <c r="DD103" s="637"/>
      <c r="DE103" s="637"/>
      <c r="DF103" s="637"/>
      <c r="DG103" s="637"/>
      <c r="DH103" s="637"/>
      <c r="DI103" s="637"/>
      <c r="DJ103" s="637"/>
      <c r="DK103" s="637"/>
      <c r="DL103" s="637"/>
      <c r="DM103" s="637"/>
      <c r="DN103" s="637"/>
      <c r="DO103" s="637"/>
      <c r="DP103" s="637"/>
      <c r="DQ103" s="637"/>
      <c r="DR103" s="637"/>
      <c r="DS103" s="637"/>
      <c r="DT103" s="637"/>
      <c r="DU103" s="637"/>
      <c r="DV103" s="637"/>
      <c r="DW103" s="637"/>
      <c r="DX103" s="637"/>
      <c r="DY103" s="637"/>
      <c r="DZ103" s="637"/>
      <c r="EA103" s="637"/>
      <c r="EB103" s="637"/>
      <c r="EC103" s="637"/>
      <c r="ED103" s="637"/>
      <c r="EE103" s="637"/>
      <c r="EF103" s="637"/>
      <c r="EG103" s="637"/>
      <c r="EH103" s="637"/>
      <c r="EI103" s="637"/>
      <c r="EJ103" s="637"/>
      <c r="EK103" s="637"/>
      <c r="EL103" s="637"/>
      <c r="EM103" s="637"/>
      <c r="EN103" s="637"/>
      <c r="EO103" s="637"/>
      <c r="EP103" s="637"/>
      <c r="EQ103" s="637"/>
      <c r="ER103" s="637"/>
      <c r="ES103" s="637"/>
      <c r="ET103" s="637"/>
      <c r="EU103" s="637"/>
      <c r="EV103" s="637"/>
      <c r="EW103" s="637"/>
      <c r="EX103" s="637"/>
      <c r="EY103" s="637"/>
      <c r="EZ103" s="637"/>
      <c r="FA103" s="637"/>
      <c r="FB103" s="637"/>
      <c r="FC103" s="637"/>
      <c r="FD103" s="637"/>
      <c r="FE103" s="637"/>
      <c r="FF103" s="637"/>
      <c r="FG103" s="637"/>
      <c r="FH103" s="637"/>
      <c r="FI103" s="637"/>
      <c r="FJ103" s="637"/>
      <c r="FK103" s="637"/>
      <c r="FL103" s="637"/>
      <c r="FM103" s="637"/>
      <c r="FN103" s="637"/>
      <c r="FO103" s="637"/>
      <c r="FP103" s="637"/>
      <c r="FQ103" s="637"/>
      <c r="FR103" s="637"/>
      <c r="FS103" s="637"/>
      <c r="FT103" s="637"/>
      <c r="FU103" s="637"/>
      <c r="FV103" s="637"/>
      <c r="FW103" s="637"/>
      <c r="FX103" s="637"/>
      <c r="FY103" s="637"/>
      <c r="FZ103" s="637"/>
      <c r="GA103" s="637"/>
      <c r="GB103" s="637"/>
      <c r="GC103" s="637"/>
      <c r="GD103" s="637"/>
      <c r="GE103" s="637"/>
      <c r="GF103" s="637"/>
      <c r="GG103" s="637"/>
      <c r="GH103" s="637"/>
      <c r="GI103" s="637"/>
      <c r="GJ103" s="637"/>
      <c r="GK103" s="637"/>
      <c r="GL103" s="637"/>
      <c r="GM103" s="637"/>
      <c r="GN103" s="637"/>
      <c r="GO103" s="637"/>
      <c r="GP103" s="637"/>
      <c r="GQ103" s="637"/>
      <c r="GR103" s="637"/>
      <c r="GS103" s="637"/>
      <c r="GT103" s="637"/>
      <c r="GU103" s="637"/>
      <c r="GV103" s="637"/>
      <c r="GW103" s="637"/>
      <c r="GX103" s="637"/>
      <c r="GY103" s="637"/>
      <c r="GZ103" s="637"/>
      <c r="HA103" s="637"/>
      <c r="HB103" s="637"/>
      <c r="HC103" s="637"/>
      <c r="HD103" s="637"/>
      <c r="HE103" s="637"/>
      <c r="HF103" s="637"/>
      <c r="HG103" s="637"/>
      <c r="HH103" s="637"/>
      <c r="HI103" s="637"/>
      <c r="HJ103" s="637"/>
      <c r="HK103" s="637"/>
      <c r="HL103" s="637"/>
      <c r="HM103" s="637"/>
      <c r="HN103" s="637"/>
      <c r="HO103" s="637"/>
      <c r="HP103" s="637"/>
      <c r="HQ103" s="637"/>
      <c r="HR103" s="637"/>
      <c r="HS103" s="637"/>
      <c r="HT103" s="637"/>
      <c r="HU103" s="637"/>
      <c r="HV103" s="637"/>
      <c r="HW103" s="637"/>
      <c r="HX103" s="637"/>
      <c r="HY103" s="637"/>
      <c r="HZ103" s="637"/>
      <c r="IA103" s="637"/>
      <c r="IB103" s="637"/>
      <c r="IC103" s="637"/>
      <c r="ID103" s="637"/>
      <c r="IE103" s="637"/>
      <c r="IF103" s="637"/>
      <c r="IG103" s="637"/>
      <c r="IH103" s="637"/>
      <c r="II103" s="637"/>
      <c r="IJ103" s="637"/>
      <c r="IK103" s="637"/>
      <c r="IL103" s="637"/>
      <c r="IM103" s="637"/>
      <c r="IN103" s="637"/>
      <c r="IO103" s="637"/>
      <c r="IP103" s="637"/>
      <c r="IQ103" s="637"/>
      <c r="IR103" s="637"/>
      <c r="IS103" s="637"/>
      <c r="IT103" s="637"/>
      <c r="IU103" s="637"/>
      <c r="IV103" s="637"/>
      <c r="IW103" s="637"/>
      <c r="IX103" s="637"/>
      <c r="IY103" s="637"/>
      <c r="IZ103" s="637"/>
      <c r="JA103" s="637"/>
      <c r="JB103" s="637"/>
      <c r="JC103" s="637"/>
      <c r="JD103" s="637"/>
      <c r="JE103" s="637"/>
      <c r="JF103" s="637"/>
      <c r="JG103" s="637"/>
      <c r="JH103" s="637"/>
      <c r="JI103" s="637"/>
      <c r="JJ103" s="637"/>
      <c r="JK103" s="637"/>
      <c r="JL103" s="637"/>
      <c r="JM103" s="637"/>
      <c r="JN103" s="637"/>
      <c r="JO103" s="637"/>
      <c r="JP103" s="637"/>
      <c r="JQ103" s="637"/>
      <c r="JR103" s="637"/>
      <c r="JS103" s="637"/>
      <c r="JT103" s="637"/>
      <c r="JU103" s="637"/>
      <c r="JV103" s="637"/>
      <c r="JW103" s="637"/>
      <c r="JX103" s="637"/>
      <c r="JY103" s="637"/>
      <c r="JZ103" s="637"/>
      <c r="KA103" s="637"/>
      <c r="KB103" s="637"/>
      <c r="KC103" s="637"/>
      <c r="KD103" s="637"/>
      <c r="KE103" s="637"/>
      <c r="KF103" s="637"/>
      <c r="KG103" s="637"/>
      <c r="KH103" s="637"/>
      <c r="KI103" s="637"/>
      <c r="KJ103" s="637"/>
      <c r="KK103" s="637"/>
      <c r="KL103" s="637"/>
      <c r="KM103" s="637"/>
      <c r="KN103" s="637"/>
      <c r="KO103" s="637"/>
      <c r="KP103" s="637"/>
      <c r="KQ103" s="637"/>
      <c r="KR103" s="637"/>
      <c r="KS103" s="637"/>
      <c r="KT103" s="637"/>
      <c r="KU103" s="637"/>
      <c r="KV103" s="637"/>
      <c r="KW103" s="637"/>
      <c r="KX103" s="637"/>
      <c r="KY103" s="637"/>
      <c r="KZ103" s="637"/>
      <c r="LA103" s="637"/>
      <c r="LB103" s="637"/>
      <c r="LC103" s="637"/>
      <c r="LD103" s="637"/>
      <c r="LE103" s="637"/>
      <c r="LF103" s="637"/>
      <c r="LG103" s="637"/>
      <c r="LH103" s="637"/>
      <c r="LI103" s="637"/>
      <c r="LJ103" s="637"/>
      <c r="LK103" s="637"/>
      <c r="LL103" s="637"/>
      <c r="LM103" s="637"/>
      <c r="LN103" s="637"/>
      <c r="LO103" s="637"/>
      <c r="LP103" s="637"/>
      <c r="LQ103" s="637"/>
      <c r="LR103" s="637"/>
      <c r="LS103" s="637"/>
      <c r="LT103" s="637"/>
      <c r="LU103" s="637"/>
      <c r="LV103" s="637"/>
      <c r="LW103" s="637"/>
      <c r="LX103" s="637"/>
      <c r="LY103" s="637"/>
      <c r="LZ103" s="637"/>
      <c r="MA103" s="637"/>
      <c r="MB103" s="637"/>
      <c r="MC103" s="637"/>
      <c r="MD103" s="637"/>
      <c r="ME103" s="637"/>
      <c r="MF103" s="637"/>
      <c r="MG103" s="637"/>
      <c r="MH103" s="637"/>
      <c r="MI103" s="637"/>
      <c r="MJ103" s="637"/>
      <c r="MK103" s="637"/>
      <c r="ML103" s="637"/>
      <c r="MM103" s="637"/>
      <c r="MN103" s="637"/>
      <c r="MO103" s="637"/>
      <c r="MP103" s="637"/>
      <c r="MQ103" s="637"/>
      <c r="MR103" s="637"/>
      <c r="MS103" s="637"/>
      <c r="MT103" s="637"/>
      <c r="MU103" s="637"/>
      <c r="MV103" s="637"/>
      <c r="MW103" s="637"/>
      <c r="MX103" s="637"/>
      <c r="MY103" s="637"/>
      <c r="MZ103" s="637"/>
      <c r="NA103" s="637"/>
      <c r="NB103" s="637"/>
      <c r="NC103" s="637"/>
      <c r="ND103" s="637"/>
      <c r="NE103" s="637"/>
      <c r="NF103" s="637"/>
      <c r="NG103" s="637"/>
      <c r="NH103" s="637"/>
      <c r="NI103" s="637"/>
      <c r="NJ103" s="637"/>
      <c r="NK103" s="637"/>
      <c r="NL103" s="637"/>
      <c r="NM103" s="637"/>
      <c r="NN103" s="637"/>
      <c r="NO103" s="637"/>
      <c r="NP103" s="637"/>
      <c r="NQ103" s="637"/>
      <c r="NR103" s="637"/>
      <c r="NS103" s="637"/>
      <c r="NT103" s="637"/>
      <c r="NU103" s="637"/>
      <c r="NV103" s="637"/>
      <c r="NW103" s="637"/>
      <c r="NX103" s="637"/>
      <c r="NY103" s="637"/>
      <c r="NZ103" s="637"/>
      <c r="OA103" s="637"/>
      <c r="OB103" s="637"/>
      <c r="OC103" s="637"/>
      <c r="OD103" s="637"/>
      <c r="OE103" s="637"/>
      <c r="OF103" s="637"/>
      <c r="OG103" s="637"/>
      <c r="OH103" s="637"/>
      <c r="OI103" s="637"/>
      <c r="OJ103" s="637"/>
      <c r="OK103" s="637"/>
      <c r="OL103" s="637"/>
      <c r="OM103" s="637"/>
      <c r="ON103" s="637"/>
      <c r="OO103" s="637"/>
      <c r="OP103" s="637"/>
      <c r="OQ103" s="637"/>
      <c r="OR103" s="637"/>
      <c r="OS103" s="637"/>
      <c r="OT103" s="637"/>
      <c r="OU103" s="637"/>
      <c r="OV103" s="637"/>
      <c r="OW103" s="637"/>
      <c r="OX103" s="637"/>
      <c r="OY103" s="637"/>
      <c r="OZ103" s="637"/>
      <c r="PA103" s="637"/>
      <c r="PB103" s="637"/>
      <c r="PC103" s="637"/>
      <c r="PD103" s="637"/>
      <c r="PE103" s="637"/>
      <c r="PF103" s="637"/>
      <c r="PG103" s="637"/>
      <c r="PH103" s="637"/>
      <c r="PI103" s="637"/>
      <c r="PJ103" s="637"/>
      <c r="PK103" s="637"/>
      <c r="PL103" s="637"/>
      <c r="PM103" s="637"/>
      <c r="PN103" s="637"/>
      <c r="PO103" s="637"/>
      <c r="PP103" s="637"/>
      <c r="PQ103" s="637"/>
      <c r="PR103" s="637"/>
      <c r="PS103" s="637"/>
      <c r="PT103" s="637"/>
      <c r="PU103" s="637"/>
      <c r="PV103" s="637"/>
      <c r="PW103" s="637"/>
      <c r="PX103" s="637"/>
      <c r="PY103" s="637"/>
      <c r="PZ103" s="637"/>
      <c r="QA103" s="637"/>
      <c r="QB103" s="637"/>
      <c r="QC103" s="637"/>
      <c r="QD103" s="637"/>
      <c r="QE103" s="637"/>
      <c r="QF103" s="637"/>
      <c r="QG103" s="637"/>
      <c r="QH103" s="637"/>
      <c r="QI103" s="637"/>
      <c r="QJ103" s="637"/>
      <c r="QK103" s="637"/>
      <c r="QL103" s="637"/>
      <c r="QM103" s="637"/>
      <c r="QN103" s="637"/>
      <c r="QO103" s="637"/>
      <c r="QP103" s="637"/>
      <c r="QQ103" s="637"/>
      <c r="QR103" s="637"/>
      <c r="QS103" s="637"/>
      <c r="QT103" s="637"/>
      <c r="QU103" s="637"/>
      <c r="QV103" s="637"/>
      <c r="QW103" s="637"/>
      <c r="QX103" s="637"/>
      <c r="QY103" s="637"/>
      <c r="QZ103" s="637"/>
      <c r="RA103" s="637"/>
      <c r="RB103" s="637"/>
      <c r="RC103" s="637"/>
      <c r="RD103" s="637"/>
      <c r="RE103" s="637"/>
      <c r="RF103" s="637"/>
      <c r="RG103" s="637"/>
      <c r="RH103" s="637"/>
      <c r="RI103" s="637"/>
      <c r="RJ103" s="637"/>
      <c r="RK103" s="637"/>
      <c r="RL103" s="637"/>
      <c r="RM103" s="637"/>
      <c r="RN103" s="637"/>
      <c r="RO103" s="637"/>
      <c r="RP103" s="637"/>
      <c r="RQ103" s="637"/>
      <c r="RR103" s="637"/>
      <c r="RS103" s="637"/>
      <c r="RT103" s="637"/>
      <c r="RU103" s="637"/>
      <c r="RV103" s="637"/>
      <c r="RW103" s="637"/>
      <c r="RX103" s="637"/>
      <c r="RY103" s="637"/>
      <c r="RZ103" s="637"/>
      <c r="SA103" s="637"/>
      <c r="SB103" s="637"/>
      <c r="SC103" s="637"/>
      <c r="SD103" s="637"/>
      <c r="SE103" s="637"/>
      <c r="SF103" s="637"/>
      <c r="SG103" s="637"/>
      <c r="SH103" s="637"/>
      <c r="SI103" s="637"/>
      <c r="SJ103" s="637"/>
      <c r="SK103" s="637"/>
      <c r="SL103" s="637"/>
      <c r="SM103" s="637"/>
      <c r="SN103" s="637"/>
      <c r="SO103" s="637"/>
      <c r="SP103" s="637"/>
      <c r="SQ103" s="637"/>
      <c r="SR103" s="637"/>
      <c r="SS103" s="637"/>
      <c r="ST103" s="637"/>
      <c r="SU103" s="637"/>
      <c r="SV103" s="637"/>
      <c r="SW103" s="637"/>
      <c r="SX103" s="637"/>
      <c r="SY103" s="637"/>
      <c r="SZ103" s="637"/>
      <c r="TA103" s="637"/>
      <c r="TB103" s="637"/>
      <c r="TC103" s="637"/>
      <c r="TD103" s="637"/>
      <c r="TE103" s="637"/>
      <c r="TF103" s="637"/>
      <c r="TG103" s="637"/>
      <c r="TH103" s="637"/>
      <c r="TI103" s="637"/>
      <c r="TJ103" s="637"/>
      <c r="TK103" s="637"/>
      <c r="TL103" s="637"/>
      <c r="TM103" s="637"/>
      <c r="TN103" s="637"/>
      <c r="TO103" s="637"/>
      <c r="TP103" s="637"/>
      <c r="TQ103" s="637"/>
      <c r="TR103" s="637"/>
      <c r="TS103" s="637"/>
      <c r="TT103" s="637"/>
      <c r="TU103" s="637"/>
      <c r="TV103" s="637"/>
      <c r="TW103" s="637"/>
      <c r="TX103" s="637"/>
      <c r="TY103" s="637"/>
      <c r="TZ103" s="637"/>
      <c r="UA103" s="637"/>
      <c r="UB103" s="637"/>
      <c r="UC103" s="637"/>
      <c r="UD103" s="637"/>
      <c r="UE103" s="637"/>
      <c r="UF103" s="637"/>
      <c r="UG103" s="637"/>
      <c r="UH103" s="637"/>
      <c r="UI103" s="637"/>
      <c r="UJ103" s="637"/>
      <c r="UK103" s="637"/>
      <c r="UL103" s="637"/>
      <c r="UM103" s="637"/>
      <c r="UN103" s="637"/>
      <c r="UO103" s="637"/>
      <c r="UP103" s="637"/>
      <c r="UQ103" s="637"/>
      <c r="UR103" s="637"/>
      <c r="US103" s="637"/>
      <c r="UT103" s="637"/>
      <c r="UU103" s="637"/>
      <c r="UV103" s="637"/>
      <c r="UW103" s="637"/>
      <c r="UX103" s="637"/>
      <c r="UY103" s="637"/>
      <c r="UZ103" s="637"/>
      <c r="VA103" s="637"/>
      <c r="VB103" s="637"/>
      <c r="VC103" s="637"/>
      <c r="VD103" s="637"/>
      <c r="VE103" s="637"/>
      <c r="VF103" s="637"/>
      <c r="VG103" s="637"/>
      <c r="VH103" s="637"/>
      <c r="VI103" s="637"/>
      <c r="VJ103" s="637"/>
      <c r="VK103" s="637"/>
      <c r="VL103" s="637"/>
      <c r="VM103" s="637"/>
      <c r="VN103" s="637"/>
      <c r="VO103" s="637"/>
      <c r="VP103" s="637"/>
      <c r="VQ103" s="637"/>
      <c r="VR103" s="637"/>
      <c r="VS103" s="637"/>
      <c r="VT103" s="637"/>
      <c r="VU103" s="637"/>
      <c r="VV103" s="637"/>
      <c r="VW103" s="637"/>
      <c r="VX103" s="637"/>
      <c r="VY103" s="637"/>
      <c r="VZ103" s="637"/>
      <c r="WA103" s="637"/>
      <c r="WB103" s="637"/>
      <c r="WC103" s="637"/>
      <c r="WD103" s="637"/>
      <c r="WE103" s="637"/>
      <c r="WF103" s="637"/>
      <c r="WG103" s="637"/>
      <c r="WH103" s="637"/>
      <c r="WI103" s="637"/>
      <c r="WJ103" s="637"/>
      <c r="WK103" s="637"/>
      <c r="WL103" s="637"/>
      <c r="WM103" s="637"/>
      <c r="WN103" s="637"/>
      <c r="WO103" s="637"/>
      <c r="WP103" s="637"/>
      <c r="WQ103" s="637"/>
      <c r="WR103" s="637"/>
      <c r="WS103" s="637"/>
      <c r="WT103" s="637"/>
      <c r="WU103" s="637"/>
      <c r="WV103" s="637"/>
      <c r="WW103" s="637"/>
      <c r="WX103" s="637"/>
      <c r="WY103" s="637"/>
      <c r="WZ103" s="637"/>
      <c r="XA103" s="637"/>
      <c r="XB103" s="637"/>
      <c r="XC103" s="637"/>
      <c r="XD103" s="637"/>
      <c r="XE103" s="637"/>
      <c r="XF103" s="637"/>
      <c r="XG103" s="637"/>
      <c r="XH103" s="637"/>
      <c r="XI103" s="637"/>
      <c r="XJ103" s="637"/>
      <c r="XK103" s="637"/>
      <c r="XL103" s="637"/>
      <c r="XM103" s="637"/>
      <c r="XN103" s="637"/>
      <c r="XO103" s="637"/>
      <c r="XP103" s="637"/>
      <c r="XQ103" s="637"/>
      <c r="XR103" s="637"/>
      <c r="XS103" s="637"/>
      <c r="XT103" s="637"/>
      <c r="XU103" s="637"/>
      <c r="XV103" s="637"/>
      <c r="XW103" s="637"/>
      <c r="XX103" s="637"/>
      <c r="XY103" s="637"/>
      <c r="XZ103" s="637"/>
      <c r="YA103" s="637"/>
      <c r="YB103" s="637"/>
      <c r="YC103" s="637"/>
      <c r="YD103" s="637"/>
      <c r="YE103" s="637"/>
      <c r="YF103" s="637"/>
      <c r="YG103" s="637"/>
      <c r="YH103" s="637"/>
      <c r="YI103" s="637"/>
      <c r="YJ103" s="637"/>
      <c r="YK103" s="637"/>
      <c r="YL103" s="637"/>
      <c r="YM103" s="637"/>
      <c r="YN103" s="637"/>
      <c r="YO103" s="637"/>
      <c r="YP103" s="637"/>
      <c r="YQ103" s="637"/>
      <c r="YR103" s="637"/>
      <c r="YS103" s="637"/>
      <c r="YT103" s="637"/>
      <c r="YU103" s="637"/>
      <c r="YV103" s="637"/>
      <c r="YW103" s="637"/>
      <c r="YX103" s="637"/>
      <c r="YY103" s="637"/>
      <c r="YZ103" s="637"/>
      <c r="ZA103" s="637"/>
      <c r="ZB103" s="637"/>
      <c r="ZC103" s="637"/>
      <c r="ZD103" s="637"/>
      <c r="ZE103" s="637"/>
      <c r="ZF103" s="637"/>
      <c r="ZG103" s="637"/>
      <c r="ZH103" s="637"/>
      <c r="ZI103" s="637"/>
      <c r="ZJ103" s="637"/>
      <c r="ZK103" s="637"/>
      <c r="ZL103" s="637"/>
      <c r="ZM103" s="637"/>
      <c r="ZN103" s="637"/>
      <c r="ZO103" s="637"/>
      <c r="ZP103" s="637"/>
      <c r="ZQ103" s="637"/>
      <c r="ZR103" s="637"/>
      <c r="ZS103" s="637"/>
      <c r="ZT103" s="637"/>
      <c r="ZU103" s="637"/>
      <c r="ZV103" s="637"/>
      <c r="ZW103" s="637"/>
      <c r="ZX103" s="637"/>
      <c r="ZY103" s="637"/>
      <c r="ZZ103" s="637"/>
      <c r="AAA103" s="637"/>
      <c r="AAB103" s="637"/>
      <c r="AAC103" s="637"/>
      <c r="AAD103" s="637"/>
      <c r="AAE103" s="637"/>
      <c r="AAF103" s="637"/>
      <c r="AAG103" s="637"/>
      <c r="AAH103" s="637"/>
      <c r="AAI103" s="637"/>
      <c r="AAJ103" s="637"/>
      <c r="AAK103" s="637"/>
      <c r="AAL103" s="637"/>
      <c r="AAM103" s="637"/>
      <c r="AAN103" s="637"/>
      <c r="AAO103" s="637"/>
      <c r="AAP103" s="637"/>
      <c r="AAQ103" s="637"/>
      <c r="AAR103" s="637"/>
      <c r="AAS103" s="637"/>
      <c r="AAT103" s="637"/>
      <c r="AAU103" s="637"/>
      <c r="AAV103" s="637"/>
      <c r="AAW103" s="637"/>
      <c r="AAX103" s="637"/>
      <c r="AAY103" s="637"/>
      <c r="AAZ103" s="637"/>
      <c r="ABA103" s="637"/>
      <c r="ABB103" s="637"/>
      <c r="ABC103" s="637"/>
      <c r="ABD103" s="637"/>
      <c r="ABE103" s="637"/>
      <c r="ABF103" s="637"/>
      <c r="ABG103" s="637"/>
      <c r="ABH103" s="637"/>
      <c r="ABI103" s="637"/>
      <c r="ABJ103" s="637"/>
      <c r="ABK103" s="637"/>
      <c r="ABL103" s="637"/>
      <c r="ABM103" s="637"/>
      <c r="ABN103" s="637"/>
      <c r="ABO103" s="637"/>
      <c r="ABP103" s="637"/>
      <c r="ABQ103" s="637"/>
      <c r="ABR103" s="637"/>
      <c r="ABS103" s="637"/>
      <c r="ABT103" s="637"/>
      <c r="ABU103" s="637"/>
      <c r="ABV103" s="637"/>
      <c r="ABW103" s="637"/>
      <c r="ABX103" s="637"/>
      <c r="ABY103" s="637"/>
      <c r="ABZ103" s="637"/>
      <c r="ACA103" s="637"/>
      <c r="ACB103" s="637"/>
      <c r="ACC103" s="637"/>
      <c r="ACD103" s="637"/>
      <c r="ACE103" s="637"/>
      <c r="ACF103" s="637"/>
      <c r="ACG103" s="637"/>
      <c r="ACH103" s="637"/>
      <c r="ACI103" s="637"/>
      <c r="ACJ103" s="637"/>
      <c r="ACK103" s="637"/>
      <c r="ACL103" s="637"/>
      <c r="ACM103" s="637"/>
      <c r="ACN103" s="637"/>
      <c r="ACO103" s="637"/>
      <c r="ACP103" s="637"/>
      <c r="ACQ103" s="637"/>
      <c r="ACR103" s="637"/>
      <c r="ACS103" s="637"/>
      <c r="ACT103" s="637"/>
      <c r="ACU103" s="637"/>
      <c r="ACV103" s="637"/>
      <c r="ACW103" s="637"/>
      <c r="ACX103" s="637"/>
      <c r="ACY103" s="637"/>
      <c r="ACZ103" s="637"/>
      <c r="ADA103" s="637"/>
      <c r="ADB103" s="637"/>
      <c r="ADC103" s="637"/>
      <c r="ADD103" s="637"/>
      <c r="ADE103" s="637"/>
      <c r="ADF103" s="637"/>
      <c r="ADG103" s="637"/>
      <c r="ADH103" s="637"/>
      <c r="ADI103" s="637"/>
      <c r="ADJ103" s="637"/>
      <c r="ADK103" s="637"/>
      <c r="ADL103" s="637"/>
      <c r="ADM103" s="637"/>
      <c r="ADN103" s="637"/>
      <c r="ADO103" s="637"/>
      <c r="ADP103" s="637"/>
      <c r="ADQ103" s="637"/>
      <c r="ADR103" s="637"/>
      <c r="ADS103" s="637"/>
      <c r="ADT103" s="637"/>
      <c r="ADU103" s="637"/>
      <c r="ADV103" s="637"/>
      <c r="ADW103" s="637"/>
      <c r="ADX103" s="637"/>
      <c r="ADY103" s="637"/>
      <c r="ADZ103" s="637"/>
      <c r="AEA103" s="637"/>
      <c r="AEB103" s="637"/>
      <c r="AEC103" s="637"/>
      <c r="AED103" s="637"/>
      <c r="AEE103" s="637"/>
      <c r="AEF103" s="637"/>
      <c r="AEG103" s="637"/>
      <c r="AEH103" s="637"/>
      <c r="AEI103" s="637"/>
      <c r="AEJ103" s="637"/>
      <c r="AEK103" s="637"/>
      <c r="AEL103" s="637"/>
      <c r="AEM103" s="637"/>
      <c r="AEN103" s="637"/>
      <c r="AEO103" s="637"/>
      <c r="AEP103" s="637"/>
      <c r="AEQ103" s="637"/>
      <c r="AER103" s="637"/>
      <c r="AES103" s="637"/>
      <c r="AET103" s="637"/>
      <c r="AEU103" s="637"/>
      <c r="AEV103" s="637"/>
      <c r="AEW103" s="637"/>
      <c r="AEX103" s="637"/>
      <c r="AEY103" s="637"/>
      <c r="AEZ103" s="637"/>
      <c r="AFA103" s="637"/>
      <c r="AFB103" s="637"/>
      <c r="AFC103" s="637"/>
      <c r="AFD103" s="637"/>
      <c r="AFE103" s="637"/>
      <c r="AFF103" s="637"/>
      <c r="AFG103" s="637"/>
      <c r="AFH103" s="637"/>
      <c r="AFI103" s="637"/>
      <c r="AFJ103" s="637"/>
      <c r="AFK103" s="637"/>
      <c r="AFL103" s="637"/>
      <c r="AFM103" s="637"/>
      <c r="AFN103" s="637"/>
      <c r="AFO103" s="637"/>
      <c r="AFP103" s="637"/>
      <c r="AFQ103" s="637"/>
      <c r="AFR103" s="637"/>
      <c r="AFS103" s="637"/>
      <c r="AFT103" s="637"/>
      <c r="AFU103" s="637"/>
      <c r="AFV103" s="637"/>
      <c r="AFW103" s="637"/>
      <c r="AFX103" s="637"/>
      <c r="AFY103" s="637"/>
      <c r="AFZ103" s="637"/>
      <c r="AGA103" s="637"/>
      <c r="AGB103" s="637"/>
      <c r="AGC103" s="637"/>
      <c r="AGD103" s="637"/>
      <c r="AGE103" s="637"/>
      <c r="AGF103" s="637"/>
      <c r="AGG103" s="637"/>
      <c r="AGH103" s="637"/>
      <c r="AGI103" s="637"/>
      <c r="AGJ103" s="637"/>
      <c r="AGK103" s="637"/>
      <c r="AGL103" s="637"/>
      <c r="AGM103" s="637"/>
      <c r="AGN103" s="637"/>
      <c r="AGO103" s="637"/>
      <c r="AGP103" s="637"/>
      <c r="AGQ103" s="637"/>
      <c r="AGR103" s="637"/>
      <c r="AGS103" s="637"/>
      <c r="AGT103" s="637"/>
      <c r="AGU103" s="637"/>
      <c r="AGV103" s="637"/>
      <c r="AGW103" s="637"/>
      <c r="AGX103" s="637"/>
      <c r="AGY103" s="637"/>
      <c r="AGZ103" s="637"/>
      <c r="AHA103" s="637"/>
      <c r="AHB103" s="637"/>
      <c r="AHC103" s="637"/>
      <c r="AHD103" s="637"/>
      <c r="AHE103" s="637"/>
      <c r="AHF103" s="637"/>
      <c r="AHG103" s="637"/>
      <c r="AHH103" s="637"/>
      <c r="AHI103" s="637"/>
      <c r="AHJ103" s="637"/>
      <c r="AHK103" s="637"/>
      <c r="AHL103" s="637"/>
      <c r="AHM103" s="637"/>
      <c r="AHN103" s="637"/>
      <c r="AHO103" s="637"/>
      <c r="AHP103" s="637"/>
      <c r="AHQ103" s="637"/>
      <c r="AHR103" s="637"/>
      <c r="AHS103" s="637"/>
      <c r="AHT103" s="637"/>
      <c r="AHU103" s="637"/>
      <c r="AHV103" s="637"/>
      <c r="AHW103" s="637"/>
      <c r="AHX103" s="637"/>
      <c r="AHY103" s="637"/>
      <c r="AHZ103" s="637"/>
      <c r="AIA103" s="637"/>
      <c r="AIB103" s="637"/>
      <c r="AIC103" s="637"/>
      <c r="AID103" s="637"/>
      <c r="AIE103" s="637"/>
      <c r="AIF103" s="637"/>
      <c r="AIG103" s="637"/>
      <c r="AIH103" s="637"/>
      <c r="AII103" s="637"/>
      <c r="AIJ103" s="637"/>
      <c r="AIK103" s="637"/>
      <c r="AIL103" s="637"/>
      <c r="AIM103" s="637"/>
      <c r="AIN103" s="637"/>
      <c r="AIO103" s="637"/>
      <c r="AIP103" s="637"/>
      <c r="AIQ103" s="637"/>
      <c r="AIR103" s="637"/>
      <c r="AIS103" s="637"/>
      <c r="AIT103" s="637"/>
      <c r="AIU103" s="637"/>
      <c r="AIV103" s="637"/>
      <c r="AIW103" s="637"/>
      <c r="AIX103" s="637"/>
      <c r="AIY103" s="637"/>
      <c r="AIZ103" s="637"/>
      <c r="AJA103" s="637"/>
      <c r="AJB103" s="637"/>
      <c r="AJC103" s="637"/>
      <c r="AJD103" s="637"/>
      <c r="AJE103" s="637"/>
      <c r="AJF103" s="637"/>
      <c r="AJG103" s="637"/>
      <c r="AJH103" s="637"/>
      <c r="AJI103" s="637"/>
      <c r="AJJ103" s="637"/>
      <c r="AJK103" s="637"/>
      <c r="AJL103" s="637"/>
      <c r="AJM103" s="637"/>
      <c r="AJN103" s="637"/>
      <c r="AJO103" s="637"/>
      <c r="AJP103" s="637"/>
      <c r="AJQ103" s="637"/>
      <c r="AJR103" s="637"/>
      <c r="AJS103" s="637"/>
      <c r="AJT103" s="637"/>
      <c r="AJU103" s="637"/>
      <c r="AJV103" s="637"/>
      <c r="AJW103" s="637"/>
      <c r="AJX103" s="637"/>
      <c r="AJY103" s="637"/>
      <c r="AJZ103" s="637"/>
      <c r="AKA103" s="637"/>
      <c r="AKB103" s="637"/>
      <c r="AKC103" s="637"/>
      <c r="AKD103" s="637"/>
      <c r="AKE103" s="637"/>
      <c r="AKF103" s="637"/>
      <c r="AKG103" s="637"/>
      <c r="AKH103" s="637"/>
      <c r="AKI103" s="637"/>
      <c r="AKJ103" s="637"/>
      <c r="AKK103" s="637"/>
      <c r="AKL103" s="637"/>
      <c r="AKM103" s="637"/>
      <c r="AKN103" s="637"/>
      <c r="AKO103" s="637"/>
      <c r="AKP103" s="637"/>
      <c r="AKQ103" s="637"/>
      <c r="AKR103" s="637"/>
      <c r="AKS103" s="637"/>
      <c r="AKT103" s="637"/>
      <c r="AKU103" s="637"/>
      <c r="AKV103" s="637"/>
      <c r="AKW103" s="637"/>
      <c r="AKX103" s="637"/>
      <c r="AKY103" s="637"/>
      <c r="AKZ103" s="637"/>
      <c r="ALA103" s="637"/>
      <c r="ALB103" s="637"/>
      <c r="ALC103" s="637"/>
      <c r="ALD103" s="637"/>
      <c r="ALE103" s="637"/>
      <c r="ALF103" s="637"/>
      <c r="ALG103" s="637"/>
      <c r="ALH103" s="637"/>
      <c r="ALI103" s="637"/>
      <c r="ALJ103" s="637"/>
      <c r="ALK103" s="637"/>
      <c r="ALL103" s="637"/>
      <c r="ALM103" s="637"/>
      <c r="ALN103" s="637"/>
      <c r="ALO103" s="637"/>
      <c r="ALP103" s="637"/>
      <c r="ALQ103" s="637"/>
      <c r="ALR103" s="637"/>
      <c r="ALS103" s="637"/>
      <c r="ALT103" s="637"/>
      <c r="ALU103" s="637"/>
      <c r="ALV103" s="637"/>
      <c r="ALW103" s="637"/>
      <c r="ALX103" s="637"/>
      <c r="ALY103" s="637"/>
      <c r="ALZ103" s="637"/>
      <c r="AMA103" s="637"/>
      <c r="AMB103" s="637"/>
      <c r="AMC103" s="637"/>
      <c r="AMD103" s="637"/>
      <c r="AME103" s="637"/>
      <c r="AMF103" s="637"/>
      <c r="AMG103" s="637"/>
      <c r="AMH103" s="637"/>
      <c r="AMI103" s="637"/>
      <c r="AMJ103" s="637"/>
    </row>
    <row r="104" spans="1:1024" s="638" customFormat="1" ht="12.75">
      <c r="A104" s="945"/>
      <c r="B104" s="945"/>
      <c r="C104" s="639"/>
      <c r="D104" s="981" t="s">
        <v>1041</v>
      </c>
      <c r="E104" s="982">
        <f>E88+E92+E96+E100</f>
        <v>30513</v>
      </c>
      <c r="F104" s="982">
        <f aca="true" t="shared" si="12" ref="F104:R104">F88+F92+F96+F100</f>
        <v>30513</v>
      </c>
      <c r="G104" s="982">
        <f t="shared" si="12"/>
        <v>19730</v>
      </c>
      <c r="H104" s="982">
        <f t="shared" si="12"/>
        <v>6087</v>
      </c>
      <c r="I104" s="982">
        <f t="shared" si="12"/>
        <v>4077</v>
      </c>
      <c r="J104" s="982">
        <f t="shared" si="12"/>
        <v>19</v>
      </c>
      <c r="K104" s="982">
        <f t="shared" si="12"/>
        <v>0</v>
      </c>
      <c r="L104" s="982">
        <f t="shared" si="12"/>
        <v>0</v>
      </c>
      <c r="M104" s="982">
        <f t="shared" si="12"/>
        <v>0</v>
      </c>
      <c r="N104" s="982">
        <f t="shared" si="12"/>
        <v>600</v>
      </c>
      <c r="O104" s="982">
        <f t="shared" si="12"/>
        <v>0</v>
      </c>
      <c r="P104" s="982">
        <f t="shared" si="12"/>
        <v>0</v>
      </c>
      <c r="Q104" s="982">
        <f t="shared" si="12"/>
        <v>0</v>
      </c>
      <c r="R104" s="982">
        <f t="shared" si="12"/>
        <v>0</v>
      </c>
      <c r="S104" s="637"/>
      <c r="T104" s="637"/>
      <c r="U104" s="637"/>
      <c r="V104" s="637"/>
      <c r="W104" s="637"/>
      <c r="X104" s="637"/>
      <c r="Y104" s="637"/>
      <c r="Z104" s="637"/>
      <c r="AA104" s="637"/>
      <c r="AB104" s="637"/>
      <c r="AC104" s="637"/>
      <c r="AD104" s="637"/>
      <c r="AE104" s="637"/>
      <c r="AF104" s="637"/>
      <c r="AG104" s="637"/>
      <c r="AH104" s="637"/>
      <c r="AI104" s="637"/>
      <c r="AJ104" s="637"/>
      <c r="AK104" s="637"/>
      <c r="AL104" s="637"/>
      <c r="AM104" s="637"/>
      <c r="AN104" s="637"/>
      <c r="AO104" s="637"/>
      <c r="AP104" s="637"/>
      <c r="AQ104" s="637"/>
      <c r="AR104" s="637"/>
      <c r="AS104" s="637"/>
      <c r="AT104" s="637"/>
      <c r="AU104" s="637"/>
      <c r="AV104" s="637"/>
      <c r="AW104" s="637"/>
      <c r="AX104" s="637"/>
      <c r="AY104" s="637"/>
      <c r="AZ104" s="637"/>
      <c r="BA104" s="637"/>
      <c r="BB104" s="637"/>
      <c r="BC104" s="637"/>
      <c r="BD104" s="637"/>
      <c r="BE104" s="637"/>
      <c r="BF104" s="637"/>
      <c r="BG104" s="637"/>
      <c r="BH104" s="637"/>
      <c r="BI104" s="637"/>
      <c r="BJ104" s="637"/>
      <c r="BK104" s="637"/>
      <c r="BL104" s="637"/>
      <c r="BM104" s="637"/>
      <c r="BN104" s="637"/>
      <c r="BO104" s="637"/>
      <c r="BP104" s="637"/>
      <c r="BQ104" s="637"/>
      <c r="BR104" s="637"/>
      <c r="BS104" s="637"/>
      <c r="BT104" s="637"/>
      <c r="BU104" s="637"/>
      <c r="BV104" s="637"/>
      <c r="BW104" s="637"/>
      <c r="BX104" s="637"/>
      <c r="BY104" s="637"/>
      <c r="BZ104" s="637"/>
      <c r="CA104" s="637"/>
      <c r="CB104" s="637"/>
      <c r="CC104" s="637"/>
      <c r="CD104" s="637"/>
      <c r="CE104" s="637"/>
      <c r="CF104" s="637"/>
      <c r="CG104" s="637"/>
      <c r="CH104" s="637"/>
      <c r="CI104" s="637"/>
      <c r="CJ104" s="637"/>
      <c r="CK104" s="637"/>
      <c r="CL104" s="637"/>
      <c r="CM104" s="637"/>
      <c r="CN104" s="637"/>
      <c r="CO104" s="637"/>
      <c r="CP104" s="637"/>
      <c r="CQ104" s="637"/>
      <c r="CR104" s="637"/>
      <c r="CS104" s="637"/>
      <c r="CT104" s="637"/>
      <c r="CU104" s="637"/>
      <c r="CV104" s="637"/>
      <c r="CW104" s="637"/>
      <c r="CX104" s="637"/>
      <c r="CY104" s="637"/>
      <c r="CZ104" s="637"/>
      <c r="DA104" s="637"/>
      <c r="DB104" s="637"/>
      <c r="DC104" s="637"/>
      <c r="DD104" s="637"/>
      <c r="DE104" s="637"/>
      <c r="DF104" s="637"/>
      <c r="DG104" s="637"/>
      <c r="DH104" s="637"/>
      <c r="DI104" s="637"/>
      <c r="DJ104" s="637"/>
      <c r="DK104" s="637"/>
      <c r="DL104" s="637"/>
      <c r="DM104" s="637"/>
      <c r="DN104" s="637"/>
      <c r="DO104" s="637"/>
      <c r="DP104" s="637"/>
      <c r="DQ104" s="637"/>
      <c r="DR104" s="637"/>
      <c r="DS104" s="637"/>
      <c r="DT104" s="637"/>
      <c r="DU104" s="637"/>
      <c r="DV104" s="637"/>
      <c r="DW104" s="637"/>
      <c r="DX104" s="637"/>
      <c r="DY104" s="637"/>
      <c r="DZ104" s="637"/>
      <c r="EA104" s="637"/>
      <c r="EB104" s="637"/>
      <c r="EC104" s="637"/>
      <c r="ED104" s="637"/>
      <c r="EE104" s="637"/>
      <c r="EF104" s="637"/>
      <c r="EG104" s="637"/>
      <c r="EH104" s="637"/>
      <c r="EI104" s="637"/>
      <c r="EJ104" s="637"/>
      <c r="EK104" s="637"/>
      <c r="EL104" s="637"/>
      <c r="EM104" s="637"/>
      <c r="EN104" s="637"/>
      <c r="EO104" s="637"/>
      <c r="EP104" s="637"/>
      <c r="EQ104" s="637"/>
      <c r="ER104" s="637"/>
      <c r="ES104" s="637"/>
      <c r="ET104" s="637"/>
      <c r="EU104" s="637"/>
      <c r="EV104" s="637"/>
      <c r="EW104" s="637"/>
      <c r="EX104" s="637"/>
      <c r="EY104" s="637"/>
      <c r="EZ104" s="637"/>
      <c r="FA104" s="637"/>
      <c r="FB104" s="637"/>
      <c r="FC104" s="637"/>
      <c r="FD104" s="637"/>
      <c r="FE104" s="637"/>
      <c r="FF104" s="637"/>
      <c r="FG104" s="637"/>
      <c r="FH104" s="637"/>
      <c r="FI104" s="637"/>
      <c r="FJ104" s="637"/>
      <c r="FK104" s="637"/>
      <c r="FL104" s="637"/>
      <c r="FM104" s="637"/>
      <c r="FN104" s="637"/>
      <c r="FO104" s="637"/>
      <c r="FP104" s="637"/>
      <c r="FQ104" s="637"/>
      <c r="FR104" s="637"/>
      <c r="FS104" s="637"/>
      <c r="FT104" s="637"/>
      <c r="FU104" s="637"/>
      <c r="FV104" s="637"/>
      <c r="FW104" s="637"/>
      <c r="FX104" s="637"/>
      <c r="FY104" s="637"/>
      <c r="FZ104" s="637"/>
      <c r="GA104" s="637"/>
      <c r="GB104" s="637"/>
      <c r="GC104" s="637"/>
      <c r="GD104" s="637"/>
      <c r="GE104" s="637"/>
      <c r="GF104" s="637"/>
      <c r="GG104" s="637"/>
      <c r="GH104" s="637"/>
      <c r="GI104" s="637"/>
      <c r="GJ104" s="637"/>
      <c r="GK104" s="637"/>
      <c r="GL104" s="637"/>
      <c r="GM104" s="637"/>
      <c r="GN104" s="637"/>
      <c r="GO104" s="637"/>
      <c r="GP104" s="637"/>
      <c r="GQ104" s="637"/>
      <c r="GR104" s="637"/>
      <c r="GS104" s="637"/>
      <c r="GT104" s="637"/>
      <c r="GU104" s="637"/>
      <c r="GV104" s="637"/>
      <c r="GW104" s="637"/>
      <c r="GX104" s="637"/>
      <c r="GY104" s="637"/>
      <c r="GZ104" s="637"/>
      <c r="HA104" s="637"/>
      <c r="HB104" s="637"/>
      <c r="HC104" s="637"/>
      <c r="HD104" s="637"/>
      <c r="HE104" s="637"/>
      <c r="HF104" s="637"/>
      <c r="HG104" s="637"/>
      <c r="HH104" s="637"/>
      <c r="HI104" s="637"/>
      <c r="HJ104" s="637"/>
      <c r="HK104" s="637"/>
      <c r="HL104" s="637"/>
      <c r="HM104" s="637"/>
      <c r="HN104" s="637"/>
      <c r="HO104" s="637"/>
      <c r="HP104" s="637"/>
      <c r="HQ104" s="637"/>
      <c r="HR104" s="637"/>
      <c r="HS104" s="637"/>
      <c r="HT104" s="637"/>
      <c r="HU104" s="637"/>
      <c r="HV104" s="637"/>
      <c r="HW104" s="637"/>
      <c r="HX104" s="637"/>
      <c r="HY104" s="637"/>
      <c r="HZ104" s="637"/>
      <c r="IA104" s="637"/>
      <c r="IB104" s="637"/>
      <c r="IC104" s="637"/>
      <c r="ID104" s="637"/>
      <c r="IE104" s="637"/>
      <c r="IF104" s="637"/>
      <c r="IG104" s="637"/>
      <c r="IH104" s="637"/>
      <c r="II104" s="637"/>
      <c r="IJ104" s="637"/>
      <c r="IK104" s="637"/>
      <c r="IL104" s="637"/>
      <c r="IM104" s="637"/>
      <c r="IN104" s="637"/>
      <c r="IO104" s="637"/>
      <c r="IP104" s="637"/>
      <c r="IQ104" s="637"/>
      <c r="IR104" s="637"/>
      <c r="IS104" s="637"/>
      <c r="IT104" s="637"/>
      <c r="IU104" s="637"/>
      <c r="IV104" s="637"/>
      <c r="IW104" s="637"/>
      <c r="IX104" s="637"/>
      <c r="IY104" s="637"/>
      <c r="IZ104" s="637"/>
      <c r="JA104" s="637"/>
      <c r="JB104" s="637"/>
      <c r="JC104" s="637"/>
      <c r="JD104" s="637"/>
      <c r="JE104" s="637"/>
      <c r="JF104" s="637"/>
      <c r="JG104" s="637"/>
      <c r="JH104" s="637"/>
      <c r="JI104" s="637"/>
      <c r="JJ104" s="637"/>
      <c r="JK104" s="637"/>
      <c r="JL104" s="637"/>
      <c r="JM104" s="637"/>
      <c r="JN104" s="637"/>
      <c r="JO104" s="637"/>
      <c r="JP104" s="637"/>
      <c r="JQ104" s="637"/>
      <c r="JR104" s="637"/>
      <c r="JS104" s="637"/>
      <c r="JT104" s="637"/>
      <c r="JU104" s="637"/>
      <c r="JV104" s="637"/>
      <c r="JW104" s="637"/>
      <c r="JX104" s="637"/>
      <c r="JY104" s="637"/>
      <c r="JZ104" s="637"/>
      <c r="KA104" s="637"/>
      <c r="KB104" s="637"/>
      <c r="KC104" s="637"/>
      <c r="KD104" s="637"/>
      <c r="KE104" s="637"/>
      <c r="KF104" s="637"/>
      <c r="KG104" s="637"/>
      <c r="KH104" s="637"/>
      <c r="KI104" s="637"/>
      <c r="KJ104" s="637"/>
      <c r="KK104" s="637"/>
      <c r="KL104" s="637"/>
      <c r="KM104" s="637"/>
      <c r="KN104" s="637"/>
      <c r="KO104" s="637"/>
      <c r="KP104" s="637"/>
      <c r="KQ104" s="637"/>
      <c r="KR104" s="637"/>
      <c r="KS104" s="637"/>
      <c r="KT104" s="637"/>
      <c r="KU104" s="637"/>
      <c r="KV104" s="637"/>
      <c r="KW104" s="637"/>
      <c r="KX104" s="637"/>
      <c r="KY104" s="637"/>
      <c r="KZ104" s="637"/>
      <c r="LA104" s="637"/>
      <c r="LB104" s="637"/>
      <c r="LC104" s="637"/>
      <c r="LD104" s="637"/>
      <c r="LE104" s="637"/>
      <c r="LF104" s="637"/>
      <c r="LG104" s="637"/>
      <c r="LH104" s="637"/>
      <c r="LI104" s="637"/>
      <c r="LJ104" s="637"/>
      <c r="LK104" s="637"/>
      <c r="LL104" s="637"/>
      <c r="LM104" s="637"/>
      <c r="LN104" s="637"/>
      <c r="LO104" s="637"/>
      <c r="LP104" s="637"/>
      <c r="LQ104" s="637"/>
      <c r="LR104" s="637"/>
      <c r="LS104" s="637"/>
      <c r="LT104" s="637"/>
      <c r="LU104" s="637"/>
      <c r="LV104" s="637"/>
      <c r="LW104" s="637"/>
      <c r="LX104" s="637"/>
      <c r="LY104" s="637"/>
      <c r="LZ104" s="637"/>
      <c r="MA104" s="637"/>
      <c r="MB104" s="637"/>
      <c r="MC104" s="637"/>
      <c r="MD104" s="637"/>
      <c r="ME104" s="637"/>
      <c r="MF104" s="637"/>
      <c r="MG104" s="637"/>
      <c r="MH104" s="637"/>
      <c r="MI104" s="637"/>
      <c r="MJ104" s="637"/>
      <c r="MK104" s="637"/>
      <c r="ML104" s="637"/>
      <c r="MM104" s="637"/>
      <c r="MN104" s="637"/>
      <c r="MO104" s="637"/>
      <c r="MP104" s="637"/>
      <c r="MQ104" s="637"/>
      <c r="MR104" s="637"/>
      <c r="MS104" s="637"/>
      <c r="MT104" s="637"/>
      <c r="MU104" s="637"/>
      <c r="MV104" s="637"/>
      <c r="MW104" s="637"/>
      <c r="MX104" s="637"/>
      <c r="MY104" s="637"/>
      <c r="MZ104" s="637"/>
      <c r="NA104" s="637"/>
      <c r="NB104" s="637"/>
      <c r="NC104" s="637"/>
      <c r="ND104" s="637"/>
      <c r="NE104" s="637"/>
      <c r="NF104" s="637"/>
      <c r="NG104" s="637"/>
      <c r="NH104" s="637"/>
      <c r="NI104" s="637"/>
      <c r="NJ104" s="637"/>
      <c r="NK104" s="637"/>
      <c r="NL104" s="637"/>
      <c r="NM104" s="637"/>
      <c r="NN104" s="637"/>
      <c r="NO104" s="637"/>
      <c r="NP104" s="637"/>
      <c r="NQ104" s="637"/>
      <c r="NR104" s="637"/>
      <c r="NS104" s="637"/>
      <c r="NT104" s="637"/>
      <c r="NU104" s="637"/>
      <c r="NV104" s="637"/>
      <c r="NW104" s="637"/>
      <c r="NX104" s="637"/>
      <c r="NY104" s="637"/>
      <c r="NZ104" s="637"/>
      <c r="OA104" s="637"/>
      <c r="OB104" s="637"/>
      <c r="OC104" s="637"/>
      <c r="OD104" s="637"/>
      <c r="OE104" s="637"/>
      <c r="OF104" s="637"/>
      <c r="OG104" s="637"/>
      <c r="OH104" s="637"/>
      <c r="OI104" s="637"/>
      <c r="OJ104" s="637"/>
      <c r="OK104" s="637"/>
      <c r="OL104" s="637"/>
      <c r="OM104" s="637"/>
      <c r="ON104" s="637"/>
      <c r="OO104" s="637"/>
      <c r="OP104" s="637"/>
      <c r="OQ104" s="637"/>
      <c r="OR104" s="637"/>
      <c r="OS104" s="637"/>
      <c r="OT104" s="637"/>
      <c r="OU104" s="637"/>
      <c r="OV104" s="637"/>
      <c r="OW104" s="637"/>
      <c r="OX104" s="637"/>
      <c r="OY104" s="637"/>
      <c r="OZ104" s="637"/>
      <c r="PA104" s="637"/>
      <c r="PB104" s="637"/>
      <c r="PC104" s="637"/>
      <c r="PD104" s="637"/>
      <c r="PE104" s="637"/>
      <c r="PF104" s="637"/>
      <c r="PG104" s="637"/>
      <c r="PH104" s="637"/>
      <c r="PI104" s="637"/>
      <c r="PJ104" s="637"/>
      <c r="PK104" s="637"/>
      <c r="PL104" s="637"/>
      <c r="PM104" s="637"/>
      <c r="PN104" s="637"/>
      <c r="PO104" s="637"/>
      <c r="PP104" s="637"/>
      <c r="PQ104" s="637"/>
      <c r="PR104" s="637"/>
      <c r="PS104" s="637"/>
      <c r="PT104" s="637"/>
      <c r="PU104" s="637"/>
      <c r="PV104" s="637"/>
      <c r="PW104" s="637"/>
      <c r="PX104" s="637"/>
      <c r="PY104" s="637"/>
      <c r="PZ104" s="637"/>
      <c r="QA104" s="637"/>
      <c r="QB104" s="637"/>
      <c r="QC104" s="637"/>
      <c r="QD104" s="637"/>
      <c r="QE104" s="637"/>
      <c r="QF104" s="637"/>
      <c r="QG104" s="637"/>
      <c r="QH104" s="637"/>
      <c r="QI104" s="637"/>
      <c r="QJ104" s="637"/>
      <c r="QK104" s="637"/>
      <c r="QL104" s="637"/>
      <c r="QM104" s="637"/>
      <c r="QN104" s="637"/>
      <c r="QO104" s="637"/>
      <c r="QP104" s="637"/>
      <c r="QQ104" s="637"/>
      <c r="QR104" s="637"/>
      <c r="QS104" s="637"/>
      <c r="QT104" s="637"/>
      <c r="QU104" s="637"/>
      <c r="QV104" s="637"/>
      <c r="QW104" s="637"/>
      <c r="QX104" s="637"/>
      <c r="QY104" s="637"/>
      <c r="QZ104" s="637"/>
      <c r="RA104" s="637"/>
      <c r="RB104" s="637"/>
      <c r="RC104" s="637"/>
      <c r="RD104" s="637"/>
      <c r="RE104" s="637"/>
      <c r="RF104" s="637"/>
      <c r="RG104" s="637"/>
      <c r="RH104" s="637"/>
      <c r="RI104" s="637"/>
      <c r="RJ104" s="637"/>
      <c r="RK104" s="637"/>
      <c r="RL104" s="637"/>
      <c r="RM104" s="637"/>
      <c r="RN104" s="637"/>
      <c r="RO104" s="637"/>
      <c r="RP104" s="637"/>
      <c r="RQ104" s="637"/>
      <c r="RR104" s="637"/>
      <c r="RS104" s="637"/>
      <c r="RT104" s="637"/>
      <c r="RU104" s="637"/>
      <c r="RV104" s="637"/>
      <c r="RW104" s="637"/>
      <c r="RX104" s="637"/>
      <c r="RY104" s="637"/>
      <c r="RZ104" s="637"/>
      <c r="SA104" s="637"/>
      <c r="SB104" s="637"/>
      <c r="SC104" s="637"/>
      <c r="SD104" s="637"/>
      <c r="SE104" s="637"/>
      <c r="SF104" s="637"/>
      <c r="SG104" s="637"/>
      <c r="SH104" s="637"/>
      <c r="SI104" s="637"/>
      <c r="SJ104" s="637"/>
      <c r="SK104" s="637"/>
      <c r="SL104" s="637"/>
      <c r="SM104" s="637"/>
      <c r="SN104" s="637"/>
      <c r="SO104" s="637"/>
      <c r="SP104" s="637"/>
      <c r="SQ104" s="637"/>
      <c r="SR104" s="637"/>
      <c r="SS104" s="637"/>
      <c r="ST104" s="637"/>
      <c r="SU104" s="637"/>
      <c r="SV104" s="637"/>
      <c r="SW104" s="637"/>
      <c r="SX104" s="637"/>
      <c r="SY104" s="637"/>
      <c r="SZ104" s="637"/>
      <c r="TA104" s="637"/>
      <c r="TB104" s="637"/>
      <c r="TC104" s="637"/>
      <c r="TD104" s="637"/>
      <c r="TE104" s="637"/>
      <c r="TF104" s="637"/>
      <c r="TG104" s="637"/>
      <c r="TH104" s="637"/>
      <c r="TI104" s="637"/>
      <c r="TJ104" s="637"/>
      <c r="TK104" s="637"/>
      <c r="TL104" s="637"/>
      <c r="TM104" s="637"/>
      <c r="TN104" s="637"/>
      <c r="TO104" s="637"/>
      <c r="TP104" s="637"/>
      <c r="TQ104" s="637"/>
      <c r="TR104" s="637"/>
      <c r="TS104" s="637"/>
      <c r="TT104" s="637"/>
      <c r="TU104" s="637"/>
      <c r="TV104" s="637"/>
      <c r="TW104" s="637"/>
      <c r="TX104" s="637"/>
      <c r="TY104" s="637"/>
      <c r="TZ104" s="637"/>
      <c r="UA104" s="637"/>
      <c r="UB104" s="637"/>
      <c r="UC104" s="637"/>
      <c r="UD104" s="637"/>
      <c r="UE104" s="637"/>
      <c r="UF104" s="637"/>
      <c r="UG104" s="637"/>
      <c r="UH104" s="637"/>
      <c r="UI104" s="637"/>
      <c r="UJ104" s="637"/>
      <c r="UK104" s="637"/>
      <c r="UL104" s="637"/>
      <c r="UM104" s="637"/>
      <c r="UN104" s="637"/>
      <c r="UO104" s="637"/>
      <c r="UP104" s="637"/>
      <c r="UQ104" s="637"/>
      <c r="UR104" s="637"/>
      <c r="US104" s="637"/>
      <c r="UT104" s="637"/>
      <c r="UU104" s="637"/>
      <c r="UV104" s="637"/>
      <c r="UW104" s="637"/>
      <c r="UX104" s="637"/>
      <c r="UY104" s="637"/>
      <c r="UZ104" s="637"/>
      <c r="VA104" s="637"/>
      <c r="VB104" s="637"/>
      <c r="VC104" s="637"/>
      <c r="VD104" s="637"/>
      <c r="VE104" s="637"/>
      <c r="VF104" s="637"/>
      <c r="VG104" s="637"/>
      <c r="VH104" s="637"/>
      <c r="VI104" s="637"/>
      <c r="VJ104" s="637"/>
      <c r="VK104" s="637"/>
      <c r="VL104" s="637"/>
      <c r="VM104" s="637"/>
      <c r="VN104" s="637"/>
      <c r="VO104" s="637"/>
      <c r="VP104" s="637"/>
      <c r="VQ104" s="637"/>
      <c r="VR104" s="637"/>
      <c r="VS104" s="637"/>
      <c r="VT104" s="637"/>
      <c r="VU104" s="637"/>
      <c r="VV104" s="637"/>
      <c r="VW104" s="637"/>
      <c r="VX104" s="637"/>
      <c r="VY104" s="637"/>
      <c r="VZ104" s="637"/>
      <c r="WA104" s="637"/>
      <c r="WB104" s="637"/>
      <c r="WC104" s="637"/>
      <c r="WD104" s="637"/>
      <c r="WE104" s="637"/>
      <c r="WF104" s="637"/>
      <c r="WG104" s="637"/>
      <c r="WH104" s="637"/>
      <c r="WI104" s="637"/>
      <c r="WJ104" s="637"/>
      <c r="WK104" s="637"/>
      <c r="WL104" s="637"/>
      <c r="WM104" s="637"/>
      <c r="WN104" s="637"/>
      <c r="WO104" s="637"/>
      <c r="WP104" s="637"/>
      <c r="WQ104" s="637"/>
      <c r="WR104" s="637"/>
      <c r="WS104" s="637"/>
      <c r="WT104" s="637"/>
      <c r="WU104" s="637"/>
      <c r="WV104" s="637"/>
      <c r="WW104" s="637"/>
      <c r="WX104" s="637"/>
      <c r="WY104" s="637"/>
      <c r="WZ104" s="637"/>
      <c r="XA104" s="637"/>
      <c r="XB104" s="637"/>
      <c r="XC104" s="637"/>
      <c r="XD104" s="637"/>
      <c r="XE104" s="637"/>
      <c r="XF104" s="637"/>
      <c r="XG104" s="637"/>
      <c r="XH104" s="637"/>
      <c r="XI104" s="637"/>
      <c r="XJ104" s="637"/>
      <c r="XK104" s="637"/>
      <c r="XL104" s="637"/>
      <c r="XM104" s="637"/>
      <c r="XN104" s="637"/>
      <c r="XO104" s="637"/>
      <c r="XP104" s="637"/>
      <c r="XQ104" s="637"/>
      <c r="XR104" s="637"/>
      <c r="XS104" s="637"/>
      <c r="XT104" s="637"/>
      <c r="XU104" s="637"/>
      <c r="XV104" s="637"/>
      <c r="XW104" s="637"/>
      <c r="XX104" s="637"/>
      <c r="XY104" s="637"/>
      <c r="XZ104" s="637"/>
      <c r="YA104" s="637"/>
      <c r="YB104" s="637"/>
      <c r="YC104" s="637"/>
      <c r="YD104" s="637"/>
      <c r="YE104" s="637"/>
      <c r="YF104" s="637"/>
      <c r="YG104" s="637"/>
      <c r="YH104" s="637"/>
      <c r="YI104" s="637"/>
      <c r="YJ104" s="637"/>
      <c r="YK104" s="637"/>
      <c r="YL104" s="637"/>
      <c r="YM104" s="637"/>
      <c r="YN104" s="637"/>
      <c r="YO104" s="637"/>
      <c r="YP104" s="637"/>
      <c r="YQ104" s="637"/>
      <c r="YR104" s="637"/>
      <c r="YS104" s="637"/>
      <c r="YT104" s="637"/>
      <c r="YU104" s="637"/>
      <c r="YV104" s="637"/>
      <c r="YW104" s="637"/>
      <c r="YX104" s="637"/>
      <c r="YY104" s="637"/>
      <c r="YZ104" s="637"/>
      <c r="ZA104" s="637"/>
      <c r="ZB104" s="637"/>
      <c r="ZC104" s="637"/>
      <c r="ZD104" s="637"/>
      <c r="ZE104" s="637"/>
      <c r="ZF104" s="637"/>
      <c r="ZG104" s="637"/>
      <c r="ZH104" s="637"/>
      <c r="ZI104" s="637"/>
      <c r="ZJ104" s="637"/>
      <c r="ZK104" s="637"/>
      <c r="ZL104" s="637"/>
      <c r="ZM104" s="637"/>
      <c r="ZN104" s="637"/>
      <c r="ZO104" s="637"/>
      <c r="ZP104" s="637"/>
      <c r="ZQ104" s="637"/>
      <c r="ZR104" s="637"/>
      <c r="ZS104" s="637"/>
      <c r="ZT104" s="637"/>
      <c r="ZU104" s="637"/>
      <c r="ZV104" s="637"/>
      <c r="ZW104" s="637"/>
      <c r="ZX104" s="637"/>
      <c r="ZY104" s="637"/>
      <c r="ZZ104" s="637"/>
      <c r="AAA104" s="637"/>
      <c r="AAB104" s="637"/>
      <c r="AAC104" s="637"/>
      <c r="AAD104" s="637"/>
      <c r="AAE104" s="637"/>
      <c r="AAF104" s="637"/>
      <c r="AAG104" s="637"/>
      <c r="AAH104" s="637"/>
      <c r="AAI104" s="637"/>
      <c r="AAJ104" s="637"/>
      <c r="AAK104" s="637"/>
      <c r="AAL104" s="637"/>
      <c r="AAM104" s="637"/>
      <c r="AAN104" s="637"/>
      <c r="AAO104" s="637"/>
      <c r="AAP104" s="637"/>
      <c r="AAQ104" s="637"/>
      <c r="AAR104" s="637"/>
      <c r="AAS104" s="637"/>
      <c r="AAT104" s="637"/>
      <c r="AAU104" s="637"/>
      <c r="AAV104" s="637"/>
      <c r="AAW104" s="637"/>
      <c r="AAX104" s="637"/>
      <c r="AAY104" s="637"/>
      <c r="AAZ104" s="637"/>
      <c r="ABA104" s="637"/>
      <c r="ABB104" s="637"/>
      <c r="ABC104" s="637"/>
      <c r="ABD104" s="637"/>
      <c r="ABE104" s="637"/>
      <c r="ABF104" s="637"/>
      <c r="ABG104" s="637"/>
      <c r="ABH104" s="637"/>
      <c r="ABI104" s="637"/>
      <c r="ABJ104" s="637"/>
      <c r="ABK104" s="637"/>
      <c r="ABL104" s="637"/>
      <c r="ABM104" s="637"/>
      <c r="ABN104" s="637"/>
      <c r="ABO104" s="637"/>
      <c r="ABP104" s="637"/>
      <c r="ABQ104" s="637"/>
      <c r="ABR104" s="637"/>
      <c r="ABS104" s="637"/>
      <c r="ABT104" s="637"/>
      <c r="ABU104" s="637"/>
      <c r="ABV104" s="637"/>
      <c r="ABW104" s="637"/>
      <c r="ABX104" s="637"/>
      <c r="ABY104" s="637"/>
      <c r="ABZ104" s="637"/>
      <c r="ACA104" s="637"/>
      <c r="ACB104" s="637"/>
      <c r="ACC104" s="637"/>
      <c r="ACD104" s="637"/>
      <c r="ACE104" s="637"/>
      <c r="ACF104" s="637"/>
      <c r="ACG104" s="637"/>
      <c r="ACH104" s="637"/>
      <c r="ACI104" s="637"/>
      <c r="ACJ104" s="637"/>
      <c r="ACK104" s="637"/>
      <c r="ACL104" s="637"/>
      <c r="ACM104" s="637"/>
      <c r="ACN104" s="637"/>
      <c r="ACO104" s="637"/>
      <c r="ACP104" s="637"/>
      <c r="ACQ104" s="637"/>
      <c r="ACR104" s="637"/>
      <c r="ACS104" s="637"/>
      <c r="ACT104" s="637"/>
      <c r="ACU104" s="637"/>
      <c r="ACV104" s="637"/>
      <c r="ACW104" s="637"/>
      <c r="ACX104" s="637"/>
      <c r="ACY104" s="637"/>
      <c r="ACZ104" s="637"/>
      <c r="ADA104" s="637"/>
      <c r="ADB104" s="637"/>
      <c r="ADC104" s="637"/>
      <c r="ADD104" s="637"/>
      <c r="ADE104" s="637"/>
      <c r="ADF104" s="637"/>
      <c r="ADG104" s="637"/>
      <c r="ADH104" s="637"/>
      <c r="ADI104" s="637"/>
      <c r="ADJ104" s="637"/>
      <c r="ADK104" s="637"/>
      <c r="ADL104" s="637"/>
      <c r="ADM104" s="637"/>
      <c r="ADN104" s="637"/>
      <c r="ADO104" s="637"/>
      <c r="ADP104" s="637"/>
      <c r="ADQ104" s="637"/>
      <c r="ADR104" s="637"/>
      <c r="ADS104" s="637"/>
      <c r="ADT104" s="637"/>
      <c r="ADU104" s="637"/>
      <c r="ADV104" s="637"/>
      <c r="ADW104" s="637"/>
      <c r="ADX104" s="637"/>
      <c r="ADY104" s="637"/>
      <c r="ADZ104" s="637"/>
      <c r="AEA104" s="637"/>
      <c r="AEB104" s="637"/>
      <c r="AEC104" s="637"/>
      <c r="AED104" s="637"/>
      <c r="AEE104" s="637"/>
      <c r="AEF104" s="637"/>
      <c r="AEG104" s="637"/>
      <c r="AEH104" s="637"/>
      <c r="AEI104" s="637"/>
      <c r="AEJ104" s="637"/>
      <c r="AEK104" s="637"/>
      <c r="AEL104" s="637"/>
      <c r="AEM104" s="637"/>
      <c r="AEN104" s="637"/>
      <c r="AEO104" s="637"/>
      <c r="AEP104" s="637"/>
      <c r="AEQ104" s="637"/>
      <c r="AER104" s="637"/>
      <c r="AES104" s="637"/>
      <c r="AET104" s="637"/>
      <c r="AEU104" s="637"/>
      <c r="AEV104" s="637"/>
      <c r="AEW104" s="637"/>
      <c r="AEX104" s="637"/>
      <c r="AEY104" s="637"/>
      <c r="AEZ104" s="637"/>
      <c r="AFA104" s="637"/>
      <c r="AFB104" s="637"/>
      <c r="AFC104" s="637"/>
      <c r="AFD104" s="637"/>
      <c r="AFE104" s="637"/>
      <c r="AFF104" s="637"/>
      <c r="AFG104" s="637"/>
      <c r="AFH104" s="637"/>
      <c r="AFI104" s="637"/>
      <c r="AFJ104" s="637"/>
      <c r="AFK104" s="637"/>
      <c r="AFL104" s="637"/>
      <c r="AFM104" s="637"/>
      <c r="AFN104" s="637"/>
      <c r="AFO104" s="637"/>
      <c r="AFP104" s="637"/>
      <c r="AFQ104" s="637"/>
      <c r="AFR104" s="637"/>
      <c r="AFS104" s="637"/>
      <c r="AFT104" s="637"/>
      <c r="AFU104" s="637"/>
      <c r="AFV104" s="637"/>
      <c r="AFW104" s="637"/>
      <c r="AFX104" s="637"/>
      <c r="AFY104" s="637"/>
      <c r="AFZ104" s="637"/>
      <c r="AGA104" s="637"/>
      <c r="AGB104" s="637"/>
      <c r="AGC104" s="637"/>
      <c r="AGD104" s="637"/>
      <c r="AGE104" s="637"/>
      <c r="AGF104" s="637"/>
      <c r="AGG104" s="637"/>
      <c r="AGH104" s="637"/>
      <c r="AGI104" s="637"/>
      <c r="AGJ104" s="637"/>
      <c r="AGK104" s="637"/>
      <c r="AGL104" s="637"/>
      <c r="AGM104" s="637"/>
      <c r="AGN104" s="637"/>
      <c r="AGO104" s="637"/>
      <c r="AGP104" s="637"/>
      <c r="AGQ104" s="637"/>
      <c r="AGR104" s="637"/>
      <c r="AGS104" s="637"/>
      <c r="AGT104" s="637"/>
      <c r="AGU104" s="637"/>
      <c r="AGV104" s="637"/>
      <c r="AGW104" s="637"/>
      <c r="AGX104" s="637"/>
      <c r="AGY104" s="637"/>
      <c r="AGZ104" s="637"/>
      <c r="AHA104" s="637"/>
      <c r="AHB104" s="637"/>
      <c r="AHC104" s="637"/>
      <c r="AHD104" s="637"/>
      <c r="AHE104" s="637"/>
      <c r="AHF104" s="637"/>
      <c r="AHG104" s="637"/>
      <c r="AHH104" s="637"/>
      <c r="AHI104" s="637"/>
      <c r="AHJ104" s="637"/>
      <c r="AHK104" s="637"/>
      <c r="AHL104" s="637"/>
      <c r="AHM104" s="637"/>
      <c r="AHN104" s="637"/>
      <c r="AHO104" s="637"/>
      <c r="AHP104" s="637"/>
      <c r="AHQ104" s="637"/>
      <c r="AHR104" s="637"/>
      <c r="AHS104" s="637"/>
      <c r="AHT104" s="637"/>
      <c r="AHU104" s="637"/>
      <c r="AHV104" s="637"/>
      <c r="AHW104" s="637"/>
      <c r="AHX104" s="637"/>
      <c r="AHY104" s="637"/>
      <c r="AHZ104" s="637"/>
      <c r="AIA104" s="637"/>
      <c r="AIB104" s="637"/>
      <c r="AIC104" s="637"/>
      <c r="AID104" s="637"/>
      <c r="AIE104" s="637"/>
      <c r="AIF104" s="637"/>
      <c r="AIG104" s="637"/>
      <c r="AIH104" s="637"/>
      <c r="AII104" s="637"/>
      <c r="AIJ104" s="637"/>
      <c r="AIK104" s="637"/>
      <c r="AIL104" s="637"/>
      <c r="AIM104" s="637"/>
      <c r="AIN104" s="637"/>
      <c r="AIO104" s="637"/>
      <c r="AIP104" s="637"/>
      <c r="AIQ104" s="637"/>
      <c r="AIR104" s="637"/>
      <c r="AIS104" s="637"/>
      <c r="AIT104" s="637"/>
      <c r="AIU104" s="637"/>
      <c r="AIV104" s="637"/>
      <c r="AIW104" s="637"/>
      <c r="AIX104" s="637"/>
      <c r="AIY104" s="637"/>
      <c r="AIZ104" s="637"/>
      <c r="AJA104" s="637"/>
      <c r="AJB104" s="637"/>
      <c r="AJC104" s="637"/>
      <c r="AJD104" s="637"/>
      <c r="AJE104" s="637"/>
      <c r="AJF104" s="637"/>
      <c r="AJG104" s="637"/>
      <c r="AJH104" s="637"/>
      <c r="AJI104" s="637"/>
      <c r="AJJ104" s="637"/>
      <c r="AJK104" s="637"/>
      <c r="AJL104" s="637"/>
      <c r="AJM104" s="637"/>
      <c r="AJN104" s="637"/>
      <c r="AJO104" s="637"/>
      <c r="AJP104" s="637"/>
      <c r="AJQ104" s="637"/>
      <c r="AJR104" s="637"/>
      <c r="AJS104" s="637"/>
      <c r="AJT104" s="637"/>
      <c r="AJU104" s="637"/>
      <c r="AJV104" s="637"/>
      <c r="AJW104" s="637"/>
      <c r="AJX104" s="637"/>
      <c r="AJY104" s="637"/>
      <c r="AJZ104" s="637"/>
      <c r="AKA104" s="637"/>
      <c r="AKB104" s="637"/>
      <c r="AKC104" s="637"/>
      <c r="AKD104" s="637"/>
      <c r="AKE104" s="637"/>
      <c r="AKF104" s="637"/>
      <c r="AKG104" s="637"/>
      <c r="AKH104" s="637"/>
      <c r="AKI104" s="637"/>
      <c r="AKJ104" s="637"/>
      <c r="AKK104" s="637"/>
      <c r="AKL104" s="637"/>
      <c r="AKM104" s="637"/>
      <c r="AKN104" s="637"/>
      <c r="AKO104" s="637"/>
      <c r="AKP104" s="637"/>
      <c r="AKQ104" s="637"/>
      <c r="AKR104" s="637"/>
      <c r="AKS104" s="637"/>
      <c r="AKT104" s="637"/>
      <c r="AKU104" s="637"/>
      <c r="AKV104" s="637"/>
      <c r="AKW104" s="637"/>
      <c r="AKX104" s="637"/>
      <c r="AKY104" s="637"/>
      <c r="AKZ104" s="637"/>
      <c r="ALA104" s="637"/>
      <c r="ALB104" s="637"/>
      <c r="ALC104" s="637"/>
      <c r="ALD104" s="637"/>
      <c r="ALE104" s="637"/>
      <c r="ALF104" s="637"/>
      <c r="ALG104" s="637"/>
      <c r="ALH104" s="637"/>
      <c r="ALI104" s="637"/>
      <c r="ALJ104" s="637"/>
      <c r="ALK104" s="637"/>
      <c r="ALL104" s="637"/>
      <c r="ALM104" s="637"/>
      <c r="ALN104" s="637"/>
      <c r="ALO104" s="637"/>
      <c r="ALP104" s="637"/>
      <c r="ALQ104" s="637"/>
      <c r="ALR104" s="637"/>
      <c r="ALS104" s="637"/>
      <c r="ALT104" s="637"/>
      <c r="ALU104" s="637"/>
      <c r="ALV104" s="637"/>
      <c r="ALW104" s="637"/>
      <c r="ALX104" s="637"/>
      <c r="ALY104" s="637"/>
      <c r="ALZ104" s="637"/>
      <c r="AMA104" s="637"/>
      <c r="AMB104" s="637"/>
      <c r="AMC104" s="637"/>
      <c r="AMD104" s="637"/>
      <c r="AME104" s="637"/>
      <c r="AMF104" s="637"/>
      <c r="AMG104" s="637"/>
      <c r="AMH104" s="637"/>
      <c r="AMI104" s="637"/>
      <c r="AMJ104" s="637"/>
    </row>
    <row r="105" spans="1:1024" s="638" customFormat="1" ht="12.75" hidden="1">
      <c r="A105" s="945"/>
      <c r="B105" s="945"/>
      <c r="C105" s="639"/>
      <c r="D105" s="1006"/>
      <c r="E105" s="1008">
        <f t="shared" si="11"/>
        <v>28966</v>
      </c>
      <c r="F105" s="1008">
        <f t="shared" si="11"/>
        <v>29309</v>
      </c>
      <c r="G105" s="1008">
        <f t="shared" si="11"/>
        <v>19690</v>
      </c>
      <c r="H105" s="1008">
        <f t="shared" si="11"/>
        <v>6087</v>
      </c>
      <c r="I105" s="1008">
        <f t="shared" si="11"/>
        <v>3028</v>
      </c>
      <c r="J105" s="1008">
        <f t="shared" si="11"/>
        <v>19</v>
      </c>
      <c r="K105" s="1008">
        <f t="shared" si="11"/>
        <v>0</v>
      </c>
      <c r="L105" s="1008">
        <f t="shared" si="11"/>
        <v>0</v>
      </c>
      <c r="M105" s="1008">
        <f t="shared" si="11"/>
        <v>0</v>
      </c>
      <c r="N105" s="1008">
        <f t="shared" si="11"/>
        <v>485</v>
      </c>
      <c r="O105" s="1007"/>
      <c r="P105" s="1007"/>
      <c r="Q105" s="1007"/>
      <c r="R105" s="1007"/>
      <c r="S105" s="637"/>
      <c r="T105" s="637"/>
      <c r="U105" s="637"/>
      <c r="V105" s="637"/>
      <c r="W105" s="637"/>
      <c r="X105" s="637"/>
      <c r="Y105" s="637"/>
      <c r="Z105" s="637"/>
      <c r="AA105" s="637"/>
      <c r="AB105" s="637"/>
      <c r="AC105" s="637"/>
      <c r="AD105" s="637"/>
      <c r="AE105" s="637"/>
      <c r="AF105" s="637"/>
      <c r="AG105" s="637"/>
      <c r="AH105" s="637"/>
      <c r="AI105" s="637"/>
      <c r="AJ105" s="637"/>
      <c r="AK105" s="637"/>
      <c r="AL105" s="637"/>
      <c r="AM105" s="637"/>
      <c r="AN105" s="637"/>
      <c r="AO105" s="637"/>
      <c r="AP105" s="637"/>
      <c r="AQ105" s="637"/>
      <c r="AR105" s="637"/>
      <c r="AS105" s="637"/>
      <c r="AT105" s="637"/>
      <c r="AU105" s="637"/>
      <c r="AV105" s="637"/>
      <c r="AW105" s="637"/>
      <c r="AX105" s="637"/>
      <c r="AY105" s="637"/>
      <c r="AZ105" s="637"/>
      <c r="BA105" s="637"/>
      <c r="BB105" s="637"/>
      <c r="BC105" s="637"/>
      <c r="BD105" s="637"/>
      <c r="BE105" s="637"/>
      <c r="BF105" s="637"/>
      <c r="BG105" s="637"/>
      <c r="BH105" s="637"/>
      <c r="BI105" s="637"/>
      <c r="BJ105" s="637"/>
      <c r="BK105" s="637"/>
      <c r="BL105" s="637"/>
      <c r="BM105" s="637"/>
      <c r="BN105" s="637"/>
      <c r="BO105" s="637"/>
      <c r="BP105" s="637"/>
      <c r="BQ105" s="637"/>
      <c r="BR105" s="637"/>
      <c r="BS105" s="637"/>
      <c r="BT105" s="637"/>
      <c r="BU105" s="637"/>
      <c r="BV105" s="637"/>
      <c r="BW105" s="637"/>
      <c r="BX105" s="637"/>
      <c r="BY105" s="637"/>
      <c r="BZ105" s="637"/>
      <c r="CA105" s="637"/>
      <c r="CB105" s="637"/>
      <c r="CC105" s="637"/>
      <c r="CD105" s="637"/>
      <c r="CE105" s="637"/>
      <c r="CF105" s="637"/>
      <c r="CG105" s="637"/>
      <c r="CH105" s="637"/>
      <c r="CI105" s="637"/>
      <c r="CJ105" s="637"/>
      <c r="CK105" s="637"/>
      <c r="CL105" s="637"/>
      <c r="CM105" s="637"/>
      <c r="CN105" s="637"/>
      <c r="CO105" s="637"/>
      <c r="CP105" s="637"/>
      <c r="CQ105" s="637"/>
      <c r="CR105" s="637"/>
      <c r="CS105" s="637"/>
      <c r="CT105" s="637"/>
      <c r="CU105" s="637"/>
      <c r="CV105" s="637"/>
      <c r="CW105" s="637"/>
      <c r="CX105" s="637"/>
      <c r="CY105" s="637"/>
      <c r="CZ105" s="637"/>
      <c r="DA105" s="637"/>
      <c r="DB105" s="637"/>
      <c r="DC105" s="637"/>
      <c r="DD105" s="637"/>
      <c r="DE105" s="637"/>
      <c r="DF105" s="637"/>
      <c r="DG105" s="637"/>
      <c r="DH105" s="637"/>
      <c r="DI105" s="637"/>
      <c r="DJ105" s="637"/>
      <c r="DK105" s="637"/>
      <c r="DL105" s="637"/>
      <c r="DM105" s="637"/>
      <c r="DN105" s="637"/>
      <c r="DO105" s="637"/>
      <c r="DP105" s="637"/>
      <c r="DQ105" s="637"/>
      <c r="DR105" s="637"/>
      <c r="DS105" s="637"/>
      <c r="DT105" s="637"/>
      <c r="DU105" s="637"/>
      <c r="DV105" s="637"/>
      <c r="DW105" s="637"/>
      <c r="DX105" s="637"/>
      <c r="DY105" s="637"/>
      <c r="DZ105" s="637"/>
      <c r="EA105" s="637"/>
      <c r="EB105" s="637"/>
      <c r="EC105" s="637"/>
      <c r="ED105" s="637"/>
      <c r="EE105" s="637"/>
      <c r="EF105" s="637"/>
      <c r="EG105" s="637"/>
      <c r="EH105" s="637"/>
      <c r="EI105" s="637"/>
      <c r="EJ105" s="637"/>
      <c r="EK105" s="637"/>
      <c r="EL105" s="637"/>
      <c r="EM105" s="637"/>
      <c r="EN105" s="637"/>
      <c r="EO105" s="637"/>
      <c r="EP105" s="637"/>
      <c r="EQ105" s="637"/>
      <c r="ER105" s="637"/>
      <c r="ES105" s="637"/>
      <c r="ET105" s="637"/>
      <c r="EU105" s="637"/>
      <c r="EV105" s="637"/>
      <c r="EW105" s="637"/>
      <c r="EX105" s="637"/>
      <c r="EY105" s="637"/>
      <c r="EZ105" s="637"/>
      <c r="FA105" s="637"/>
      <c r="FB105" s="637"/>
      <c r="FC105" s="637"/>
      <c r="FD105" s="637"/>
      <c r="FE105" s="637"/>
      <c r="FF105" s="637"/>
      <c r="FG105" s="637"/>
      <c r="FH105" s="637"/>
      <c r="FI105" s="637"/>
      <c r="FJ105" s="637"/>
      <c r="FK105" s="637"/>
      <c r="FL105" s="637"/>
      <c r="FM105" s="637"/>
      <c r="FN105" s="637"/>
      <c r="FO105" s="637"/>
      <c r="FP105" s="637"/>
      <c r="FQ105" s="637"/>
      <c r="FR105" s="637"/>
      <c r="FS105" s="637"/>
      <c r="FT105" s="637"/>
      <c r="FU105" s="637"/>
      <c r="FV105" s="637"/>
      <c r="FW105" s="637"/>
      <c r="FX105" s="637"/>
      <c r="FY105" s="637"/>
      <c r="FZ105" s="637"/>
      <c r="GA105" s="637"/>
      <c r="GB105" s="637"/>
      <c r="GC105" s="637"/>
      <c r="GD105" s="637"/>
      <c r="GE105" s="637"/>
      <c r="GF105" s="637"/>
      <c r="GG105" s="637"/>
      <c r="GH105" s="637"/>
      <c r="GI105" s="637"/>
      <c r="GJ105" s="637"/>
      <c r="GK105" s="637"/>
      <c r="GL105" s="637"/>
      <c r="GM105" s="637"/>
      <c r="GN105" s="637"/>
      <c r="GO105" s="637"/>
      <c r="GP105" s="637"/>
      <c r="GQ105" s="637"/>
      <c r="GR105" s="637"/>
      <c r="GS105" s="637"/>
      <c r="GT105" s="637"/>
      <c r="GU105" s="637"/>
      <c r="GV105" s="637"/>
      <c r="GW105" s="637"/>
      <c r="GX105" s="637"/>
      <c r="GY105" s="637"/>
      <c r="GZ105" s="637"/>
      <c r="HA105" s="637"/>
      <c r="HB105" s="637"/>
      <c r="HC105" s="637"/>
      <c r="HD105" s="637"/>
      <c r="HE105" s="637"/>
      <c r="HF105" s="637"/>
      <c r="HG105" s="637"/>
      <c r="HH105" s="637"/>
      <c r="HI105" s="637"/>
      <c r="HJ105" s="637"/>
      <c r="HK105" s="637"/>
      <c r="HL105" s="637"/>
      <c r="HM105" s="637"/>
      <c r="HN105" s="637"/>
      <c r="HO105" s="637"/>
      <c r="HP105" s="637"/>
      <c r="HQ105" s="637"/>
      <c r="HR105" s="637"/>
      <c r="HS105" s="637"/>
      <c r="HT105" s="637"/>
      <c r="HU105" s="637"/>
      <c r="HV105" s="637"/>
      <c r="HW105" s="637"/>
      <c r="HX105" s="637"/>
      <c r="HY105" s="637"/>
      <c r="HZ105" s="637"/>
      <c r="IA105" s="637"/>
      <c r="IB105" s="637"/>
      <c r="IC105" s="637"/>
      <c r="ID105" s="637"/>
      <c r="IE105" s="637"/>
      <c r="IF105" s="637"/>
      <c r="IG105" s="637"/>
      <c r="IH105" s="637"/>
      <c r="II105" s="637"/>
      <c r="IJ105" s="637"/>
      <c r="IK105" s="637"/>
      <c r="IL105" s="637"/>
      <c r="IM105" s="637"/>
      <c r="IN105" s="637"/>
      <c r="IO105" s="637"/>
      <c r="IP105" s="637"/>
      <c r="IQ105" s="637"/>
      <c r="IR105" s="637"/>
      <c r="IS105" s="637"/>
      <c r="IT105" s="637"/>
      <c r="IU105" s="637"/>
      <c r="IV105" s="637"/>
      <c r="IW105" s="637"/>
      <c r="IX105" s="637"/>
      <c r="IY105" s="637"/>
      <c r="IZ105" s="637"/>
      <c r="JA105" s="637"/>
      <c r="JB105" s="637"/>
      <c r="JC105" s="637"/>
      <c r="JD105" s="637"/>
      <c r="JE105" s="637"/>
      <c r="JF105" s="637"/>
      <c r="JG105" s="637"/>
      <c r="JH105" s="637"/>
      <c r="JI105" s="637"/>
      <c r="JJ105" s="637"/>
      <c r="JK105" s="637"/>
      <c r="JL105" s="637"/>
      <c r="JM105" s="637"/>
      <c r="JN105" s="637"/>
      <c r="JO105" s="637"/>
      <c r="JP105" s="637"/>
      <c r="JQ105" s="637"/>
      <c r="JR105" s="637"/>
      <c r="JS105" s="637"/>
      <c r="JT105" s="637"/>
      <c r="JU105" s="637"/>
      <c r="JV105" s="637"/>
      <c r="JW105" s="637"/>
      <c r="JX105" s="637"/>
      <c r="JY105" s="637"/>
      <c r="JZ105" s="637"/>
      <c r="KA105" s="637"/>
      <c r="KB105" s="637"/>
      <c r="KC105" s="637"/>
      <c r="KD105" s="637"/>
      <c r="KE105" s="637"/>
      <c r="KF105" s="637"/>
      <c r="KG105" s="637"/>
      <c r="KH105" s="637"/>
      <c r="KI105" s="637"/>
      <c r="KJ105" s="637"/>
      <c r="KK105" s="637"/>
      <c r="KL105" s="637"/>
      <c r="KM105" s="637"/>
      <c r="KN105" s="637"/>
      <c r="KO105" s="637"/>
      <c r="KP105" s="637"/>
      <c r="KQ105" s="637"/>
      <c r="KR105" s="637"/>
      <c r="KS105" s="637"/>
      <c r="KT105" s="637"/>
      <c r="KU105" s="637"/>
      <c r="KV105" s="637"/>
      <c r="KW105" s="637"/>
      <c r="KX105" s="637"/>
      <c r="KY105" s="637"/>
      <c r="KZ105" s="637"/>
      <c r="LA105" s="637"/>
      <c r="LB105" s="637"/>
      <c r="LC105" s="637"/>
      <c r="LD105" s="637"/>
      <c r="LE105" s="637"/>
      <c r="LF105" s="637"/>
      <c r="LG105" s="637"/>
      <c r="LH105" s="637"/>
      <c r="LI105" s="637"/>
      <c r="LJ105" s="637"/>
      <c r="LK105" s="637"/>
      <c r="LL105" s="637"/>
      <c r="LM105" s="637"/>
      <c r="LN105" s="637"/>
      <c r="LO105" s="637"/>
      <c r="LP105" s="637"/>
      <c r="LQ105" s="637"/>
      <c r="LR105" s="637"/>
      <c r="LS105" s="637"/>
      <c r="LT105" s="637"/>
      <c r="LU105" s="637"/>
      <c r="LV105" s="637"/>
      <c r="LW105" s="637"/>
      <c r="LX105" s="637"/>
      <c r="LY105" s="637"/>
      <c r="LZ105" s="637"/>
      <c r="MA105" s="637"/>
      <c r="MB105" s="637"/>
      <c r="MC105" s="637"/>
      <c r="MD105" s="637"/>
      <c r="ME105" s="637"/>
      <c r="MF105" s="637"/>
      <c r="MG105" s="637"/>
      <c r="MH105" s="637"/>
      <c r="MI105" s="637"/>
      <c r="MJ105" s="637"/>
      <c r="MK105" s="637"/>
      <c r="ML105" s="637"/>
      <c r="MM105" s="637"/>
      <c r="MN105" s="637"/>
      <c r="MO105" s="637"/>
      <c r="MP105" s="637"/>
      <c r="MQ105" s="637"/>
      <c r="MR105" s="637"/>
      <c r="MS105" s="637"/>
      <c r="MT105" s="637"/>
      <c r="MU105" s="637"/>
      <c r="MV105" s="637"/>
      <c r="MW105" s="637"/>
      <c r="MX105" s="637"/>
      <c r="MY105" s="637"/>
      <c r="MZ105" s="637"/>
      <c r="NA105" s="637"/>
      <c r="NB105" s="637"/>
      <c r="NC105" s="637"/>
      <c r="ND105" s="637"/>
      <c r="NE105" s="637"/>
      <c r="NF105" s="637"/>
      <c r="NG105" s="637"/>
      <c r="NH105" s="637"/>
      <c r="NI105" s="637"/>
      <c r="NJ105" s="637"/>
      <c r="NK105" s="637"/>
      <c r="NL105" s="637"/>
      <c r="NM105" s="637"/>
      <c r="NN105" s="637"/>
      <c r="NO105" s="637"/>
      <c r="NP105" s="637"/>
      <c r="NQ105" s="637"/>
      <c r="NR105" s="637"/>
      <c r="NS105" s="637"/>
      <c r="NT105" s="637"/>
      <c r="NU105" s="637"/>
      <c r="NV105" s="637"/>
      <c r="NW105" s="637"/>
      <c r="NX105" s="637"/>
      <c r="NY105" s="637"/>
      <c r="NZ105" s="637"/>
      <c r="OA105" s="637"/>
      <c r="OB105" s="637"/>
      <c r="OC105" s="637"/>
      <c r="OD105" s="637"/>
      <c r="OE105" s="637"/>
      <c r="OF105" s="637"/>
      <c r="OG105" s="637"/>
      <c r="OH105" s="637"/>
      <c r="OI105" s="637"/>
      <c r="OJ105" s="637"/>
      <c r="OK105" s="637"/>
      <c r="OL105" s="637"/>
      <c r="OM105" s="637"/>
      <c r="ON105" s="637"/>
      <c r="OO105" s="637"/>
      <c r="OP105" s="637"/>
      <c r="OQ105" s="637"/>
      <c r="OR105" s="637"/>
      <c r="OS105" s="637"/>
      <c r="OT105" s="637"/>
      <c r="OU105" s="637"/>
      <c r="OV105" s="637"/>
      <c r="OW105" s="637"/>
      <c r="OX105" s="637"/>
      <c r="OY105" s="637"/>
      <c r="OZ105" s="637"/>
      <c r="PA105" s="637"/>
      <c r="PB105" s="637"/>
      <c r="PC105" s="637"/>
      <c r="PD105" s="637"/>
      <c r="PE105" s="637"/>
      <c r="PF105" s="637"/>
      <c r="PG105" s="637"/>
      <c r="PH105" s="637"/>
      <c r="PI105" s="637"/>
      <c r="PJ105" s="637"/>
      <c r="PK105" s="637"/>
      <c r="PL105" s="637"/>
      <c r="PM105" s="637"/>
      <c r="PN105" s="637"/>
      <c r="PO105" s="637"/>
      <c r="PP105" s="637"/>
      <c r="PQ105" s="637"/>
      <c r="PR105" s="637"/>
      <c r="PS105" s="637"/>
      <c r="PT105" s="637"/>
      <c r="PU105" s="637"/>
      <c r="PV105" s="637"/>
      <c r="PW105" s="637"/>
      <c r="PX105" s="637"/>
      <c r="PY105" s="637"/>
      <c r="PZ105" s="637"/>
      <c r="QA105" s="637"/>
      <c r="QB105" s="637"/>
      <c r="QC105" s="637"/>
      <c r="QD105" s="637"/>
      <c r="QE105" s="637"/>
      <c r="QF105" s="637"/>
      <c r="QG105" s="637"/>
      <c r="QH105" s="637"/>
      <c r="QI105" s="637"/>
      <c r="QJ105" s="637"/>
      <c r="QK105" s="637"/>
      <c r="QL105" s="637"/>
      <c r="QM105" s="637"/>
      <c r="QN105" s="637"/>
      <c r="QO105" s="637"/>
      <c r="QP105" s="637"/>
      <c r="QQ105" s="637"/>
      <c r="QR105" s="637"/>
      <c r="QS105" s="637"/>
      <c r="QT105" s="637"/>
      <c r="QU105" s="637"/>
      <c r="QV105" s="637"/>
      <c r="QW105" s="637"/>
      <c r="QX105" s="637"/>
      <c r="QY105" s="637"/>
      <c r="QZ105" s="637"/>
      <c r="RA105" s="637"/>
      <c r="RB105" s="637"/>
      <c r="RC105" s="637"/>
      <c r="RD105" s="637"/>
      <c r="RE105" s="637"/>
      <c r="RF105" s="637"/>
      <c r="RG105" s="637"/>
      <c r="RH105" s="637"/>
      <c r="RI105" s="637"/>
      <c r="RJ105" s="637"/>
      <c r="RK105" s="637"/>
      <c r="RL105" s="637"/>
      <c r="RM105" s="637"/>
      <c r="RN105" s="637"/>
      <c r="RO105" s="637"/>
      <c r="RP105" s="637"/>
      <c r="RQ105" s="637"/>
      <c r="RR105" s="637"/>
      <c r="RS105" s="637"/>
      <c r="RT105" s="637"/>
      <c r="RU105" s="637"/>
      <c r="RV105" s="637"/>
      <c r="RW105" s="637"/>
      <c r="RX105" s="637"/>
      <c r="RY105" s="637"/>
      <c r="RZ105" s="637"/>
      <c r="SA105" s="637"/>
      <c r="SB105" s="637"/>
      <c r="SC105" s="637"/>
      <c r="SD105" s="637"/>
      <c r="SE105" s="637"/>
      <c r="SF105" s="637"/>
      <c r="SG105" s="637"/>
      <c r="SH105" s="637"/>
      <c r="SI105" s="637"/>
      <c r="SJ105" s="637"/>
      <c r="SK105" s="637"/>
      <c r="SL105" s="637"/>
      <c r="SM105" s="637"/>
      <c r="SN105" s="637"/>
      <c r="SO105" s="637"/>
      <c r="SP105" s="637"/>
      <c r="SQ105" s="637"/>
      <c r="SR105" s="637"/>
      <c r="SS105" s="637"/>
      <c r="ST105" s="637"/>
      <c r="SU105" s="637"/>
      <c r="SV105" s="637"/>
      <c r="SW105" s="637"/>
      <c r="SX105" s="637"/>
      <c r="SY105" s="637"/>
      <c r="SZ105" s="637"/>
      <c r="TA105" s="637"/>
      <c r="TB105" s="637"/>
      <c r="TC105" s="637"/>
      <c r="TD105" s="637"/>
      <c r="TE105" s="637"/>
      <c r="TF105" s="637"/>
      <c r="TG105" s="637"/>
      <c r="TH105" s="637"/>
      <c r="TI105" s="637"/>
      <c r="TJ105" s="637"/>
      <c r="TK105" s="637"/>
      <c r="TL105" s="637"/>
      <c r="TM105" s="637"/>
      <c r="TN105" s="637"/>
      <c r="TO105" s="637"/>
      <c r="TP105" s="637"/>
      <c r="TQ105" s="637"/>
      <c r="TR105" s="637"/>
      <c r="TS105" s="637"/>
      <c r="TT105" s="637"/>
      <c r="TU105" s="637"/>
      <c r="TV105" s="637"/>
      <c r="TW105" s="637"/>
      <c r="TX105" s="637"/>
      <c r="TY105" s="637"/>
      <c r="TZ105" s="637"/>
      <c r="UA105" s="637"/>
      <c r="UB105" s="637"/>
      <c r="UC105" s="637"/>
      <c r="UD105" s="637"/>
      <c r="UE105" s="637"/>
      <c r="UF105" s="637"/>
      <c r="UG105" s="637"/>
      <c r="UH105" s="637"/>
      <c r="UI105" s="637"/>
      <c r="UJ105" s="637"/>
      <c r="UK105" s="637"/>
      <c r="UL105" s="637"/>
      <c r="UM105" s="637"/>
      <c r="UN105" s="637"/>
      <c r="UO105" s="637"/>
      <c r="UP105" s="637"/>
      <c r="UQ105" s="637"/>
      <c r="UR105" s="637"/>
      <c r="US105" s="637"/>
      <c r="UT105" s="637"/>
      <c r="UU105" s="637"/>
      <c r="UV105" s="637"/>
      <c r="UW105" s="637"/>
      <c r="UX105" s="637"/>
      <c r="UY105" s="637"/>
      <c r="UZ105" s="637"/>
      <c r="VA105" s="637"/>
      <c r="VB105" s="637"/>
      <c r="VC105" s="637"/>
      <c r="VD105" s="637"/>
      <c r="VE105" s="637"/>
      <c r="VF105" s="637"/>
      <c r="VG105" s="637"/>
      <c r="VH105" s="637"/>
      <c r="VI105" s="637"/>
      <c r="VJ105" s="637"/>
      <c r="VK105" s="637"/>
      <c r="VL105" s="637"/>
      <c r="VM105" s="637"/>
      <c r="VN105" s="637"/>
      <c r="VO105" s="637"/>
      <c r="VP105" s="637"/>
      <c r="VQ105" s="637"/>
      <c r="VR105" s="637"/>
      <c r="VS105" s="637"/>
      <c r="VT105" s="637"/>
      <c r="VU105" s="637"/>
      <c r="VV105" s="637"/>
      <c r="VW105" s="637"/>
      <c r="VX105" s="637"/>
      <c r="VY105" s="637"/>
      <c r="VZ105" s="637"/>
      <c r="WA105" s="637"/>
      <c r="WB105" s="637"/>
      <c r="WC105" s="637"/>
      <c r="WD105" s="637"/>
      <c r="WE105" s="637"/>
      <c r="WF105" s="637"/>
      <c r="WG105" s="637"/>
      <c r="WH105" s="637"/>
      <c r="WI105" s="637"/>
      <c r="WJ105" s="637"/>
      <c r="WK105" s="637"/>
      <c r="WL105" s="637"/>
      <c r="WM105" s="637"/>
      <c r="WN105" s="637"/>
      <c r="WO105" s="637"/>
      <c r="WP105" s="637"/>
      <c r="WQ105" s="637"/>
      <c r="WR105" s="637"/>
      <c r="WS105" s="637"/>
      <c r="WT105" s="637"/>
      <c r="WU105" s="637"/>
      <c r="WV105" s="637"/>
      <c r="WW105" s="637"/>
      <c r="WX105" s="637"/>
      <c r="WY105" s="637"/>
      <c r="WZ105" s="637"/>
      <c r="XA105" s="637"/>
      <c r="XB105" s="637"/>
      <c r="XC105" s="637"/>
      <c r="XD105" s="637"/>
      <c r="XE105" s="637"/>
      <c r="XF105" s="637"/>
      <c r="XG105" s="637"/>
      <c r="XH105" s="637"/>
      <c r="XI105" s="637"/>
      <c r="XJ105" s="637"/>
      <c r="XK105" s="637"/>
      <c r="XL105" s="637"/>
      <c r="XM105" s="637"/>
      <c r="XN105" s="637"/>
      <c r="XO105" s="637"/>
      <c r="XP105" s="637"/>
      <c r="XQ105" s="637"/>
      <c r="XR105" s="637"/>
      <c r="XS105" s="637"/>
      <c r="XT105" s="637"/>
      <c r="XU105" s="637"/>
      <c r="XV105" s="637"/>
      <c r="XW105" s="637"/>
      <c r="XX105" s="637"/>
      <c r="XY105" s="637"/>
      <c r="XZ105" s="637"/>
      <c r="YA105" s="637"/>
      <c r="YB105" s="637"/>
      <c r="YC105" s="637"/>
      <c r="YD105" s="637"/>
      <c r="YE105" s="637"/>
      <c r="YF105" s="637"/>
      <c r="YG105" s="637"/>
      <c r="YH105" s="637"/>
      <c r="YI105" s="637"/>
      <c r="YJ105" s="637"/>
      <c r="YK105" s="637"/>
      <c r="YL105" s="637"/>
      <c r="YM105" s="637"/>
      <c r="YN105" s="637"/>
      <c r="YO105" s="637"/>
      <c r="YP105" s="637"/>
      <c r="YQ105" s="637"/>
      <c r="YR105" s="637"/>
      <c r="YS105" s="637"/>
      <c r="YT105" s="637"/>
      <c r="YU105" s="637"/>
      <c r="YV105" s="637"/>
      <c r="YW105" s="637"/>
      <c r="YX105" s="637"/>
      <c r="YY105" s="637"/>
      <c r="YZ105" s="637"/>
      <c r="ZA105" s="637"/>
      <c r="ZB105" s="637"/>
      <c r="ZC105" s="637"/>
      <c r="ZD105" s="637"/>
      <c r="ZE105" s="637"/>
      <c r="ZF105" s="637"/>
      <c r="ZG105" s="637"/>
      <c r="ZH105" s="637"/>
      <c r="ZI105" s="637"/>
      <c r="ZJ105" s="637"/>
      <c r="ZK105" s="637"/>
      <c r="ZL105" s="637"/>
      <c r="ZM105" s="637"/>
      <c r="ZN105" s="637"/>
      <c r="ZO105" s="637"/>
      <c r="ZP105" s="637"/>
      <c r="ZQ105" s="637"/>
      <c r="ZR105" s="637"/>
      <c r="ZS105" s="637"/>
      <c r="ZT105" s="637"/>
      <c r="ZU105" s="637"/>
      <c r="ZV105" s="637"/>
      <c r="ZW105" s="637"/>
      <c r="ZX105" s="637"/>
      <c r="ZY105" s="637"/>
      <c r="ZZ105" s="637"/>
      <c r="AAA105" s="637"/>
      <c r="AAB105" s="637"/>
      <c r="AAC105" s="637"/>
      <c r="AAD105" s="637"/>
      <c r="AAE105" s="637"/>
      <c r="AAF105" s="637"/>
      <c r="AAG105" s="637"/>
      <c r="AAH105" s="637"/>
      <c r="AAI105" s="637"/>
      <c r="AAJ105" s="637"/>
      <c r="AAK105" s="637"/>
      <c r="AAL105" s="637"/>
      <c r="AAM105" s="637"/>
      <c r="AAN105" s="637"/>
      <c r="AAO105" s="637"/>
      <c r="AAP105" s="637"/>
      <c r="AAQ105" s="637"/>
      <c r="AAR105" s="637"/>
      <c r="AAS105" s="637"/>
      <c r="AAT105" s="637"/>
      <c r="AAU105" s="637"/>
      <c r="AAV105" s="637"/>
      <c r="AAW105" s="637"/>
      <c r="AAX105" s="637"/>
      <c r="AAY105" s="637"/>
      <c r="AAZ105" s="637"/>
      <c r="ABA105" s="637"/>
      <c r="ABB105" s="637"/>
      <c r="ABC105" s="637"/>
      <c r="ABD105" s="637"/>
      <c r="ABE105" s="637"/>
      <c r="ABF105" s="637"/>
      <c r="ABG105" s="637"/>
      <c r="ABH105" s="637"/>
      <c r="ABI105" s="637"/>
      <c r="ABJ105" s="637"/>
      <c r="ABK105" s="637"/>
      <c r="ABL105" s="637"/>
      <c r="ABM105" s="637"/>
      <c r="ABN105" s="637"/>
      <c r="ABO105" s="637"/>
      <c r="ABP105" s="637"/>
      <c r="ABQ105" s="637"/>
      <c r="ABR105" s="637"/>
      <c r="ABS105" s="637"/>
      <c r="ABT105" s="637"/>
      <c r="ABU105" s="637"/>
      <c r="ABV105" s="637"/>
      <c r="ABW105" s="637"/>
      <c r="ABX105" s="637"/>
      <c r="ABY105" s="637"/>
      <c r="ABZ105" s="637"/>
      <c r="ACA105" s="637"/>
      <c r="ACB105" s="637"/>
      <c r="ACC105" s="637"/>
      <c r="ACD105" s="637"/>
      <c r="ACE105" s="637"/>
      <c r="ACF105" s="637"/>
      <c r="ACG105" s="637"/>
      <c r="ACH105" s="637"/>
      <c r="ACI105" s="637"/>
      <c r="ACJ105" s="637"/>
      <c r="ACK105" s="637"/>
      <c r="ACL105" s="637"/>
      <c r="ACM105" s="637"/>
      <c r="ACN105" s="637"/>
      <c r="ACO105" s="637"/>
      <c r="ACP105" s="637"/>
      <c r="ACQ105" s="637"/>
      <c r="ACR105" s="637"/>
      <c r="ACS105" s="637"/>
      <c r="ACT105" s="637"/>
      <c r="ACU105" s="637"/>
      <c r="ACV105" s="637"/>
      <c r="ACW105" s="637"/>
      <c r="ACX105" s="637"/>
      <c r="ACY105" s="637"/>
      <c r="ACZ105" s="637"/>
      <c r="ADA105" s="637"/>
      <c r="ADB105" s="637"/>
      <c r="ADC105" s="637"/>
      <c r="ADD105" s="637"/>
      <c r="ADE105" s="637"/>
      <c r="ADF105" s="637"/>
      <c r="ADG105" s="637"/>
      <c r="ADH105" s="637"/>
      <c r="ADI105" s="637"/>
      <c r="ADJ105" s="637"/>
      <c r="ADK105" s="637"/>
      <c r="ADL105" s="637"/>
      <c r="ADM105" s="637"/>
      <c r="ADN105" s="637"/>
      <c r="ADO105" s="637"/>
      <c r="ADP105" s="637"/>
      <c r="ADQ105" s="637"/>
      <c r="ADR105" s="637"/>
      <c r="ADS105" s="637"/>
      <c r="ADT105" s="637"/>
      <c r="ADU105" s="637"/>
      <c r="ADV105" s="637"/>
      <c r="ADW105" s="637"/>
      <c r="ADX105" s="637"/>
      <c r="ADY105" s="637"/>
      <c r="ADZ105" s="637"/>
      <c r="AEA105" s="637"/>
      <c r="AEB105" s="637"/>
      <c r="AEC105" s="637"/>
      <c r="AED105" s="637"/>
      <c r="AEE105" s="637"/>
      <c r="AEF105" s="637"/>
      <c r="AEG105" s="637"/>
      <c r="AEH105" s="637"/>
      <c r="AEI105" s="637"/>
      <c r="AEJ105" s="637"/>
      <c r="AEK105" s="637"/>
      <c r="AEL105" s="637"/>
      <c r="AEM105" s="637"/>
      <c r="AEN105" s="637"/>
      <c r="AEO105" s="637"/>
      <c r="AEP105" s="637"/>
      <c r="AEQ105" s="637"/>
      <c r="AER105" s="637"/>
      <c r="AES105" s="637"/>
      <c r="AET105" s="637"/>
      <c r="AEU105" s="637"/>
      <c r="AEV105" s="637"/>
      <c r="AEW105" s="637"/>
      <c r="AEX105" s="637"/>
      <c r="AEY105" s="637"/>
      <c r="AEZ105" s="637"/>
      <c r="AFA105" s="637"/>
      <c r="AFB105" s="637"/>
      <c r="AFC105" s="637"/>
      <c r="AFD105" s="637"/>
      <c r="AFE105" s="637"/>
      <c r="AFF105" s="637"/>
      <c r="AFG105" s="637"/>
      <c r="AFH105" s="637"/>
      <c r="AFI105" s="637"/>
      <c r="AFJ105" s="637"/>
      <c r="AFK105" s="637"/>
      <c r="AFL105" s="637"/>
      <c r="AFM105" s="637"/>
      <c r="AFN105" s="637"/>
      <c r="AFO105" s="637"/>
      <c r="AFP105" s="637"/>
      <c r="AFQ105" s="637"/>
      <c r="AFR105" s="637"/>
      <c r="AFS105" s="637"/>
      <c r="AFT105" s="637"/>
      <c r="AFU105" s="637"/>
      <c r="AFV105" s="637"/>
      <c r="AFW105" s="637"/>
      <c r="AFX105" s="637"/>
      <c r="AFY105" s="637"/>
      <c r="AFZ105" s="637"/>
      <c r="AGA105" s="637"/>
      <c r="AGB105" s="637"/>
      <c r="AGC105" s="637"/>
      <c r="AGD105" s="637"/>
      <c r="AGE105" s="637"/>
      <c r="AGF105" s="637"/>
      <c r="AGG105" s="637"/>
      <c r="AGH105" s="637"/>
      <c r="AGI105" s="637"/>
      <c r="AGJ105" s="637"/>
      <c r="AGK105" s="637"/>
      <c r="AGL105" s="637"/>
      <c r="AGM105" s="637"/>
      <c r="AGN105" s="637"/>
      <c r="AGO105" s="637"/>
      <c r="AGP105" s="637"/>
      <c r="AGQ105" s="637"/>
      <c r="AGR105" s="637"/>
      <c r="AGS105" s="637"/>
      <c r="AGT105" s="637"/>
      <c r="AGU105" s="637"/>
      <c r="AGV105" s="637"/>
      <c r="AGW105" s="637"/>
      <c r="AGX105" s="637"/>
      <c r="AGY105" s="637"/>
      <c r="AGZ105" s="637"/>
      <c r="AHA105" s="637"/>
      <c r="AHB105" s="637"/>
      <c r="AHC105" s="637"/>
      <c r="AHD105" s="637"/>
      <c r="AHE105" s="637"/>
      <c r="AHF105" s="637"/>
      <c r="AHG105" s="637"/>
      <c r="AHH105" s="637"/>
      <c r="AHI105" s="637"/>
      <c r="AHJ105" s="637"/>
      <c r="AHK105" s="637"/>
      <c r="AHL105" s="637"/>
      <c r="AHM105" s="637"/>
      <c r="AHN105" s="637"/>
      <c r="AHO105" s="637"/>
      <c r="AHP105" s="637"/>
      <c r="AHQ105" s="637"/>
      <c r="AHR105" s="637"/>
      <c r="AHS105" s="637"/>
      <c r="AHT105" s="637"/>
      <c r="AHU105" s="637"/>
      <c r="AHV105" s="637"/>
      <c r="AHW105" s="637"/>
      <c r="AHX105" s="637"/>
      <c r="AHY105" s="637"/>
      <c r="AHZ105" s="637"/>
      <c r="AIA105" s="637"/>
      <c r="AIB105" s="637"/>
      <c r="AIC105" s="637"/>
      <c r="AID105" s="637"/>
      <c r="AIE105" s="637"/>
      <c r="AIF105" s="637"/>
      <c r="AIG105" s="637"/>
      <c r="AIH105" s="637"/>
      <c r="AII105" s="637"/>
      <c r="AIJ105" s="637"/>
      <c r="AIK105" s="637"/>
      <c r="AIL105" s="637"/>
      <c r="AIM105" s="637"/>
      <c r="AIN105" s="637"/>
      <c r="AIO105" s="637"/>
      <c r="AIP105" s="637"/>
      <c r="AIQ105" s="637"/>
      <c r="AIR105" s="637"/>
      <c r="AIS105" s="637"/>
      <c r="AIT105" s="637"/>
      <c r="AIU105" s="637"/>
      <c r="AIV105" s="637"/>
      <c r="AIW105" s="637"/>
      <c r="AIX105" s="637"/>
      <c r="AIY105" s="637"/>
      <c r="AIZ105" s="637"/>
      <c r="AJA105" s="637"/>
      <c r="AJB105" s="637"/>
      <c r="AJC105" s="637"/>
      <c r="AJD105" s="637"/>
      <c r="AJE105" s="637"/>
      <c r="AJF105" s="637"/>
      <c r="AJG105" s="637"/>
      <c r="AJH105" s="637"/>
      <c r="AJI105" s="637"/>
      <c r="AJJ105" s="637"/>
      <c r="AJK105" s="637"/>
      <c r="AJL105" s="637"/>
      <c r="AJM105" s="637"/>
      <c r="AJN105" s="637"/>
      <c r="AJO105" s="637"/>
      <c r="AJP105" s="637"/>
      <c r="AJQ105" s="637"/>
      <c r="AJR105" s="637"/>
      <c r="AJS105" s="637"/>
      <c r="AJT105" s="637"/>
      <c r="AJU105" s="637"/>
      <c r="AJV105" s="637"/>
      <c r="AJW105" s="637"/>
      <c r="AJX105" s="637"/>
      <c r="AJY105" s="637"/>
      <c r="AJZ105" s="637"/>
      <c r="AKA105" s="637"/>
      <c r="AKB105" s="637"/>
      <c r="AKC105" s="637"/>
      <c r="AKD105" s="637"/>
      <c r="AKE105" s="637"/>
      <c r="AKF105" s="637"/>
      <c r="AKG105" s="637"/>
      <c r="AKH105" s="637"/>
      <c r="AKI105" s="637"/>
      <c r="AKJ105" s="637"/>
      <c r="AKK105" s="637"/>
      <c r="AKL105" s="637"/>
      <c r="AKM105" s="637"/>
      <c r="AKN105" s="637"/>
      <c r="AKO105" s="637"/>
      <c r="AKP105" s="637"/>
      <c r="AKQ105" s="637"/>
      <c r="AKR105" s="637"/>
      <c r="AKS105" s="637"/>
      <c r="AKT105" s="637"/>
      <c r="AKU105" s="637"/>
      <c r="AKV105" s="637"/>
      <c r="AKW105" s="637"/>
      <c r="AKX105" s="637"/>
      <c r="AKY105" s="637"/>
      <c r="AKZ105" s="637"/>
      <c r="ALA105" s="637"/>
      <c r="ALB105" s="637"/>
      <c r="ALC105" s="637"/>
      <c r="ALD105" s="637"/>
      <c r="ALE105" s="637"/>
      <c r="ALF105" s="637"/>
      <c r="ALG105" s="637"/>
      <c r="ALH105" s="637"/>
      <c r="ALI105" s="637"/>
      <c r="ALJ105" s="637"/>
      <c r="ALK105" s="637"/>
      <c r="ALL105" s="637"/>
      <c r="ALM105" s="637"/>
      <c r="ALN105" s="637"/>
      <c r="ALO105" s="637"/>
      <c r="ALP105" s="637"/>
      <c r="ALQ105" s="637"/>
      <c r="ALR105" s="637"/>
      <c r="ALS105" s="637"/>
      <c r="ALT105" s="637"/>
      <c r="ALU105" s="637"/>
      <c r="ALV105" s="637"/>
      <c r="ALW105" s="637"/>
      <c r="ALX105" s="637"/>
      <c r="ALY105" s="637"/>
      <c r="ALZ105" s="637"/>
      <c r="AMA105" s="637"/>
      <c r="AMB105" s="637"/>
      <c r="AMC105" s="637"/>
      <c r="AMD105" s="637"/>
      <c r="AME105" s="637"/>
      <c r="AMF105" s="637"/>
      <c r="AMG105" s="637"/>
      <c r="AMH105" s="637"/>
      <c r="AMI105" s="637"/>
      <c r="AMJ105" s="637"/>
    </row>
    <row r="106" spans="1:1024" s="638" customFormat="1" ht="12.75">
      <c r="A106" s="1094" t="s">
        <v>157</v>
      </c>
      <c r="B106" s="1094"/>
      <c r="C106" s="1094"/>
      <c r="D106" s="981"/>
      <c r="E106" s="982"/>
      <c r="F106" s="982"/>
      <c r="G106" s="983"/>
      <c r="H106" s="983"/>
      <c r="I106" s="983"/>
      <c r="J106" s="983"/>
      <c r="K106" s="983"/>
      <c r="L106" s="983"/>
      <c r="M106" s="983"/>
      <c r="N106" s="983"/>
      <c r="O106" s="983"/>
      <c r="P106" s="983"/>
      <c r="Q106" s="983"/>
      <c r="R106" s="984"/>
      <c r="S106" s="637"/>
      <c r="T106" s="637"/>
      <c r="U106" s="637"/>
      <c r="V106" s="637"/>
      <c r="W106" s="637"/>
      <c r="X106" s="637"/>
      <c r="Y106" s="637"/>
      <c r="Z106" s="637"/>
      <c r="AA106" s="637"/>
      <c r="AB106" s="637"/>
      <c r="AC106" s="637"/>
      <c r="AD106" s="637"/>
      <c r="AE106" s="637"/>
      <c r="AF106" s="637"/>
      <c r="AG106" s="637"/>
      <c r="AH106" s="637"/>
      <c r="AI106" s="637"/>
      <c r="AJ106" s="637"/>
      <c r="AK106" s="637"/>
      <c r="AL106" s="637"/>
      <c r="AM106" s="637"/>
      <c r="AN106" s="637"/>
      <c r="AO106" s="637"/>
      <c r="AP106" s="637"/>
      <c r="AQ106" s="637"/>
      <c r="AR106" s="637"/>
      <c r="AS106" s="637"/>
      <c r="AT106" s="637"/>
      <c r="AU106" s="637"/>
      <c r="AV106" s="637"/>
      <c r="AW106" s="637"/>
      <c r="AX106" s="637"/>
      <c r="AY106" s="637"/>
      <c r="AZ106" s="637"/>
      <c r="BA106" s="637"/>
      <c r="BB106" s="637"/>
      <c r="BC106" s="637"/>
      <c r="BD106" s="637"/>
      <c r="BE106" s="637"/>
      <c r="BF106" s="637"/>
      <c r="BG106" s="637"/>
      <c r="BH106" s="637"/>
      <c r="BI106" s="637"/>
      <c r="BJ106" s="637"/>
      <c r="BK106" s="637"/>
      <c r="BL106" s="637"/>
      <c r="BM106" s="637"/>
      <c r="BN106" s="637"/>
      <c r="BO106" s="637"/>
      <c r="BP106" s="637"/>
      <c r="BQ106" s="637"/>
      <c r="BR106" s="637"/>
      <c r="BS106" s="637"/>
      <c r="BT106" s="637"/>
      <c r="BU106" s="637"/>
      <c r="BV106" s="637"/>
      <c r="BW106" s="637"/>
      <c r="BX106" s="637"/>
      <c r="BY106" s="637"/>
      <c r="BZ106" s="637"/>
      <c r="CA106" s="637"/>
      <c r="CB106" s="637"/>
      <c r="CC106" s="637"/>
      <c r="CD106" s="637"/>
      <c r="CE106" s="637"/>
      <c r="CF106" s="637"/>
      <c r="CG106" s="637"/>
      <c r="CH106" s="637"/>
      <c r="CI106" s="637"/>
      <c r="CJ106" s="637"/>
      <c r="CK106" s="637"/>
      <c r="CL106" s="637"/>
      <c r="CM106" s="637"/>
      <c r="CN106" s="637"/>
      <c r="CO106" s="637"/>
      <c r="CP106" s="637"/>
      <c r="CQ106" s="637"/>
      <c r="CR106" s="637"/>
      <c r="CS106" s="637"/>
      <c r="CT106" s="637"/>
      <c r="CU106" s="637"/>
      <c r="CV106" s="637"/>
      <c r="CW106" s="637"/>
      <c r="CX106" s="637"/>
      <c r="CY106" s="637"/>
      <c r="CZ106" s="637"/>
      <c r="DA106" s="637"/>
      <c r="DB106" s="637"/>
      <c r="DC106" s="637"/>
      <c r="DD106" s="637"/>
      <c r="DE106" s="637"/>
      <c r="DF106" s="637"/>
      <c r="DG106" s="637"/>
      <c r="DH106" s="637"/>
      <c r="DI106" s="637"/>
      <c r="DJ106" s="637"/>
      <c r="DK106" s="637"/>
      <c r="DL106" s="637"/>
      <c r="DM106" s="637"/>
      <c r="DN106" s="637"/>
      <c r="DO106" s="637"/>
      <c r="DP106" s="637"/>
      <c r="DQ106" s="637"/>
      <c r="DR106" s="637"/>
      <c r="DS106" s="637"/>
      <c r="DT106" s="637"/>
      <c r="DU106" s="637"/>
      <c r="DV106" s="637"/>
      <c r="DW106" s="637"/>
      <c r="DX106" s="637"/>
      <c r="DY106" s="637"/>
      <c r="DZ106" s="637"/>
      <c r="EA106" s="637"/>
      <c r="EB106" s="637"/>
      <c r="EC106" s="637"/>
      <c r="ED106" s="637"/>
      <c r="EE106" s="637"/>
      <c r="EF106" s="637"/>
      <c r="EG106" s="637"/>
      <c r="EH106" s="637"/>
      <c r="EI106" s="637"/>
      <c r="EJ106" s="637"/>
      <c r="EK106" s="637"/>
      <c r="EL106" s="637"/>
      <c r="EM106" s="637"/>
      <c r="EN106" s="637"/>
      <c r="EO106" s="637"/>
      <c r="EP106" s="637"/>
      <c r="EQ106" s="637"/>
      <c r="ER106" s="637"/>
      <c r="ES106" s="637"/>
      <c r="ET106" s="637"/>
      <c r="EU106" s="637"/>
      <c r="EV106" s="637"/>
      <c r="EW106" s="637"/>
      <c r="EX106" s="637"/>
      <c r="EY106" s="637"/>
      <c r="EZ106" s="637"/>
      <c r="FA106" s="637"/>
      <c r="FB106" s="637"/>
      <c r="FC106" s="637"/>
      <c r="FD106" s="637"/>
      <c r="FE106" s="637"/>
      <c r="FF106" s="637"/>
      <c r="FG106" s="637"/>
      <c r="FH106" s="637"/>
      <c r="FI106" s="637"/>
      <c r="FJ106" s="637"/>
      <c r="FK106" s="637"/>
      <c r="FL106" s="637"/>
      <c r="FM106" s="637"/>
      <c r="FN106" s="637"/>
      <c r="FO106" s="637"/>
      <c r="FP106" s="637"/>
      <c r="FQ106" s="637"/>
      <c r="FR106" s="637"/>
      <c r="FS106" s="637"/>
      <c r="FT106" s="637"/>
      <c r="FU106" s="637"/>
      <c r="FV106" s="637"/>
      <c r="FW106" s="637"/>
      <c r="FX106" s="637"/>
      <c r="FY106" s="637"/>
      <c r="FZ106" s="637"/>
      <c r="GA106" s="637"/>
      <c r="GB106" s="637"/>
      <c r="GC106" s="637"/>
      <c r="GD106" s="637"/>
      <c r="GE106" s="637"/>
      <c r="GF106" s="637"/>
      <c r="GG106" s="637"/>
      <c r="GH106" s="637"/>
      <c r="GI106" s="637"/>
      <c r="GJ106" s="637"/>
      <c r="GK106" s="637"/>
      <c r="GL106" s="637"/>
      <c r="GM106" s="637"/>
      <c r="GN106" s="637"/>
      <c r="GO106" s="637"/>
      <c r="GP106" s="637"/>
      <c r="GQ106" s="637"/>
      <c r="GR106" s="637"/>
      <c r="GS106" s="637"/>
      <c r="GT106" s="637"/>
      <c r="GU106" s="637"/>
      <c r="GV106" s="637"/>
      <c r="GW106" s="637"/>
      <c r="GX106" s="637"/>
      <c r="GY106" s="637"/>
      <c r="GZ106" s="637"/>
      <c r="HA106" s="637"/>
      <c r="HB106" s="637"/>
      <c r="HC106" s="637"/>
      <c r="HD106" s="637"/>
      <c r="HE106" s="637"/>
      <c r="HF106" s="637"/>
      <c r="HG106" s="637"/>
      <c r="HH106" s="637"/>
      <c r="HI106" s="637"/>
      <c r="HJ106" s="637"/>
      <c r="HK106" s="637"/>
      <c r="HL106" s="637"/>
      <c r="HM106" s="637"/>
      <c r="HN106" s="637"/>
      <c r="HO106" s="637"/>
      <c r="HP106" s="637"/>
      <c r="HQ106" s="637"/>
      <c r="HR106" s="637"/>
      <c r="HS106" s="637"/>
      <c r="HT106" s="637"/>
      <c r="HU106" s="637"/>
      <c r="HV106" s="637"/>
      <c r="HW106" s="637"/>
      <c r="HX106" s="637"/>
      <c r="HY106" s="637"/>
      <c r="HZ106" s="637"/>
      <c r="IA106" s="637"/>
      <c r="IB106" s="637"/>
      <c r="IC106" s="637"/>
      <c r="ID106" s="637"/>
      <c r="IE106" s="637"/>
      <c r="IF106" s="637"/>
      <c r="IG106" s="637"/>
      <c r="IH106" s="637"/>
      <c r="II106" s="637"/>
      <c r="IJ106" s="637"/>
      <c r="IK106" s="637"/>
      <c r="IL106" s="637"/>
      <c r="IM106" s="637"/>
      <c r="IN106" s="637"/>
      <c r="IO106" s="637"/>
      <c r="IP106" s="637"/>
      <c r="IQ106" s="637"/>
      <c r="IR106" s="637"/>
      <c r="IS106" s="637"/>
      <c r="IT106" s="637"/>
      <c r="IU106" s="637"/>
      <c r="IV106" s="637"/>
      <c r="IW106" s="637"/>
      <c r="IX106" s="637"/>
      <c r="IY106" s="637"/>
      <c r="IZ106" s="637"/>
      <c r="JA106" s="637"/>
      <c r="JB106" s="637"/>
      <c r="JC106" s="637"/>
      <c r="JD106" s="637"/>
      <c r="JE106" s="637"/>
      <c r="JF106" s="637"/>
      <c r="JG106" s="637"/>
      <c r="JH106" s="637"/>
      <c r="JI106" s="637"/>
      <c r="JJ106" s="637"/>
      <c r="JK106" s="637"/>
      <c r="JL106" s="637"/>
      <c r="JM106" s="637"/>
      <c r="JN106" s="637"/>
      <c r="JO106" s="637"/>
      <c r="JP106" s="637"/>
      <c r="JQ106" s="637"/>
      <c r="JR106" s="637"/>
      <c r="JS106" s="637"/>
      <c r="JT106" s="637"/>
      <c r="JU106" s="637"/>
      <c r="JV106" s="637"/>
      <c r="JW106" s="637"/>
      <c r="JX106" s="637"/>
      <c r="JY106" s="637"/>
      <c r="JZ106" s="637"/>
      <c r="KA106" s="637"/>
      <c r="KB106" s="637"/>
      <c r="KC106" s="637"/>
      <c r="KD106" s="637"/>
      <c r="KE106" s="637"/>
      <c r="KF106" s="637"/>
      <c r="KG106" s="637"/>
      <c r="KH106" s="637"/>
      <c r="KI106" s="637"/>
      <c r="KJ106" s="637"/>
      <c r="KK106" s="637"/>
      <c r="KL106" s="637"/>
      <c r="KM106" s="637"/>
      <c r="KN106" s="637"/>
      <c r="KO106" s="637"/>
      <c r="KP106" s="637"/>
      <c r="KQ106" s="637"/>
      <c r="KR106" s="637"/>
      <c r="KS106" s="637"/>
      <c r="KT106" s="637"/>
      <c r="KU106" s="637"/>
      <c r="KV106" s="637"/>
      <c r="KW106" s="637"/>
      <c r="KX106" s="637"/>
      <c r="KY106" s="637"/>
      <c r="KZ106" s="637"/>
      <c r="LA106" s="637"/>
      <c r="LB106" s="637"/>
      <c r="LC106" s="637"/>
      <c r="LD106" s="637"/>
      <c r="LE106" s="637"/>
      <c r="LF106" s="637"/>
      <c r="LG106" s="637"/>
      <c r="LH106" s="637"/>
      <c r="LI106" s="637"/>
      <c r="LJ106" s="637"/>
      <c r="LK106" s="637"/>
      <c r="LL106" s="637"/>
      <c r="LM106" s="637"/>
      <c r="LN106" s="637"/>
      <c r="LO106" s="637"/>
      <c r="LP106" s="637"/>
      <c r="LQ106" s="637"/>
      <c r="LR106" s="637"/>
      <c r="LS106" s="637"/>
      <c r="LT106" s="637"/>
      <c r="LU106" s="637"/>
      <c r="LV106" s="637"/>
      <c r="LW106" s="637"/>
      <c r="LX106" s="637"/>
      <c r="LY106" s="637"/>
      <c r="LZ106" s="637"/>
      <c r="MA106" s="637"/>
      <c r="MB106" s="637"/>
      <c r="MC106" s="637"/>
      <c r="MD106" s="637"/>
      <c r="ME106" s="637"/>
      <c r="MF106" s="637"/>
      <c r="MG106" s="637"/>
      <c r="MH106" s="637"/>
      <c r="MI106" s="637"/>
      <c r="MJ106" s="637"/>
      <c r="MK106" s="637"/>
      <c r="ML106" s="637"/>
      <c r="MM106" s="637"/>
      <c r="MN106" s="637"/>
      <c r="MO106" s="637"/>
      <c r="MP106" s="637"/>
      <c r="MQ106" s="637"/>
      <c r="MR106" s="637"/>
      <c r="MS106" s="637"/>
      <c r="MT106" s="637"/>
      <c r="MU106" s="637"/>
      <c r="MV106" s="637"/>
      <c r="MW106" s="637"/>
      <c r="MX106" s="637"/>
      <c r="MY106" s="637"/>
      <c r="MZ106" s="637"/>
      <c r="NA106" s="637"/>
      <c r="NB106" s="637"/>
      <c r="NC106" s="637"/>
      <c r="ND106" s="637"/>
      <c r="NE106" s="637"/>
      <c r="NF106" s="637"/>
      <c r="NG106" s="637"/>
      <c r="NH106" s="637"/>
      <c r="NI106" s="637"/>
      <c r="NJ106" s="637"/>
      <c r="NK106" s="637"/>
      <c r="NL106" s="637"/>
      <c r="NM106" s="637"/>
      <c r="NN106" s="637"/>
      <c r="NO106" s="637"/>
      <c r="NP106" s="637"/>
      <c r="NQ106" s="637"/>
      <c r="NR106" s="637"/>
      <c r="NS106" s="637"/>
      <c r="NT106" s="637"/>
      <c r="NU106" s="637"/>
      <c r="NV106" s="637"/>
      <c r="NW106" s="637"/>
      <c r="NX106" s="637"/>
      <c r="NY106" s="637"/>
      <c r="NZ106" s="637"/>
      <c r="OA106" s="637"/>
      <c r="OB106" s="637"/>
      <c r="OC106" s="637"/>
      <c r="OD106" s="637"/>
      <c r="OE106" s="637"/>
      <c r="OF106" s="637"/>
      <c r="OG106" s="637"/>
      <c r="OH106" s="637"/>
      <c r="OI106" s="637"/>
      <c r="OJ106" s="637"/>
      <c r="OK106" s="637"/>
      <c r="OL106" s="637"/>
      <c r="OM106" s="637"/>
      <c r="ON106" s="637"/>
      <c r="OO106" s="637"/>
      <c r="OP106" s="637"/>
      <c r="OQ106" s="637"/>
      <c r="OR106" s="637"/>
      <c r="OS106" s="637"/>
      <c r="OT106" s="637"/>
      <c r="OU106" s="637"/>
      <c r="OV106" s="637"/>
      <c r="OW106" s="637"/>
      <c r="OX106" s="637"/>
      <c r="OY106" s="637"/>
      <c r="OZ106" s="637"/>
      <c r="PA106" s="637"/>
      <c r="PB106" s="637"/>
      <c r="PC106" s="637"/>
      <c r="PD106" s="637"/>
      <c r="PE106" s="637"/>
      <c r="PF106" s="637"/>
      <c r="PG106" s="637"/>
      <c r="PH106" s="637"/>
      <c r="PI106" s="637"/>
      <c r="PJ106" s="637"/>
      <c r="PK106" s="637"/>
      <c r="PL106" s="637"/>
      <c r="PM106" s="637"/>
      <c r="PN106" s="637"/>
      <c r="PO106" s="637"/>
      <c r="PP106" s="637"/>
      <c r="PQ106" s="637"/>
      <c r="PR106" s="637"/>
      <c r="PS106" s="637"/>
      <c r="PT106" s="637"/>
      <c r="PU106" s="637"/>
      <c r="PV106" s="637"/>
      <c r="PW106" s="637"/>
      <c r="PX106" s="637"/>
      <c r="PY106" s="637"/>
      <c r="PZ106" s="637"/>
      <c r="QA106" s="637"/>
      <c r="QB106" s="637"/>
      <c r="QC106" s="637"/>
      <c r="QD106" s="637"/>
      <c r="QE106" s="637"/>
      <c r="QF106" s="637"/>
      <c r="QG106" s="637"/>
      <c r="QH106" s="637"/>
      <c r="QI106" s="637"/>
      <c r="QJ106" s="637"/>
      <c r="QK106" s="637"/>
      <c r="QL106" s="637"/>
      <c r="QM106" s="637"/>
      <c r="QN106" s="637"/>
      <c r="QO106" s="637"/>
      <c r="QP106" s="637"/>
      <c r="QQ106" s="637"/>
      <c r="QR106" s="637"/>
      <c r="QS106" s="637"/>
      <c r="QT106" s="637"/>
      <c r="QU106" s="637"/>
      <c r="QV106" s="637"/>
      <c r="QW106" s="637"/>
      <c r="QX106" s="637"/>
      <c r="QY106" s="637"/>
      <c r="QZ106" s="637"/>
      <c r="RA106" s="637"/>
      <c r="RB106" s="637"/>
      <c r="RC106" s="637"/>
      <c r="RD106" s="637"/>
      <c r="RE106" s="637"/>
      <c r="RF106" s="637"/>
      <c r="RG106" s="637"/>
      <c r="RH106" s="637"/>
      <c r="RI106" s="637"/>
      <c r="RJ106" s="637"/>
      <c r="RK106" s="637"/>
      <c r="RL106" s="637"/>
      <c r="RM106" s="637"/>
      <c r="RN106" s="637"/>
      <c r="RO106" s="637"/>
      <c r="RP106" s="637"/>
      <c r="RQ106" s="637"/>
      <c r="RR106" s="637"/>
      <c r="RS106" s="637"/>
      <c r="RT106" s="637"/>
      <c r="RU106" s="637"/>
      <c r="RV106" s="637"/>
      <c r="RW106" s="637"/>
      <c r="RX106" s="637"/>
      <c r="RY106" s="637"/>
      <c r="RZ106" s="637"/>
      <c r="SA106" s="637"/>
      <c r="SB106" s="637"/>
      <c r="SC106" s="637"/>
      <c r="SD106" s="637"/>
      <c r="SE106" s="637"/>
      <c r="SF106" s="637"/>
      <c r="SG106" s="637"/>
      <c r="SH106" s="637"/>
      <c r="SI106" s="637"/>
      <c r="SJ106" s="637"/>
      <c r="SK106" s="637"/>
      <c r="SL106" s="637"/>
      <c r="SM106" s="637"/>
      <c r="SN106" s="637"/>
      <c r="SO106" s="637"/>
      <c r="SP106" s="637"/>
      <c r="SQ106" s="637"/>
      <c r="SR106" s="637"/>
      <c r="SS106" s="637"/>
      <c r="ST106" s="637"/>
      <c r="SU106" s="637"/>
      <c r="SV106" s="637"/>
      <c r="SW106" s="637"/>
      <c r="SX106" s="637"/>
      <c r="SY106" s="637"/>
      <c r="SZ106" s="637"/>
      <c r="TA106" s="637"/>
      <c r="TB106" s="637"/>
      <c r="TC106" s="637"/>
      <c r="TD106" s="637"/>
      <c r="TE106" s="637"/>
      <c r="TF106" s="637"/>
      <c r="TG106" s="637"/>
      <c r="TH106" s="637"/>
      <c r="TI106" s="637"/>
      <c r="TJ106" s="637"/>
      <c r="TK106" s="637"/>
      <c r="TL106" s="637"/>
      <c r="TM106" s="637"/>
      <c r="TN106" s="637"/>
      <c r="TO106" s="637"/>
      <c r="TP106" s="637"/>
      <c r="TQ106" s="637"/>
      <c r="TR106" s="637"/>
      <c r="TS106" s="637"/>
      <c r="TT106" s="637"/>
      <c r="TU106" s="637"/>
      <c r="TV106" s="637"/>
      <c r="TW106" s="637"/>
      <c r="TX106" s="637"/>
      <c r="TY106" s="637"/>
      <c r="TZ106" s="637"/>
      <c r="UA106" s="637"/>
      <c r="UB106" s="637"/>
      <c r="UC106" s="637"/>
      <c r="UD106" s="637"/>
      <c r="UE106" s="637"/>
      <c r="UF106" s="637"/>
      <c r="UG106" s="637"/>
      <c r="UH106" s="637"/>
      <c r="UI106" s="637"/>
      <c r="UJ106" s="637"/>
      <c r="UK106" s="637"/>
      <c r="UL106" s="637"/>
      <c r="UM106" s="637"/>
      <c r="UN106" s="637"/>
      <c r="UO106" s="637"/>
      <c r="UP106" s="637"/>
      <c r="UQ106" s="637"/>
      <c r="UR106" s="637"/>
      <c r="US106" s="637"/>
      <c r="UT106" s="637"/>
      <c r="UU106" s="637"/>
      <c r="UV106" s="637"/>
      <c r="UW106" s="637"/>
      <c r="UX106" s="637"/>
      <c r="UY106" s="637"/>
      <c r="UZ106" s="637"/>
      <c r="VA106" s="637"/>
      <c r="VB106" s="637"/>
      <c r="VC106" s="637"/>
      <c r="VD106" s="637"/>
      <c r="VE106" s="637"/>
      <c r="VF106" s="637"/>
      <c r="VG106" s="637"/>
      <c r="VH106" s="637"/>
      <c r="VI106" s="637"/>
      <c r="VJ106" s="637"/>
      <c r="VK106" s="637"/>
      <c r="VL106" s="637"/>
      <c r="VM106" s="637"/>
      <c r="VN106" s="637"/>
      <c r="VO106" s="637"/>
      <c r="VP106" s="637"/>
      <c r="VQ106" s="637"/>
      <c r="VR106" s="637"/>
      <c r="VS106" s="637"/>
      <c r="VT106" s="637"/>
      <c r="VU106" s="637"/>
      <c r="VV106" s="637"/>
      <c r="VW106" s="637"/>
      <c r="VX106" s="637"/>
      <c r="VY106" s="637"/>
      <c r="VZ106" s="637"/>
      <c r="WA106" s="637"/>
      <c r="WB106" s="637"/>
      <c r="WC106" s="637"/>
      <c r="WD106" s="637"/>
      <c r="WE106" s="637"/>
      <c r="WF106" s="637"/>
      <c r="WG106" s="637"/>
      <c r="WH106" s="637"/>
      <c r="WI106" s="637"/>
      <c r="WJ106" s="637"/>
      <c r="WK106" s="637"/>
      <c r="WL106" s="637"/>
      <c r="WM106" s="637"/>
      <c r="WN106" s="637"/>
      <c r="WO106" s="637"/>
      <c r="WP106" s="637"/>
      <c r="WQ106" s="637"/>
      <c r="WR106" s="637"/>
      <c r="WS106" s="637"/>
      <c r="WT106" s="637"/>
      <c r="WU106" s="637"/>
      <c r="WV106" s="637"/>
      <c r="WW106" s="637"/>
      <c r="WX106" s="637"/>
      <c r="WY106" s="637"/>
      <c r="WZ106" s="637"/>
      <c r="XA106" s="637"/>
      <c r="XB106" s="637"/>
      <c r="XC106" s="637"/>
      <c r="XD106" s="637"/>
      <c r="XE106" s="637"/>
      <c r="XF106" s="637"/>
      <c r="XG106" s="637"/>
      <c r="XH106" s="637"/>
      <c r="XI106" s="637"/>
      <c r="XJ106" s="637"/>
      <c r="XK106" s="637"/>
      <c r="XL106" s="637"/>
      <c r="XM106" s="637"/>
      <c r="XN106" s="637"/>
      <c r="XO106" s="637"/>
      <c r="XP106" s="637"/>
      <c r="XQ106" s="637"/>
      <c r="XR106" s="637"/>
      <c r="XS106" s="637"/>
      <c r="XT106" s="637"/>
      <c r="XU106" s="637"/>
      <c r="XV106" s="637"/>
      <c r="XW106" s="637"/>
      <c r="XX106" s="637"/>
      <c r="XY106" s="637"/>
      <c r="XZ106" s="637"/>
      <c r="YA106" s="637"/>
      <c r="YB106" s="637"/>
      <c r="YC106" s="637"/>
      <c r="YD106" s="637"/>
      <c r="YE106" s="637"/>
      <c r="YF106" s="637"/>
      <c r="YG106" s="637"/>
      <c r="YH106" s="637"/>
      <c r="YI106" s="637"/>
      <c r="YJ106" s="637"/>
      <c r="YK106" s="637"/>
      <c r="YL106" s="637"/>
      <c r="YM106" s="637"/>
      <c r="YN106" s="637"/>
      <c r="YO106" s="637"/>
      <c r="YP106" s="637"/>
      <c r="YQ106" s="637"/>
      <c r="YR106" s="637"/>
      <c r="YS106" s="637"/>
      <c r="YT106" s="637"/>
      <c r="YU106" s="637"/>
      <c r="YV106" s="637"/>
      <c r="YW106" s="637"/>
      <c r="YX106" s="637"/>
      <c r="YY106" s="637"/>
      <c r="YZ106" s="637"/>
      <c r="ZA106" s="637"/>
      <c r="ZB106" s="637"/>
      <c r="ZC106" s="637"/>
      <c r="ZD106" s="637"/>
      <c r="ZE106" s="637"/>
      <c r="ZF106" s="637"/>
      <c r="ZG106" s="637"/>
      <c r="ZH106" s="637"/>
      <c r="ZI106" s="637"/>
      <c r="ZJ106" s="637"/>
      <c r="ZK106" s="637"/>
      <c r="ZL106" s="637"/>
      <c r="ZM106" s="637"/>
      <c r="ZN106" s="637"/>
      <c r="ZO106" s="637"/>
      <c r="ZP106" s="637"/>
      <c r="ZQ106" s="637"/>
      <c r="ZR106" s="637"/>
      <c r="ZS106" s="637"/>
      <c r="ZT106" s="637"/>
      <c r="ZU106" s="637"/>
      <c r="ZV106" s="637"/>
      <c r="ZW106" s="637"/>
      <c r="ZX106" s="637"/>
      <c r="ZY106" s="637"/>
      <c r="ZZ106" s="637"/>
      <c r="AAA106" s="637"/>
      <c r="AAB106" s="637"/>
      <c r="AAC106" s="637"/>
      <c r="AAD106" s="637"/>
      <c r="AAE106" s="637"/>
      <c r="AAF106" s="637"/>
      <c r="AAG106" s="637"/>
      <c r="AAH106" s="637"/>
      <c r="AAI106" s="637"/>
      <c r="AAJ106" s="637"/>
      <c r="AAK106" s="637"/>
      <c r="AAL106" s="637"/>
      <c r="AAM106" s="637"/>
      <c r="AAN106" s="637"/>
      <c r="AAO106" s="637"/>
      <c r="AAP106" s="637"/>
      <c r="AAQ106" s="637"/>
      <c r="AAR106" s="637"/>
      <c r="AAS106" s="637"/>
      <c r="AAT106" s="637"/>
      <c r="AAU106" s="637"/>
      <c r="AAV106" s="637"/>
      <c r="AAW106" s="637"/>
      <c r="AAX106" s="637"/>
      <c r="AAY106" s="637"/>
      <c r="AAZ106" s="637"/>
      <c r="ABA106" s="637"/>
      <c r="ABB106" s="637"/>
      <c r="ABC106" s="637"/>
      <c r="ABD106" s="637"/>
      <c r="ABE106" s="637"/>
      <c r="ABF106" s="637"/>
      <c r="ABG106" s="637"/>
      <c r="ABH106" s="637"/>
      <c r="ABI106" s="637"/>
      <c r="ABJ106" s="637"/>
      <c r="ABK106" s="637"/>
      <c r="ABL106" s="637"/>
      <c r="ABM106" s="637"/>
      <c r="ABN106" s="637"/>
      <c r="ABO106" s="637"/>
      <c r="ABP106" s="637"/>
      <c r="ABQ106" s="637"/>
      <c r="ABR106" s="637"/>
      <c r="ABS106" s="637"/>
      <c r="ABT106" s="637"/>
      <c r="ABU106" s="637"/>
      <c r="ABV106" s="637"/>
      <c r="ABW106" s="637"/>
      <c r="ABX106" s="637"/>
      <c r="ABY106" s="637"/>
      <c r="ABZ106" s="637"/>
      <c r="ACA106" s="637"/>
      <c r="ACB106" s="637"/>
      <c r="ACC106" s="637"/>
      <c r="ACD106" s="637"/>
      <c r="ACE106" s="637"/>
      <c r="ACF106" s="637"/>
      <c r="ACG106" s="637"/>
      <c r="ACH106" s="637"/>
      <c r="ACI106" s="637"/>
      <c r="ACJ106" s="637"/>
      <c r="ACK106" s="637"/>
      <c r="ACL106" s="637"/>
      <c r="ACM106" s="637"/>
      <c r="ACN106" s="637"/>
      <c r="ACO106" s="637"/>
      <c r="ACP106" s="637"/>
      <c r="ACQ106" s="637"/>
      <c r="ACR106" s="637"/>
      <c r="ACS106" s="637"/>
      <c r="ACT106" s="637"/>
      <c r="ACU106" s="637"/>
      <c r="ACV106" s="637"/>
      <c r="ACW106" s="637"/>
      <c r="ACX106" s="637"/>
      <c r="ACY106" s="637"/>
      <c r="ACZ106" s="637"/>
      <c r="ADA106" s="637"/>
      <c r="ADB106" s="637"/>
      <c r="ADC106" s="637"/>
      <c r="ADD106" s="637"/>
      <c r="ADE106" s="637"/>
      <c r="ADF106" s="637"/>
      <c r="ADG106" s="637"/>
      <c r="ADH106" s="637"/>
      <c r="ADI106" s="637"/>
      <c r="ADJ106" s="637"/>
      <c r="ADK106" s="637"/>
      <c r="ADL106" s="637"/>
      <c r="ADM106" s="637"/>
      <c r="ADN106" s="637"/>
      <c r="ADO106" s="637"/>
      <c r="ADP106" s="637"/>
      <c r="ADQ106" s="637"/>
      <c r="ADR106" s="637"/>
      <c r="ADS106" s="637"/>
      <c r="ADT106" s="637"/>
      <c r="ADU106" s="637"/>
      <c r="ADV106" s="637"/>
      <c r="ADW106" s="637"/>
      <c r="ADX106" s="637"/>
      <c r="ADY106" s="637"/>
      <c r="ADZ106" s="637"/>
      <c r="AEA106" s="637"/>
      <c r="AEB106" s="637"/>
      <c r="AEC106" s="637"/>
      <c r="AED106" s="637"/>
      <c r="AEE106" s="637"/>
      <c r="AEF106" s="637"/>
      <c r="AEG106" s="637"/>
      <c r="AEH106" s="637"/>
      <c r="AEI106" s="637"/>
      <c r="AEJ106" s="637"/>
      <c r="AEK106" s="637"/>
      <c r="AEL106" s="637"/>
      <c r="AEM106" s="637"/>
      <c r="AEN106" s="637"/>
      <c r="AEO106" s="637"/>
      <c r="AEP106" s="637"/>
      <c r="AEQ106" s="637"/>
      <c r="AER106" s="637"/>
      <c r="AES106" s="637"/>
      <c r="AET106" s="637"/>
      <c r="AEU106" s="637"/>
      <c r="AEV106" s="637"/>
      <c r="AEW106" s="637"/>
      <c r="AEX106" s="637"/>
      <c r="AEY106" s="637"/>
      <c r="AEZ106" s="637"/>
      <c r="AFA106" s="637"/>
      <c r="AFB106" s="637"/>
      <c r="AFC106" s="637"/>
      <c r="AFD106" s="637"/>
      <c r="AFE106" s="637"/>
      <c r="AFF106" s="637"/>
      <c r="AFG106" s="637"/>
      <c r="AFH106" s="637"/>
      <c r="AFI106" s="637"/>
      <c r="AFJ106" s="637"/>
      <c r="AFK106" s="637"/>
      <c r="AFL106" s="637"/>
      <c r="AFM106" s="637"/>
      <c r="AFN106" s="637"/>
      <c r="AFO106" s="637"/>
      <c r="AFP106" s="637"/>
      <c r="AFQ106" s="637"/>
      <c r="AFR106" s="637"/>
      <c r="AFS106" s="637"/>
      <c r="AFT106" s="637"/>
      <c r="AFU106" s="637"/>
      <c r="AFV106" s="637"/>
      <c r="AFW106" s="637"/>
      <c r="AFX106" s="637"/>
      <c r="AFY106" s="637"/>
      <c r="AFZ106" s="637"/>
      <c r="AGA106" s="637"/>
      <c r="AGB106" s="637"/>
      <c r="AGC106" s="637"/>
      <c r="AGD106" s="637"/>
      <c r="AGE106" s="637"/>
      <c r="AGF106" s="637"/>
      <c r="AGG106" s="637"/>
      <c r="AGH106" s="637"/>
      <c r="AGI106" s="637"/>
      <c r="AGJ106" s="637"/>
      <c r="AGK106" s="637"/>
      <c r="AGL106" s="637"/>
      <c r="AGM106" s="637"/>
      <c r="AGN106" s="637"/>
      <c r="AGO106" s="637"/>
      <c r="AGP106" s="637"/>
      <c r="AGQ106" s="637"/>
      <c r="AGR106" s="637"/>
      <c r="AGS106" s="637"/>
      <c r="AGT106" s="637"/>
      <c r="AGU106" s="637"/>
      <c r="AGV106" s="637"/>
      <c r="AGW106" s="637"/>
      <c r="AGX106" s="637"/>
      <c r="AGY106" s="637"/>
      <c r="AGZ106" s="637"/>
      <c r="AHA106" s="637"/>
      <c r="AHB106" s="637"/>
      <c r="AHC106" s="637"/>
      <c r="AHD106" s="637"/>
      <c r="AHE106" s="637"/>
      <c r="AHF106" s="637"/>
      <c r="AHG106" s="637"/>
      <c r="AHH106" s="637"/>
      <c r="AHI106" s="637"/>
      <c r="AHJ106" s="637"/>
      <c r="AHK106" s="637"/>
      <c r="AHL106" s="637"/>
      <c r="AHM106" s="637"/>
      <c r="AHN106" s="637"/>
      <c r="AHO106" s="637"/>
      <c r="AHP106" s="637"/>
      <c r="AHQ106" s="637"/>
      <c r="AHR106" s="637"/>
      <c r="AHS106" s="637"/>
      <c r="AHT106" s="637"/>
      <c r="AHU106" s="637"/>
      <c r="AHV106" s="637"/>
      <c r="AHW106" s="637"/>
      <c r="AHX106" s="637"/>
      <c r="AHY106" s="637"/>
      <c r="AHZ106" s="637"/>
      <c r="AIA106" s="637"/>
      <c r="AIB106" s="637"/>
      <c r="AIC106" s="637"/>
      <c r="AID106" s="637"/>
      <c r="AIE106" s="637"/>
      <c r="AIF106" s="637"/>
      <c r="AIG106" s="637"/>
      <c r="AIH106" s="637"/>
      <c r="AII106" s="637"/>
      <c r="AIJ106" s="637"/>
      <c r="AIK106" s="637"/>
      <c r="AIL106" s="637"/>
      <c r="AIM106" s="637"/>
      <c r="AIN106" s="637"/>
      <c r="AIO106" s="637"/>
      <c r="AIP106" s="637"/>
      <c r="AIQ106" s="637"/>
      <c r="AIR106" s="637"/>
      <c r="AIS106" s="637"/>
      <c r="AIT106" s="637"/>
      <c r="AIU106" s="637"/>
      <c r="AIV106" s="637"/>
      <c r="AIW106" s="637"/>
      <c r="AIX106" s="637"/>
      <c r="AIY106" s="637"/>
      <c r="AIZ106" s="637"/>
      <c r="AJA106" s="637"/>
      <c r="AJB106" s="637"/>
      <c r="AJC106" s="637"/>
      <c r="AJD106" s="637"/>
      <c r="AJE106" s="637"/>
      <c r="AJF106" s="637"/>
      <c r="AJG106" s="637"/>
      <c r="AJH106" s="637"/>
      <c r="AJI106" s="637"/>
      <c r="AJJ106" s="637"/>
      <c r="AJK106" s="637"/>
      <c r="AJL106" s="637"/>
      <c r="AJM106" s="637"/>
      <c r="AJN106" s="637"/>
      <c r="AJO106" s="637"/>
      <c r="AJP106" s="637"/>
      <c r="AJQ106" s="637"/>
      <c r="AJR106" s="637"/>
      <c r="AJS106" s="637"/>
      <c r="AJT106" s="637"/>
      <c r="AJU106" s="637"/>
      <c r="AJV106" s="637"/>
      <c r="AJW106" s="637"/>
      <c r="AJX106" s="637"/>
      <c r="AJY106" s="637"/>
      <c r="AJZ106" s="637"/>
      <c r="AKA106" s="637"/>
      <c r="AKB106" s="637"/>
      <c r="AKC106" s="637"/>
      <c r="AKD106" s="637"/>
      <c r="AKE106" s="637"/>
      <c r="AKF106" s="637"/>
      <c r="AKG106" s="637"/>
      <c r="AKH106" s="637"/>
      <c r="AKI106" s="637"/>
      <c r="AKJ106" s="637"/>
      <c r="AKK106" s="637"/>
      <c r="AKL106" s="637"/>
      <c r="AKM106" s="637"/>
      <c r="AKN106" s="637"/>
      <c r="AKO106" s="637"/>
      <c r="AKP106" s="637"/>
      <c r="AKQ106" s="637"/>
      <c r="AKR106" s="637"/>
      <c r="AKS106" s="637"/>
      <c r="AKT106" s="637"/>
      <c r="AKU106" s="637"/>
      <c r="AKV106" s="637"/>
      <c r="AKW106" s="637"/>
      <c r="AKX106" s="637"/>
      <c r="AKY106" s="637"/>
      <c r="AKZ106" s="637"/>
      <c r="ALA106" s="637"/>
      <c r="ALB106" s="637"/>
      <c r="ALC106" s="637"/>
      <c r="ALD106" s="637"/>
      <c r="ALE106" s="637"/>
      <c r="ALF106" s="637"/>
      <c r="ALG106" s="637"/>
      <c r="ALH106" s="637"/>
      <c r="ALI106" s="637"/>
      <c r="ALJ106" s="637"/>
      <c r="ALK106" s="637"/>
      <c r="ALL106" s="637"/>
      <c r="ALM106" s="637"/>
      <c r="ALN106" s="637"/>
      <c r="ALO106" s="637"/>
      <c r="ALP106" s="637"/>
      <c r="ALQ106" s="637"/>
      <c r="ALR106" s="637"/>
      <c r="ALS106" s="637"/>
      <c r="ALT106" s="637"/>
      <c r="ALU106" s="637"/>
      <c r="ALV106" s="637"/>
      <c r="ALW106" s="637"/>
      <c r="ALX106" s="637"/>
      <c r="ALY106" s="637"/>
      <c r="ALZ106" s="637"/>
      <c r="AMA106" s="637"/>
      <c r="AMB106" s="637"/>
      <c r="AMC106" s="637"/>
      <c r="AMD106" s="637"/>
      <c r="AME106" s="637"/>
      <c r="AMF106" s="637"/>
      <c r="AMG106" s="637"/>
      <c r="AMH106" s="637"/>
      <c r="AMI106" s="637"/>
      <c r="AMJ106" s="637"/>
    </row>
    <row r="107" spans="1:1024" s="638" customFormat="1" ht="46.5">
      <c r="A107" s="984" t="s">
        <v>120</v>
      </c>
      <c r="B107" s="985" t="s">
        <v>131</v>
      </c>
      <c r="C107" s="986" t="s">
        <v>132</v>
      </c>
      <c r="D107" s="981" t="s">
        <v>4</v>
      </c>
      <c r="E107" s="982">
        <v>4372</v>
      </c>
      <c r="F107" s="982">
        <f aca="true" t="shared" si="13" ref="F107:F116">G107+H107+I107+J107+K107+L107+M107+N107+O107+P107+Q107+R107</f>
        <v>11066</v>
      </c>
      <c r="G107" s="987">
        <v>7403</v>
      </c>
      <c r="H107" s="987">
        <v>1810</v>
      </c>
      <c r="I107" s="987">
        <v>1726</v>
      </c>
      <c r="J107" s="987"/>
      <c r="K107" s="987"/>
      <c r="L107" s="987"/>
      <c r="M107" s="987"/>
      <c r="N107" s="987">
        <v>127</v>
      </c>
      <c r="O107" s="1013"/>
      <c r="P107" s="987"/>
      <c r="Q107" s="987"/>
      <c r="R107" s="984"/>
      <c r="S107" s="637"/>
      <c r="T107" s="637"/>
      <c r="U107" s="637"/>
      <c r="V107" s="637"/>
      <c r="W107" s="637"/>
      <c r="X107" s="637"/>
      <c r="Y107" s="637"/>
      <c r="Z107" s="637"/>
      <c r="AA107" s="637"/>
      <c r="AB107" s="637"/>
      <c r="AC107" s="637"/>
      <c r="AD107" s="637"/>
      <c r="AE107" s="637"/>
      <c r="AF107" s="637"/>
      <c r="AG107" s="637"/>
      <c r="AH107" s="637"/>
      <c r="AI107" s="637"/>
      <c r="AJ107" s="637"/>
      <c r="AK107" s="637"/>
      <c r="AL107" s="637"/>
      <c r="AM107" s="637"/>
      <c r="AN107" s="637"/>
      <c r="AO107" s="637"/>
      <c r="AP107" s="637"/>
      <c r="AQ107" s="637"/>
      <c r="AR107" s="637"/>
      <c r="AS107" s="637"/>
      <c r="AT107" s="637"/>
      <c r="AU107" s="637"/>
      <c r="AV107" s="637"/>
      <c r="AW107" s="637"/>
      <c r="AX107" s="637"/>
      <c r="AY107" s="637"/>
      <c r="AZ107" s="637"/>
      <c r="BA107" s="637"/>
      <c r="BB107" s="637"/>
      <c r="BC107" s="637"/>
      <c r="BD107" s="637"/>
      <c r="BE107" s="637"/>
      <c r="BF107" s="637"/>
      <c r="BG107" s="637"/>
      <c r="BH107" s="637"/>
      <c r="BI107" s="637"/>
      <c r="BJ107" s="637"/>
      <c r="BK107" s="637"/>
      <c r="BL107" s="637"/>
      <c r="BM107" s="637"/>
      <c r="BN107" s="637"/>
      <c r="BO107" s="637"/>
      <c r="BP107" s="637"/>
      <c r="BQ107" s="637"/>
      <c r="BR107" s="637"/>
      <c r="BS107" s="637"/>
      <c r="BT107" s="637"/>
      <c r="BU107" s="637"/>
      <c r="BV107" s="637"/>
      <c r="BW107" s="637"/>
      <c r="BX107" s="637"/>
      <c r="BY107" s="637"/>
      <c r="BZ107" s="637"/>
      <c r="CA107" s="637"/>
      <c r="CB107" s="637"/>
      <c r="CC107" s="637"/>
      <c r="CD107" s="637"/>
      <c r="CE107" s="637"/>
      <c r="CF107" s="637"/>
      <c r="CG107" s="637"/>
      <c r="CH107" s="637"/>
      <c r="CI107" s="637"/>
      <c r="CJ107" s="637"/>
      <c r="CK107" s="637"/>
      <c r="CL107" s="637"/>
      <c r="CM107" s="637"/>
      <c r="CN107" s="637"/>
      <c r="CO107" s="637"/>
      <c r="CP107" s="637"/>
      <c r="CQ107" s="637"/>
      <c r="CR107" s="637"/>
      <c r="CS107" s="637"/>
      <c r="CT107" s="637"/>
      <c r="CU107" s="637"/>
      <c r="CV107" s="637"/>
      <c r="CW107" s="637"/>
      <c r="CX107" s="637"/>
      <c r="CY107" s="637"/>
      <c r="CZ107" s="637"/>
      <c r="DA107" s="637"/>
      <c r="DB107" s="637"/>
      <c r="DC107" s="637"/>
      <c r="DD107" s="637"/>
      <c r="DE107" s="637"/>
      <c r="DF107" s="637"/>
      <c r="DG107" s="637"/>
      <c r="DH107" s="637"/>
      <c r="DI107" s="637"/>
      <c r="DJ107" s="637"/>
      <c r="DK107" s="637"/>
      <c r="DL107" s="637"/>
      <c r="DM107" s="637"/>
      <c r="DN107" s="637"/>
      <c r="DO107" s="637"/>
      <c r="DP107" s="637"/>
      <c r="DQ107" s="637"/>
      <c r="DR107" s="637"/>
      <c r="DS107" s="637"/>
      <c r="DT107" s="637"/>
      <c r="DU107" s="637"/>
      <c r="DV107" s="637"/>
      <c r="DW107" s="637"/>
      <c r="DX107" s="637"/>
      <c r="DY107" s="637"/>
      <c r="DZ107" s="637"/>
      <c r="EA107" s="637"/>
      <c r="EB107" s="637"/>
      <c r="EC107" s="637"/>
      <c r="ED107" s="637"/>
      <c r="EE107" s="637"/>
      <c r="EF107" s="637"/>
      <c r="EG107" s="637"/>
      <c r="EH107" s="637"/>
      <c r="EI107" s="637"/>
      <c r="EJ107" s="637"/>
      <c r="EK107" s="637"/>
      <c r="EL107" s="637"/>
      <c r="EM107" s="637"/>
      <c r="EN107" s="637"/>
      <c r="EO107" s="637"/>
      <c r="EP107" s="637"/>
      <c r="EQ107" s="637"/>
      <c r="ER107" s="637"/>
      <c r="ES107" s="637"/>
      <c r="ET107" s="637"/>
      <c r="EU107" s="637"/>
      <c r="EV107" s="637"/>
      <c r="EW107" s="637"/>
      <c r="EX107" s="637"/>
      <c r="EY107" s="637"/>
      <c r="EZ107" s="637"/>
      <c r="FA107" s="637"/>
      <c r="FB107" s="637"/>
      <c r="FC107" s="637"/>
      <c r="FD107" s="637"/>
      <c r="FE107" s="637"/>
      <c r="FF107" s="637"/>
      <c r="FG107" s="637"/>
      <c r="FH107" s="637"/>
      <c r="FI107" s="637"/>
      <c r="FJ107" s="637"/>
      <c r="FK107" s="637"/>
      <c r="FL107" s="637"/>
      <c r="FM107" s="637"/>
      <c r="FN107" s="637"/>
      <c r="FO107" s="637"/>
      <c r="FP107" s="637"/>
      <c r="FQ107" s="637"/>
      <c r="FR107" s="637"/>
      <c r="FS107" s="637"/>
      <c r="FT107" s="637"/>
      <c r="FU107" s="637"/>
      <c r="FV107" s="637"/>
      <c r="FW107" s="637"/>
      <c r="FX107" s="637"/>
      <c r="FY107" s="637"/>
      <c r="FZ107" s="637"/>
      <c r="GA107" s="637"/>
      <c r="GB107" s="637"/>
      <c r="GC107" s="637"/>
      <c r="GD107" s="637"/>
      <c r="GE107" s="637"/>
      <c r="GF107" s="637"/>
      <c r="GG107" s="637"/>
      <c r="GH107" s="637"/>
      <c r="GI107" s="637"/>
      <c r="GJ107" s="637"/>
      <c r="GK107" s="637"/>
      <c r="GL107" s="637"/>
      <c r="GM107" s="637"/>
      <c r="GN107" s="637"/>
      <c r="GO107" s="637"/>
      <c r="GP107" s="637"/>
      <c r="GQ107" s="637"/>
      <c r="GR107" s="637"/>
      <c r="GS107" s="637"/>
      <c r="GT107" s="637"/>
      <c r="GU107" s="637"/>
      <c r="GV107" s="637"/>
      <c r="GW107" s="637"/>
      <c r="GX107" s="637"/>
      <c r="GY107" s="637"/>
      <c r="GZ107" s="637"/>
      <c r="HA107" s="637"/>
      <c r="HB107" s="637"/>
      <c r="HC107" s="637"/>
      <c r="HD107" s="637"/>
      <c r="HE107" s="637"/>
      <c r="HF107" s="637"/>
      <c r="HG107" s="637"/>
      <c r="HH107" s="637"/>
      <c r="HI107" s="637"/>
      <c r="HJ107" s="637"/>
      <c r="HK107" s="637"/>
      <c r="HL107" s="637"/>
      <c r="HM107" s="637"/>
      <c r="HN107" s="637"/>
      <c r="HO107" s="637"/>
      <c r="HP107" s="637"/>
      <c r="HQ107" s="637"/>
      <c r="HR107" s="637"/>
      <c r="HS107" s="637"/>
      <c r="HT107" s="637"/>
      <c r="HU107" s="637"/>
      <c r="HV107" s="637"/>
      <c r="HW107" s="637"/>
      <c r="HX107" s="637"/>
      <c r="HY107" s="637"/>
      <c r="HZ107" s="637"/>
      <c r="IA107" s="637"/>
      <c r="IB107" s="637"/>
      <c r="IC107" s="637"/>
      <c r="ID107" s="637"/>
      <c r="IE107" s="637"/>
      <c r="IF107" s="637"/>
      <c r="IG107" s="637"/>
      <c r="IH107" s="637"/>
      <c r="II107" s="637"/>
      <c r="IJ107" s="637"/>
      <c r="IK107" s="637"/>
      <c r="IL107" s="637"/>
      <c r="IM107" s="637"/>
      <c r="IN107" s="637"/>
      <c r="IO107" s="637"/>
      <c r="IP107" s="637"/>
      <c r="IQ107" s="637"/>
      <c r="IR107" s="637"/>
      <c r="IS107" s="637"/>
      <c r="IT107" s="637"/>
      <c r="IU107" s="637"/>
      <c r="IV107" s="637"/>
      <c r="IW107" s="637"/>
      <c r="IX107" s="637"/>
      <c r="IY107" s="637"/>
      <c r="IZ107" s="637"/>
      <c r="JA107" s="637"/>
      <c r="JB107" s="637"/>
      <c r="JC107" s="637"/>
      <c r="JD107" s="637"/>
      <c r="JE107" s="637"/>
      <c r="JF107" s="637"/>
      <c r="JG107" s="637"/>
      <c r="JH107" s="637"/>
      <c r="JI107" s="637"/>
      <c r="JJ107" s="637"/>
      <c r="JK107" s="637"/>
      <c r="JL107" s="637"/>
      <c r="JM107" s="637"/>
      <c r="JN107" s="637"/>
      <c r="JO107" s="637"/>
      <c r="JP107" s="637"/>
      <c r="JQ107" s="637"/>
      <c r="JR107" s="637"/>
      <c r="JS107" s="637"/>
      <c r="JT107" s="637"/>
      <c r="JU107" s="637"/>
      <c r="JV107" s="637"/>
      <c r="JW107" s="637"/>
      <c r="JX107" s="637"/>
      <c r="JY107" s="637"/>
      <c r="JZ107" s="637"/>
      <c r="KA107" s="637"/>
      <c r="KB107" s="637"/>
      <c r="KC107" s="637"/>
      <c r="KD107" s="637"/>
      <c r="KE107" s="637"/>
      <c r="KF107" s="637"/>
      <c r="KG107" s="637"/>
      <c r="KH107" s="637"/>
      <c r="KI107" s="637"/>
      <c r="KJ107" s="637"/>
      <c r="KK107" s="637"/>
      <c r="KL107" s="637"/>
      <c r="KM107" s="637"/>
      <c r="KN107" s="637"/>
      <c r="KO107" s="637"/>
      <c r="KP107" s="637"/>
      <c r="KQ107" s="637"/>
      <c r="KR107" s="637"/>
      <c r="KS107" s="637"/>
      <c r="KT107" s="637"/>
      <c r="KU107" s="637"/>
      <c r="KV107" s="637"/>
      <c r="KW107" s="637"/>
      <c r="KX107" s="637"/>
      <c r="KY107" s="637"/>
      <c r="KZ107" s="637"/>
      <c r="LA107" s="637"/>
      <c r="LB107" s="637"/>
      <c r="LC107" s="637"/>
      <c r="LD107" s="637"/>
      <c r="LE107" s="637"/>
      <c r="LF107" s="637"/>
      <c r="LG107" s="637"/>
      <c r="LH107" s="637"/>
      <c r="LI107" s="637"/>
      <c r="LJ107" s="637"/>
      <c r="LK107" s="637"/>
      <c r="LL107" s="637"/>
      <c r="LM107" s="637"/>
      <c r="LN107" s="637"/>
      <c r="LO107" s="637"/>
      <c r="LP107" s="637"/>
      <c r="LQ107" s="637"/>
      <c r="LR107" s="637"/>
      <c r="LS107" s="637"/>
      <c r="LT107" s="637"/>
      <c r="LU107" s="637"/>
      <c r="LV107" s="637"/>
      <c r="LW107" s="637"/>
      <c r="LX107" s="637"/>
      <c r="LY107" s="637"/>
      <c r="LZ107" s="637"/>
      <c r="MA107" s="637"/>
      <c r="MB107" s="637"/>
      <c r="MC107" s="637"/>
      <c r="MD107" s="637"/>
      <c r="ME107" s="637"/>
      <c r="MF107" s="637"/>
      <c r="MG107" s="637"/>
      <c r="MH107" s="637"/>
      <c r="MI107" s="637"/>
      <c r="MJ107" s="637"/>
      <c r="MK107" s="637"/>
      <c r="ML107" s="637"/>
      <c r="MM107" s="637"/>
      <c r="MN107" s="637"/>
      <c r="MO107" s="637"/>
      <c r="MP107" s="637"/>
      <c r="MQ107" s="637"/>
      <c r="MR107" s="637"/>
      <c r="MS107" s="637"/>
      <c r="MT107" s="637"/>
      <c r="MU107" s="637"/>
      <c r="MV107" s="637"/>
      <c r="MW107" s="637"/>
      <c r="MX107" s="637"/>
      <c r="MY107" s="637"/>
      <c r="MZ107" s="637"/>
      <c r="NA107" s="637"/>
      <c r="NB107" s="637"/>
      <c r="NC107" s="637"/>
      <c r="ND107" s="637"/>
      <c r="NE107" s="637"/>
      <c r="NF107" s="637"/>
      <c r="NG107" s="637"/>
      <c r="NH107" s="637"/>
      <c r="NI107" s="637"/>
      <c r="NJ107" s="637"/>
      <c r="NK107" s="637"/>
      <c r="NL107" s="637"/>
      <c r="NM107" s="637"/>
      <c r="NN107" s="637"/>
      <c r="NO107" s="637"/>
      <c r="NP107" s="637"/>
      <c r="NQ107" s="637"/>
      <c r="NR107" s="637"/>
      <c r="NS107" s="637"/>
      <c r="NT107" s="637"/>
      <c r="NU107" s="637"/>
      <c r="NV107" s="637"/>
      <c r="NW107" s="637"/>
      <c r="NX107" s="637"/>
      <c r="NY107" s="637"/>
      <c r="NZ107" s="637"/>
      <c r="OA107" s="637"/>
      <c r="OB107" s="637"/>
      <c r="OC107" s="637"/>
      <c r="OD107" s="637"/>
      <c r="OE107" s="637"/>
      <c r="OF107" s="637"/>
      <c r="OG107" s="637"/>
      <c r="OH107" s="637"/>
      <c r="OI107" s="637"/>
      <c r="OJ107" s="637"/>
      <c r="OK107" s="637"/>
      <c r="OL107" s="637"/>
      <c r="OM107" s="637"/>
      <c r="ON107" s="637"/>
      <c r="OO107" s="637"/>
      <c r="OP107" s="637"/>
      <c r="OQ107" s="637"/>
      <c r="OR107" s="637"/>
      <c r="OS107" s="637"/>
      <c r="OT107" s="637"/>
      <c r="OU107" s="637"/>
      <c r="OV107" s="637"/>
      <c r="OW107" s="637"/>
      <c r="OX107" s="637"/>
      <c r="OY107" s="637"/>
      <c r="OZ107" s="637"/>
      <c r="PA107" s="637"/>
      <c r="PB107" s="637"/>
      <c r="PC107" s="637"/>
      <c r="PD107" s="637"/>
      <c r="PE107" s="637"/>
      <c r="PF107" s="637"/>
      <c r="PG107" s="637"/>
      <c r="PH107" s="637"/>
      <c r="PI107" s="637"/>
      <c r="PJ107" s="637"/>
      <c r="PK107" s="637"/>
      <c r="PL107" s="637"/>
      <c r="PM107" s="637"/>
      <c r="PN107" s="637"/>
      <c r="PO107" s="637"/>
      <c r="PP107" s="637"/>
      <c r="PQ107" s="637"/>
      <c r="PR107" s="637"/>
      <c r="PS107" s="637"/>
      <c r="PT107" s="637"/>
      <c r="PU107" s="637"/>
      <c r="PV107" s="637"/>
      <c r="PW107" s="637"/>
      <c r="PX107" s="637"/>
      <c r="PY107" s="637"/>
      <c r="PZ107" s="637"/>
      <c r="QA107" s="637"/>
      <c r="QB107" s="637"/>
      <c r="QC107" s="637"/>
      <c r="QD107" s="637"/>
      <c r="QE107" s="637"/>
      <c r="QF107" s="637"/>
      <c r="QG107" s="637"/>
      <c r="QH107" s="637"/>
      <c r="QI107" s="637"/>
      <c r="QJ107" s="637"/>
      <c r="QK107" s="637"/>
      <c r="QL107" s="637"/>
      <c r="QM107" s="637"/>
      <c r="QN107" s="637"/>
      <c r="QO107" s="637"/>
      <c r="QP107" s="637"/>
      <c r="QQ107" s="637"/>
      <c r="QR107" s="637"/>
      <c r="QS107" s="637"/>
      <c r="QT107" s="637"/>
      <c r="QU107" s="637"/>
      <c r="QV107" s="637"/>
      <c r="QW107" s="637"/>
      <c r="QX107" s="637"/>
      <c r="QY107" s="637"/>
      <c r="QZ107" s="637"/>
      <c r="RA107" s="637"/>
      <c r="RB107" s="637"/>
      <c r="RC107" s="637"/>
      <c r="RD107" s="637"/>
      <c r="RE107" s="637"/>
      <c r="RF107" s="637"/>
      <c r="RG107" s="637"/>
      <c r="RH107" s="637"/>
      <c r="RI107" s="637"/>
      <c r="RJ107" s="637"/>
      <c r="RK107" s="637"/>
      <c r="RL107" s="637"/>
      <c r="RM107" s="637"/>
      <c r="RN107" s="637"/>
      <c r="RO107" s="637"/>
      <c r="RP107" s="637"/>
      <c r="RQ107" s="637"/>
      <c r="RR107" s="637"/>
      <c r="RS107" s="637"/>
      <c r="RT107" s="637"/>
      <c r="RU107" s="637"/>
      <c r="RV107" s="637"/>
      <c r="RW107" s="637"/>
      <c r="RX107" s="637"/>
      <c r="RY107" s="637"/>
      <c r="RZ107" s="637"/>
      <c r="SA107" s="637"/>
      <c r="SB107" s="637"/>
      <c r="SC107" s="637"/>
      <c r="SD107" s="637"/>
      <c r="SE107" s="637"/>
      <c r="SF107" s="637"/>
      <c r="SG107" s="637"/>
      <c r="SH107" s="637"/>
      <c r="SI107" s="637"/>
      <c r="SJ107" s="637"/>
      <c r="SK107" s="637"/>
      <c r="SL107" s="637"/>
      <c r="SM107" s="637"/>
      <c r="SN107" s="637"/>
      <c r="SO107" s="637"/>
      <c r="SP107" s="637"/>
      <c r="SQ107" s="637"/>
      <c r="SR107" s="637"/>
      <c r="SS107" s="637"/>
      <c r="ST107" s="637"/>
      <c r="SU107" s="637"/>
      <c r="SV107" s="637"/>
      <c r="SW107" s="637"/>
      <c r="SX107" s="637"/>
      <c r="SY107" s="637"/>
      <c r="SZ107" s="637"/>
      <c r="TA107" s="637"/>
      <c r="TB107" s="637"/>
      <c r="TC107" s="637"/>
      <c r="TD107" s="637"/>
      <c r="TE107" s="637"/>
      <c r="TF107" s="637"/>
      <c r="TG107" s="637"/>
      <c r="TH107" s="637"/>
      <c r="TI107" s="637"/>
      <c r="TJ107" s="637"/>
      <c r="TK107" s="637"/>
      <c r="TL107" s="637"/>
      <c r="TM107" s="637"/>
      <c r="TN107" s="637"/>
      <c r="TO107" s="637"/>
      <c r="TP107" s="637"/>
      <c r="TQ107" s="637"/>
      <c r="TR107" s="637"/>
      <c r="TS107" s="637"/>
      <c r="TT107" s="637"/>
      <c r="TU107" s="637"/>
      <c r="TV107" s="637"/>
      <c r="TW107" s="637"/>
      <c r="TX107" s="637"/>
      <c r="TY107" s="637"/>
      <c r="TZ107" s="637"/>
      <c r="UA107" s="637"/>
      <c r="UB107" s="637"/>
      <c r="UC107" s="637"/>
      <c r="UD107" s="637"/>
      <c r="UE107" s="637"/>
      <c r="UF107" s="637"/>
      <c r="UG107" s="637"/>
      <c r="UH107" s="637"/>
      <c r="UI107" s="637"/>
      <c r="UJ107" s="637"/>
      <c r="UK107" s="637"/>
      <c r="UL107" s="637"/>
      <c r="UM107" s="637"/>
      <c r="UN107" s="637"/>
      <c r="UO107" s="637"/>
      <c r="UP107" s="637"/>
      <c r="UQ107" s="637"/>
      <c r="UR107" s="637"/>
      <c r="US107" s="637"/>
      <c r="UT107" s="637"/>
      <c r="UU107" s="637"/>
      <c r="UV107" s="637"/>
      <c r="UW107" s="637"/>
      <c r="UX107" s="637"/>
      <c r="UY107" s="637"/>
      <c r="UZ107" s="637"/>
      <c r="VA107" s="637"/>
      <c r="VB107" s="637"/>
      <c r="VC107" s="637"/>
      <c r="VD107" s="637"/>
      <c r="VE107" s="637"/>
      <c r="VF107" s="637"/>
      <c r="VG107" s="637"/>
      <c r="VH107" s="637"/>
      <c r="VI107" s="637"/>
      <c r="VJ107" s="637"/>
      <c r="VK107" s="637"/>
      <c r="VL107" s="637"/>
      <c r="VM107" s="637"/>
      <c r="VN107" s="637"/>
      <c r="VO107" s="637"/>
      <c r="VP107" s="637"/>
      <c r="VQ107" s="637"/>
      <c r="VR107" s="637"/>
      <c r="VS107" s="637"/>
      <c r="VT107" s="637"/>
      <c r="VU107" s="637"/>
      <c r="VV107" s="637"/>
      <c r="VW107" s="637"/>
      <c r="VX107" s="637"/>
      <c r="VY107" s="637"/>
      <c r="VZ107" s="637"/>
      <c r="WA107" s="637"/>
      <c r="WB107" s="637"/>
      <c r="WC107" s="637"/>
      <c r="WD107" s="637"/>
      <c r="WE107" s="637"/>
      <c r="WF107" s="637"/>
      <c r="WG107" s="637"/>
      <c r="WH107" s="637"/>
      <c r="WI107" s="637"/>
      <c r="WJ107" s="637"/>
      <c r="WK107" s="637"/>
      <c r="WL107" s="637"/>
      <c r="WM107" s="637"/>
      <c r="WN107" s="637"/>
      <c r="WO107" s="637"/>
      <c r="WP107" s="637"/>
      <c r="WQ107" s="637"/>
      <c r="WR107" s="637"/>
      <c r="WS107" s="637"/>
      <c r="WT107" s="637"/>
      <c r="WU107" s="637"/>
      <c r="WV107" s="637"/>
      <c r="WW107" s="637"/>
      <c r="WX107" s="637"/>
      <c r="WY107" s="637"/>
      <c r="WZ107" s="637"/>
      <c r="XA107" s="637"/>
      <c r="XB107" s="637"/>
      <c r="XC107" s="637"/>
      <c r="XD107" s="637"/>
      <c r="XE107" s="637"/>
      <c r="XF107" s="637"/>
      <c r="XG107" s="637"/>
      <c r="XH107" s="637"/>
      <c r="XI107" s="637"/>
      <c r="XJ107" s="637"/>
      <c r="XK107" s="637"/>
      <c r="XL107" s="637"/>
      <c r="XM107" s="637"/>
      <c r="XN107" s="637"/>
      <c r="XO107" s="637"/>
      <c r="XP107" s="637"/>
      <c r="XQ107" s="637"/>
      <c r="XR107" s="637"/>
      <c r="XS107" s="637"/>
      <c r="XT107" s="637"/>
      <c r="XU107" s="637"/>
      <c r="XV107" s="637"/>
      <c r="XW107" s="637"/>
      <c r="XX107" s="637"/>
      <c r="XY107" s="637"/>
      <c r="XZ107" s="637"/>
      <c r="YA107" s="637"/>
      <c r="YB107" s="637"/>
      <c r="YC107" s="637"/>
      <c r="YD107" s="637"/>
      <c r="YE107" s="637"/>
      <c r="YF107" s="637"/>
      <c r="YG107" s="637"/>
      <c r="YH107" s="637"/>
      <c r="YI107" s="637"/>
      <c r="YJ107" s="637"/>
      <c r="YK107" s="637"/>
      <c r="YL107" s="637"/>
      <c r="YM107" s="637"/>
      <c r="YN107" s="637"/>
      <c r="YO107" s="637"/>
      <c r="YP107" s="637"/>
      <c r="YQ107" s="637"/>
      <c r="YR107" s="637"/>
      <c r="YS107" s="637"/>
      <c r="YT107" s="637"/>
      <c r="YU107" s="637"/>
      <c r="YV107" s="637"/>
      <c r="YW107" s="637"/>
      <c r="YX107" s="637"/>
      <c r="YY107" s="637"/>
      <c r="YZ107" s="637"/>
      <c r="ZA107" s="637"/>
      <c r="ZB107" s="637"/>
      <c r="ZC107" s="637"/>
      <c r="ZD107" s="637"/>
      <c r="ZE107" s="637"/>
      <c r="ZF107" s="637"/>
      <c r="ZG107" s="637"/>
      <c r="ZH107" s="637"/>
      <c r="ZI107" s="637"/>
      <c r="ZJ107" s="637"/>
      <c r="ZK107" s="637"/>
      <c r="ZL107" s="637"/>
      <c r="ZM107" s="637"/>
      <c r="ZN107" s="637"/>
      <c r="ZO107" s="637"/>
      <c r="ZP107" s="637"/>
      <c r="ZQ107" s="637"/>
      <c r="ZR107" s="637"/>
      <c r="ZS107" s="637"/>
      <c r="ZT107" s="637"/>
      <c r="ZU107" s="637"/>
      <c r="ZV107" s="637"/>
      <c r="ZW107" s="637"/>
      <c r="ZX107" s="637"/>
      <c r="ZY107" s="637"/>
      <c r="ZZ107" s="637"/>
      <c r="AAA107" s="637"/>
      <c r="AAB107" s="637"/>
      <c r="AAC107" s="637"/>
      <c r="AAD107" s="637"/>
      <c r="AAE107" s="637"/>
      <c r="AAF107" s="637"/>
      <c r="AAG107" s="637"/>
      <c r="AAH107" s="637"/>
      <c r="AAI107" s="637"/>
      <c r="AAJ107" s="637"/>
      <c r="AAK107" s="637"/>
      <c r="AAL107" s="637"/>
      <c r="AAM107" s="637"/>
      <c r="AAN107" s="637"/>
      <c r="AAO107" s="637"/>
      <c r="AAP107" s="637"/>
      <c r="AAQ107" s="637"/>
      <c r="AAR107" s="637"/>
      <c r="AAS107" s="637"/>
      <c r="AAT107" s="637"/>
      <c r="AAU107" s="637"/>
      <c r="AAV107" s="637"/>
      <c r="AAW107" s="637"/>
      <c r="AAX107" s="637"/>
      <c r="AAY107" s="637"/>
      <c r="AAZ107" s="637"/>
      <c r="ABA107" s="637"/>
      <c r="ABB107" s="637"/>
      <c r="ABC107" s="637"/>
      <c r="ABD107" s="637"/>
      <c r="ABE107" s="637"/>
      <c r="ABF107" s="637"/>
      <c r="ABG107" s="637"/>
      <c r="ABH107" s="637"/>
      <c r="ABI107" s="637"/>
      <c r="ABJ107" s="637"/>
      <c r="ABK107" s="637"/>
      <c r="ABL107" s="637"/>
      <c r="ABM107" s="637"/>
      <c r="ABN107" s="637"/>
      <c r="ABO107" s="637"/>
      <c r="ABP107" s="637"/>
      <c r="ABQ107" s="637"/>
      <c r="ABR107" s="637"/>
      <c r="ABS107" s="637"/>
      <c r="ABT107" s="637"/>
      <c r="ABU107" s="637"/>
      <c r="ABV107" s="637"/>
      <c r="ABW107" s="637"/>
      <c r="ABX107" s="637"/>
      <c r="ABY107" s="637"/>
      <c r="ABZ107" s="637"/>
      <c r="ACA107" s="637"/>
      <c r="ACB107" s="637"/>
      <c r="ACC107" s="637"/>
      <c r="ACD107" s="637"/>
      <c r="ACE107" s="637"/>
      <c r="ACF107" s="637"/>
      <c r="ACG107" s="637"/>
      <c r="ACH107" s="637"/>
      <c r="ACI107" s="637"/>
      <c r="ACJ107" s="637"/>
      <c r="ACK107" s="637"/>
      <c r="ACL107" s="637"/>
      <c r="ACM107" s="637"/>
      <c r="ACN107" s="637"/>
      <c r="ACO107" s="637"/>
      <c r="ACP107" s="637"/>
      <c r="ACQ107" s="637"/>
      <c r="ACR107" s="637"/>
      <c r="ACS107" s="637"/>
      <c r="ACT107" s="637"/>
      <c r="ACU107" s="637"/>
      <c r="ACV107" s="637"/>
      <c r="ACW107" s="637"/>
      <c r="ACX107" s="637"/>
      <c r="ACY107" s="637"/>
      <c r="ACZ107" s="637"/>
      <c r="ADA107" s="637"/>
      <c r="ADB107" s="637"/>
      <c r="ADC107" s="637"/>
      <c r="ADD107" s="637"/>
      <c r="ADE107" s="637"/>
      <c r="ADF107" s="637"/>
      <c r="ADG107" s="637"/>
      <c r="ADH107" s="637"/>
      <c r="ADI107" s="637"/>
      <c r="ADJ107" s="637"/>
      <c r="ADK107" s="637"/>
      <c r="ADL107" s="637"/>
      <c r="ADM107" s="637"/>
      <c r="ADN107" s="637"/>
      <c r="ADO107" s="637"/>
      <c r="ADP107" s="637"/>
      <c r="ADQ107" s="637"/>
      <c r="ADR107" s="637"/>
      <c r="ADS107" s="637"/>
      <c r="ADT107" s="637"/>
      <c r="ADU107" s="637"/>
      <c r="ADV107" s="637"/>
      <c r="ADW107" s="637"/>
      <c r="ADX107" s="637"/>
      <c r="ADY107" s="637"/>
      <c r="ADZ107" s="637"/>
      <c r="AEA107" s="637"/>
      <c r="AEB107" s="637"/>
      <c r="AEC107" s="637"/>
      <c r="AED107" s="637"/>
      <c r="AEE107" s="637"/>
      <c r="AEF107" s="637"/>
      <c r="AEG107" s="637"/>
      <c r="AEH107" s="637"/>
      <c r="AEI107" s="637"/>
      <c r="AEJ107" s="637"/>
      <c r="AEK107" s="637"/>
      <c r="AEL107" s="637"/>
      <c r="AEM107" s="637"/>
      <c r="AEN107" s="637"/>
      <c r="AEO107" s="637"/>
      <c r="AEP107" s="637"/>
      <c r="AEQ107" s="637"/>
      <c r="AER107" s="637"/>
      <c r="AES107" s="637"/>
      <c r="AET107" s="637"/>
      <c r="AEU107" s="637"/>
      <c r="AEV107" s="637"/>
      <c r="AEW107" s="637"/>
      <c r="AEX107" s="637"/>
      <c r="AEY107" s="637"/>
      <c r="AEZ107" s="637"/>
      <c r="AFA107" s="637"/>
      <c r="AFB107" s="637"/>
      <c r="AFC107" s="637"/>
      <c r="AFD107" s="637"/>
      <c r="AFE107" s="637"/>
      <c r="AFF107" s="637"/>
      <c r="AFG107" s="637"/>
      <c r="AFH107" s="637"/>
      <c r="AFI107" s="637"/>
      <c r="AFJ107" s="637"/>
      <c r="AFK107" s="637"/>
      <c r="AFL107" s="637"/>
      <c r="AFM107" s="637"/>
      <c r="AFN107" s="637"/>
      <c r="AFO107" s="637"/>
      <c r="AFP107" s="637"/>
      <c r="AFQ107" s="637"/>
      <c r="AFR107" s="637"/>
      <c r="AFS107" s="637"/>
      <c r="AFT107" s="637"/>
      <c r="AFU107" s="637"/>
      <c r="AFV107" s="637"/>
      <c r="AFW107" s="637"/>
      <c r="AFX107" s="637"/>
      <c r="AFY107" s="637"/>
      <c r="AFZ107" s="637"/>
      <c r="AGA107" s="637"/>
      <c r="AGB107" s="637"/>
      <c r="AGC107" s="637"/>
      <c r="AGD107" s="637"/>
      <c r="AGE107" s="637"/>
      <c r="AGF107" s="637"/>
      <c r="AGG107" s="637"/>
      <c r="AGH107" s="637"/>
      <c r="AGI107" s="637"/>
      <c r="AGJ107" s="637"/>
      <c r="AGK107" s="637"/>
      <c r="AGL107" s="637"/>
      <c r="AGM107" s="637"/>
      <c r="AGN107" s="637"/>
      <c r="AGO107" s="637"/>
      <c r="AGP107" s="637"/>
      <c r="AGQ107" s="637"/>
      <c r="AGR107" s="637"/>
      <c r="AGS107" s="637"/>
      <c r="AGT107" s="637"/>
      <c r="AGU107" s="637"/>
      <c r="AGV107" s="637"/>
      <c r="AGW107" s="637"/>
      <c r="AGX107" s="637"/>
      <c r="AGY107" s="637"/>
      <c r="AGZ107" s="637"/>
      <c r="AHA107" s="637"/>
      <c r="AHB107" s="637"/>
      <c r="AHC107" s="637"/>
      <c r="AHD107" s="637"/>
      <c r="AHE107" s="637"/>
      <c r="AHF107" s="637"/>
      <c r="AHG107" s="637"/>
      <c r="AHH107" s="637"/>
      <c r="AHI107" s="637"/>
      <c r="AHJ107" s="637"/>
      <c r="AHK107" s="637"/>
      <c r="AHL107" s="637"/>
      <c r="AHM107" s="637"/>
      <c r="AHN107" s="637"/>
      <c r="AHO107" s="637"/>
      <c r="AHP107" s="637"/>
      <c r="AHQ107" s="637"/>
      <c r="AHR107" s="637"/>
      <c r="AHS107" s="637"/>
      <c r="AHT107" s="637"/>
      <c r="AHU107" s="637"/>
      <c r="AHV107" s="637"/>
      <c r="AHW107" s="637"/>
      <c r="AHX107" s="637"/>
      <c r="AHY107" s="637"/>
      <c r="AHZ107" s="637"/>
      <c r="AIA107" s="637"/>
      <c r="AIB107" s="637"/>
      <c r="AIC107" s="637"/>
      <c r="AID107" s="637"/>
      <c r="AIE107" s="637"/>
      <c r="AIF107" s="637"/>
      <c r="AIG107" s="637"/>
      <c r="AIH107" s="637"/>
      <c r="AII107" s="637"/>
      <c r="AIJ107" s="637"/>
      <c r="AIK107" s="637"/>
      <c r="AIL107" s="637"/>
      <c r="AIM107" s="637"/>
      <c r="AIN107" s="637"/>
      <c r="AIO107" s="637"/>
      <c r="AIP107" s="637"/>
      <c r="AIQ107" s="637"/>
      <c r="AIR107" s="637"/>
      <c r="AIS107" s="637"/>
      <c r="AIT107" s="637"/>
      <c r="AIU107" s="637"/>
      <c r="AIV107" s="637"/>
      <c r="AIW107" s="637"/>
      <c r="AIX107" s="637"/>
      <c r="AIY107" s="637"/>
      <c r="AIZ107" s="637"/>
      <c r="AJA107" s="637"/>
      <c r="AJB107" s="637"/>
      <c r="AJC107" s="637"/>
      <c r="AJD107" s="637"/>
      <c r="AJE107" s="637"/>
      <c r="AJF107" s="637"/>
      <c r="AJG107" s="637"/>
      <c r="AJH107" s="637"/>
      <c r="AJI107" s="637"/>
      <c r="AJJ107" s="637"/>
      <c r="AJK107" s="637"/>
      <c r="AJL107" s="637"/>
      <c r="AJM107" s="637"/>
      <c r="AJN107" s="637"/>
      <c r="AJO107" s="637"/>
      <c r="AJP107" s="637"/>
      <c r="AJQ107" s="637"/>
      <c r="AJR107" s="637"/>
      <c r="AJS107" s="637"/>
      <c r="AJT107" s="637"/>
      <c r="AJU107" s="637"/>
      <c r="AJV107" s="637"/>
      <c r="AJW107" s="637"/>
      <c r="AJX107" s="637"/>
      <c r="AJY107" s="637"/>
      <c r="AJZ107" s="637"/>
      <c r="AKA107" s="637"/>
      <c r="AKB107" s="637"/>
      <c r="AKC107" s="637"/>
      <c r="AKD107" s="637"/>
      <c r="AKE107" s="637"/>
      <c r="AKF107" s="637"/>
      <c r="AKG107" s="637"/>
      <c r="AKH107" s="637"/>
      <c r="AKI107" s="637"/>
      <c r="AKJ107" s="637"/>
      <c r="AKK107" s="637"/>
      <c r="AKL107" s="637"/>
      <c r="AKM107" s="637"/>
      <c r="AKN107" s="637"/>
      <c r="AKO107" s="637"/>
      <c r="AKP107" s="637"/>
      <c r="AKQ107" s="637"/>
      <c r="AKR107" s="637"/>
      <c r="AKS107" s="637"/>
      <c r="AKT107" s="637"/>
      <c r="AKU107" s="637"/>
      <c r="AKV107" s="637"/>
      <c r="AKW107" s="637"/>
      <c r="AKX107" s="637"/>
      <c r="AKY107" s="637"/>
      <c r="AKZ107" s="637"/>
      <c r="ALA107" s="637"/>
      <c r="ALB107" s="637"/>
      <c r="ALC107" s="637"/>
      <c r="ALD107" s="637"/>
      <c r="ALE107" s="637"/>
      <c r="ALF107" s="637"/>
      <c r="ALG107" s="637"/>
      <c r="ALH107" s="637"/>
      <c r="ALI107" s="637"/>
      <c r="ALJ107" s="637"/>
      <c r="ALK107" s="637"/>
      <c r="ALL107" s="637"/>
      <c r="ALM107" s="637"/>
      <c r="ALN107" s="637"/>
      <c r="ALO107" s="637"/>
      <c r="ALP107" s="637"/>
      <c r="ALQ107" s="637"/>
      <c r="ALR107" s="637"/>
      <c r="ALS107" s="637"/>
      <c r="ALT107" s="637"/>
      <c r="ALU107" s="637"/>
      <c r="ALV107" s="637"/>
      <c r="ALW107" s="637"/>
      <c r="ALX107" s="637"/>
      <c r="ALY107" s="637"/>
      <c r="ALZ107" s="637"/>
      <c r="AMA107" s="637"/>
      <c r="AMB107" s="637"/>
      <c r="AMC107" s="637"/>
      <c r="AMD107" s="637"/>
      <c r="AME107" s="637"/>
      <c r="AMF107" s="637"/>
      <c r="AMG107" s="637"/>
      <c r="AMH107" s="637"/>
      <c r="AMI107" s="637"/>
      <c r="AMJ107" s="637"/>
    </row>
    <row r="108" spans="1:1024" s="638" customFormat="1" ht="12.75">
      <c r="A108" s="984"/>
      <c r="B108" s="985"/>
      <c r="C108" s="986"/>
      <c r="D108" s="981" t="s">
        <v>861</v>
      </c>
      <c r="E108" s="982">
        <f>4753-127</f>
        <v>4626</v>
      </c>
      <c r="F108" s="982">
        <f t="shared" si="13"/>
        <v>12150</v>
      </c>
      <c r="G108" s="987">
        <f>8325-19</f>
        <v>8306</v>
      </c>
      <c r="H108" s="987">
        <f>2059+3</f>
        <v>2062</v>
      </c>
      <c r="I108" s="987">
        <f>1726+56</f>
        <v>1782</v>
      </c>
      <c r="J108" s="987"/>
      <c r="K108" s="987"/>
      <c r="L108" s="987"/>
      <c r="M108" s="987"/>
      <c r="N108" s="987">
        <v>0</v>
      </c>
      <c r="O108" s="1013"/>
      <c r="P108" s="987"/>
      <c r="Q108" s="987"/>
      <c r="R108" s="984"/>
      <c r="S108" s="637"/>
      <c r="T108" s="637"/>
      <c r="U108" s="637"/>
      <c r="V108" s="637"/>
      <c r="W108" s="637"/>
      <c r="X108" s="637"/>
      <c r="Y108" s="637"/>
      <c r="Z108" s="637"/>
      <c r="AA108" s="637"/>
      <c r="AB108" s="637"/>
      <c r="AC108" s="637"/>
      <c r="AD108" s="637"/>
      <c r="AE108" s="637"/>
      <c r="AF108" s="637"/>
      <c r="AG108" s="637"/>
      <c r="AH108" s="637"/>
      <c r="AI108" s="637"/>
      <c r="AJ108" s="637"/>
      <c r="AK108" s="637"/>
      <c r="AL108" s="637"/>
      <c r="AM108" s="637"/>
      <c r="AN108" s="637"/>
      <c r="AO108" s="637"/>
      <c r="AP108" s="637"/>
      <c r="AQ108" s="637"/>
      <c r="AR108" s="637"/>
      <c r="AS108" s="637"/>
      <c r="AT108" s="637"/>
      <c r="AU108" s="637"/>
      <c r="AV108" s="637"/>
      <c r="AW108" s="637"/>
      <c r="AX108" s="637"/>
      <c r="AY108" s="637"/>
      <c r="AZ108" s="637"/>
      <c r="BA108" s="637"/>
      <c r="BB108" s="637"/>
      <c r="BC108" s="637"/>
      <c r="BD108" s="637"/>
      <c r="BE108" s="637"/>
      <c r="BF108" s="637"/>
      <c r="BG108" s="637"/>
      <c r="BH108" s="637"/>
      <c r="BI108" s="637"/>
      <c r="BJ108" s="637"/>
      <c r="BK108" s="637"/>
      <c r="BL108" s="637"/>
      <c r="BM108" s="637"/>
      <c r="BN108" s="637"/>
      <c r="BO108" s="637"/>
      <c r="BP108" s="637"/>
      <c r="BQ108" s="637"/>
      <c r="BR108" s="637"/>
      <c r="BS108" s="637"/>
      <c r="BT108" s="637"/>
      <c r="BU108" s="637"/>
      <c r="BV108" s="637"/>
      <c r="BW108" s="637"/>
      <c r="BX108" s="637"/>
      <c r="BY108" s="637"/>
      <c r="BZ108" s="637"/>
      <c r="CA108" s="637"/>
      <c r="CB108" s="637"/>
      <c r="CC108" s="637"/>
      <c r="CD108" s="637"/>
      <c r="CE108" s="637"/>
      <c r="CF108" s="637"/>
      <c r="CG108" s="637"/>
      <c r="CH108" s="637"/>
      <c r="CI108" s="637"/>
      <c r="CJ108" s="637"/>
      <c r="CK108" s="637"/>
      <c r="CL108" s="637"/>
      <c r="CM108" s="637"/>
      <c r="CN108" s="637"/>
      <c r="CO108" s="637"/>
      <c r="CP108" s="637"/>
      <c r="CQ108" s="637"/>
      <c r="CR108" s="637"/>
      <c r="CS108" s="637"/>
      <c r="CT108" s="637"/>
      <c r="CU108" s="637"/>
      <c r="CV108" s="637"/>
      <c r="CW108" s="637"/>
      <c r="CX108" s="637"/>
      <c r="CY108" s="637"/>
      <c r="CZ108" s="637"/>
      <c r="DA108" s="637"/>
      <c r="DB108" s="637"/>
      <c r="DC108" s="637"/>
      <c r="DD108" s="637"/>
      <c r="DE108" s="637"/>
      <c r="DF108" s="637"/>
      <c r="DG108" s="637"/>
      <c r="DH108" s="637"/>
      <c r="DI108" s="637"/>
      <c r="DJ108" s="637"/>
      <c r="DK108" s="637"/>
      <c r="DL108" s="637"/>
      <c r="DM108" s="637"/>
      <c r="DN108" s="637"/>
      <c r="DO108" s="637"/>
      <c r="DP108" s="637"/>
      <c r="DQ108" s="637"/>
      <c r="DR108" s="637"/>
      <c r="DS108" s="637"/>
      <c r="DT108" s="637"/>
      <c r="DU108" s="637"/>
      <c r="DV108" s="637"/>
      <c r="DW108" s="637"/>
      <c r="DX108" s="637"/>
      <c r="DY108" s="637"/>
      <c r="DZ108" s="637"/>
      <c r="EA108" s="637"/>
      <c r="EB108" s="637"/>
      <c r="EC108" s="637"/>
      <c r="ED108" s="637"/>
      <c r="EE108" s="637"/>
      <c r="EF108" s="637"/>
      <c r="EG108" s="637"/>
      <c r="EH108" s="637"/>
      <c r="EI108" s="637"/>
      <c r="EJ108" s="637"/>
      <c r="EK108" s="637"/>
      <c r="EL108" s="637"/>
      <c r="EM108" s="637"/>
      <c r="EN108" s="637"/>
      <c r="EO108" s="637"/>
      <c r="EP108" s="637"/>
      <c r="EQ108" s="637"/>
      <c r="ER108" s="637"/>
      <c r="ES108" s="637"/>
      <c r="ET108" s="637"/>
      <c r="EU108" s="637"/>
      <c r="EV108" s="637"/>
      <c r="EW108" s="637"/>
      <c r="EX108" s="637"/>
      <c r="EY108" s="637"/>
      <c r="EZ108" s="637"/>
      <c r="FA108" s="637"/>
      <c r="FB108" s="637"/>
      <c r="FC108" s="637"/>
      <c r="FD108" s="637"/>
      <c r="FE108" s="637"/>
      <c r="FF108" s="637"/>
      <c r="FG108" s="637"/>
      <c r="FH108" s="637"/>
      <c r="FI108" s="637"/>
      <c r="FJ108" s="637"/>
      <c r="FK108" s="637"/>
      <c r="FL108" s="637"/>
      <c r="FM108" s="637"/>
      <c r="FN108" s="637"/>
      <c r="FO108" s="637"/>
      <c r="FP108" s="637"/>
      <c r="FQ108" s="637"/>
      <c r="FR108" s="637"/>
      <c r="FS108" s="637"/>
      <c r="FT108" s="637"/>
      <c r="FU108" s="637"/>
      <c r="FV108" s="637"/>
      <c r="FW108" s="637"/>
      <c r="FX108" s="637"/>
      <c r="FY108" s="637"/>
      <c r="FZ108" s="637"/>
      <c r="GA108" s="637"/>
      <c r="GB108" s="637"/>
      <c r="GC108" s="637"/>
      <c r="GD108" s="637"/>
      <c r="GE108" s="637"/>
      <c r="GF108" s="637"/>
      <c r="GG108" s="637"/>
      <c r="GH108" s="637"/>
      <c r="GI108" s="637"/>
      <c r="GJ108" s="637"/>
      <c r="GK108" s="637"/>
      <c r="GL108" s="637"/>
      <c r="GM108" s="637"/>
      <c r="GN108" s="637"/>
      <c r="GO108" s="637"/>
      <c r="GP108" s="637"/>
      <c r="GQ108" s="637"/>
      <c r="GR108" s="637"/>
      <c r="GS108" s="637"/>
      <c r="GT108" s="637"/>
      <c r="GU108" s="637"/>
      <c r="GV108" s="637"/>
      <c r="GW108" s="637"/>
      <c r="GX108" s="637"/>
      <c r="GY108" s="637"/>
      <c r="GZ108" s="637"/>
      <c r="HA108" s="637"/>
      <c r="HB108" s="637"/>
      <c r="HC108" s="637"/>
      <c r="HD108" s="637"/>
      <c r="HE108" s="637"/>
      <c r="HF108" s="637"/>
      <c r="HG108" s="637"/>
      <c r="HH108" s="637"/>
      <c r="HI108" s="637"/>
      <c r="HJ108" s="637"/>
      <c r="HK108" s="637"/>
      <c r="HL108" s="637"/>
      <c r="HM108" s="637"/>
      <c r="HN108" s="637"/>
      <c r="HO108" s="637"/>
      <c r="HP108" s="637"/>
      <c r="HQ108" s="637"/>
      <c r="HR108" s="637"/>
      <c r="HS108" s="637"/>
      <c r="HT108" s="637"/>
      <c r="HU108" s="637"/>
      <c r="HV108" s="637"/>
      <c r="HW108" s="637"/>
      <c r="HX108" s="637"/>
      <c r="HY108" s="637"/>
      <c r="HZ108" s="637"/>
      <c r="IA108" s="637"/>
      <c r="IB108" s="637"/>
      <c r="IC108" s="637"/>
      <c r="ID108" s="637"/>
      <c r="IE108" s="637"/>
      <c r="IF108" s="637"/>
      <c r="IG108" s="637"/>
      <c r="IH108" s="637"/>
      <c r="II108" s="637"/>
      <c r="IJ108" s="637"/>
      <c r="IK108" s="637"/>
      <c r="IL108" s="637"/>
      <c r="IM108" s="637"/>
      <c r="IN108" s="637"/>
      <c r="IO108" s="637"/>
      <c r="IP108" s="637"/>
      <c r="IQ108" s="637"/>
      <c r="IR108" s="637"/>
      <c r="IS108" s="637"/>
      <c r="IT108" s="637"/>
      <c r="IU108" s="637"/>
      <c r="IV108" s="637"/>
      <c r="IW108" s="637"/>
      <c r="IX108" s="637"/>
      <c r="IY108" s="637"/>
      <c r="IZ108" s="637"/>
      <c r="JA108" s="637"/>
      <c r="JB108" s="637"/>
      <c r="JC108" s="637"/>
      <c r="JD108" s="637"/>
      <c r="JE108" s="637"/>
      <c r="JF108" s="637"/>
      <c r="JG108" s="637"/>
      <c r="JH108" s="637"/>
      <c r="JI108" s="637"/>
      <c r="JJ108" s="637"/>
      <c r="JK108" s="637"/>
      <c r="JL108" s="637"/>
      <c r="JM108" s="637"/>
      <c r="JN108" s="637"/>
      <c r="JO108" s="637"/>
      <c r="JP108" s="637"/>
      <c r="JQ108" s="637"/>
      <c r="JR108" s="637"/>
      <c r="JS108" s="637"/>
      <c r="JT108" s="637"/>
      <c r="JU108" s="637"/>
      <c r="JV108" s="637"/>
      <c r="JW108" s="637"/>
      <c r="JX108" s="637"/>
      <c r="JY108" s="637"/>
      <c r="JZ108" s="637"/>
      <c r="KA108" s="637"/>
      <c r="KB108" s="637"/>
      <c r="KC108" s="637"/>
      <c r="KD108" s="637"/>
      <c r="KE108" s="637"/>
      <c r="KF108" s="637"/>
      <c r="KG108" s="637"/>
      <c r="KH108" s="637"/>
      <c r="KI108" s="637"/>
      <c r="KJ108" s="637"/>
      <c r="KK108" s="637"/>
      <c r="KL108" s="637"/>
      <c r="KM108" s="637"/>
      <c r="KN108" s="637"/>
      <c r="KO108" s="637"/>
      <c r="KP108" s="637"/>
      <c r="KQ108" s="637"/>
      <c r="KR108" s="637"/>
      <c r="KS108" s="637"/>
      <c r="KT108" s="637"/>
      <c r="KU108" s="637"/>
      <c r="KV108" s="637"/>
      <c r="KW108" s="637"/>
      <c r="KX108" s="637"/>
      <c r="KY108" s="637"/>
      <c r="KZ108" s="637"/>
      <c r="LA108" s="637"/>
      <c r="LB108" s="637"/>
      <c r="LC108" s="637"/>
      <c r="LD108" s="637"/>
      <c r="LE108" s="637"/>
      <c r="LF108" s="637"/>
      <c r="LG108" s="637"/>
      <c r="LH108" s="637"/>
      <c r="LI108" s="637"/>
      <c r="LJ108" s="637"/>
      <c r="LK108" s="637"/>
      <c r="LL108" s="637"/>
      <c r="LM108" s="637"/>
      <c r="LN108" s="637"/>
      <c r="LO108" s="637"/>
      <c r="LP108" s="637"/>
      <c r="LQ108" s="637"/>
      <c r="LR108" s="637"/>
      <c r="LS108" s="637"/>
      <c r="LT108" s="637"/>
      <c r="LU108" s="637"/>
      <c r="LV108" s="637"/>
      <c r="LW108" s="637"/>
      <c r="LX108" s="637"/>
      <c r="LY108" s="637"/>
      <c r="LZ108" s="637"/>
      <c r="MA108" s="637"/>
      <c r="MB108" s="637"/>
      <c r="MC108" s="637"/>
      <c r="MD108" s="637"/>
      <c r="ME108" s="637"/>
      <c r="MF108" s="637"/>
      <c r="MG108" s="637"/>
      <c r="MH108" s="637"/>
      <c r="MI108" s="637"/>
      <c r="MJ108" s="637"/>
      <c r="MK108" s="637"/>
      <c r="ML108" s="637"/>
      <c r="MM108" s="637"/>
      <c r="MN108" s="637"/>
      <c r="MO108" s="637"/>
      <c r="MP108" s="637"/>
      <c r="MQ108" s="637"/>
      <c r="MR108" s="637"/>
      <c r="MS108" s="637"/>
      <c r="MT108" s="637"/>
      <c r="MU108" s="637"/>
      <c r="MV108" s="637"/>
      <c r="MW108" s="637"/>
      <c r="MX108" s="637"/>
      <c r="MY108" s="637"/>
      <c r="MZ108" s="637"/>
      <c r="NA108" s="637"/>
      <c r="NB108" s="637"/>
      <c r="NC108" s="637"/>
      <c r="ND108" s="637"/>
      <c r="NE108" s="637"/>
      <c r="NF108" s="637"/>
      <c r="NG108" s="637"/>
      <c r="NH108" s="637"/>
      <c r="NI108" s="637"/>
      <c r="NJ108" s="637"/>
      <c r="NK108" s="637"/>
      <c r="NL108" s="637"/>
      <c r="NM108" s="637"/>
      <c r="NN108" s="637"/>
      <c r="NO108" s="637"/>
      <c r="NP108" s="637"/>
      <c r="NQ108" s="637"/>
      <c r="NR108" s="637"/>
      <c r="NS108" s="637"/>
      <c r="NT108" s="637"/>
      <c r="NU108" s="637"/>
      <c r="NV108" s="637"/>
      <c r="NW108" s="637"/>
      <c r="NX108" s="637"/>
      <c r="NY108" s="637"/>
      <c r="NZ108" s="637"/>
      <c r="OA108" s="637"/>
      <c r="OB108" s="637"/>
      <c r="OC108" s="637"/>
      <c r="OD108" s="637"/>
      <c r="OE108" s="637"/>
      <c r="OF108" s="637"/>
      <c r="OG108" s="637"/>
      <c r="OH108" s="637"/>
      <c r="OI108" s="637"/>
      <c r="OJ108" s="637"/>
      <c r="OK108" s="637"/>
      <c r="OL108" s="637"/>
      <c r="OM108" s="637"/>
      <c r="ON108" s="637"/>
      <c r="OO108" s="637"/>
      <c r="OP108" s="637"/>
      <c r="OQ108" s="637"/>
      <c r="OR108" s="637"/>
      <c r="OS108" s="637"/>
      <c r="OT108" s="637"/>
      <c r="OU108" s="637"/>
      <c r="OV108" s="637"/>
      <c r="OW108" s="637"/>
      <c r="OX108" s="637"/>
      <c r="OY108" s="637"/>
      <c r="OZ108" s="637"/>
      <c r="PA108" s="637"/>
      <c r="PB108" s="637"/>
      <c r="PC108" s="637"/>
      <c r="PD108" s="637"/>
      <c r="PE108" s="637"/>
      <c r="PF108" s="637"/>
      <c r="PG108" s="637"/>
      <c r="PH108" s="637"/>
      <c r="PI108" s="637"/>
      <c r="PJ108" s="637"/>
      <c r="PK108" s="637"/>
      <c r="PL108" s="637"/>
      <c r="PM108" s="637"/>
      <c r="PN108" s="637"/>
      <c r="PO108" s="637"/>
      <c r="PP108" s="637"/>
      <c r="PQ108" s="637"/>
      <c r="PR108" s="637"/>
      <c r="PS108" s="637"/>
      <c r="PT108" s="637"/>
      <c r="PU108" s="637"/>
      <c r="PV108" s="637"/>
      <c r="PW108" s="637"/>
      <c r="PX108" s="637"/>
      <c r="PY108" s="637"/>
      <c r="PZ108" s="637"/>
      <c r="QA108" s="637"/>
      <c r="QB108" s="637"/>
      <c r="QC108" s="637"/>
      <c r="QD108" s="637"/>
      <c r="QE108" s="637"/>
      <c r="QF108" s="637"/>
      <c r="QG108" s="637"/>
      <c r="QH108" s="637"/>
      <c r="QI108" s="637"/>
      <c r="QJ108" s="637"/>
      <c r="QK108" s="637"/>
      <c r="QL108" s="637"/>
      <c r="QM108" s="637"/>
      <c r="QN108" s="637"/>
      <c r="QO108" s="637"/>
      <c r="QP108" s="637"/>
      <c r="QQ108" s="637"/>
      <c r="QR108" s="637"/>
      <c r="QS108" s="637"/>
      <c r="QT108" s="637"/>
      <c r="QU108" s="637"/>
      <c r="QV108" s="637"/>
      <c r="QW108" s="637"/>
      <c r="QX108" s="637"/>
      <c r="QY108" s="637"/>
      <c r="QZ108" s="637"/>
      <c r="RA108" s="637"/>
      <c r="RB108" s="637"/>
      <c r="RC108" s="637"/>
      <c r="RD108" s="637"/>
      <c r="RE108" s="637"/>
      <c r="RF108" s="637"/>
      <c r="RG108" s="637"/>
      <c r="RH108" s="637"/>
      <c r="RI108" s="637"/>
      <c r="RJ108" s="637"/>
      <c r="RK108" s="637"/>
      <c r="RL108" s="637"/>
      <c r="RM108" s="637"/>
      <c r="RN108" s="637"/>
      <c r="RO108" s="637"/>
      <c r="RP108" s="637"/>
      <c r="RQ108" s="637"/>
      <c r="RR108" s="637"/>
      <c r="RS108" s="637"/>
      <c r="RT108" s="637"/>
      <c r="RU108" s="637"/>
      <c r="RV108" s="637"/>
      <c r="RW108" s="637"/>
      <c r="RX108" s="637"/>
      <c r="RY108" s="637"/>
      <c r="RZ108" s="637"/>
      <c r="SA108" s="637"/>
      <c r="SB108" s="637"/>
      <c r="SC108" s="637"/>
      <c r="SD108" s="637"/>
      <c r="SE108" s="637"/>
      <c r="SF108" s="637"/>
      <c r="SG108" s="637"/>
      <c r="SH108" s="637"/>
      <c r="SI108" s="637"/>
      <c r="SJ108" s="637"/>
      <c r="SK108" s="637"/>
      <c r="SL108" s="637"/>
      <c r="SM108" s="637"/>
      <c r="SN108" s="637"/>
      <c r="SO108" s="637"/>
      <c r="SP108" s="637"/>
      <c r="SQ108" s="637"/>
      <c r="SR108" s="637"/>
      <c r="SS108" s="637"/>
      <c r="ST108" s="637"/>
      <c r="SU108" s="637"/>
      <c r="SV108" s="637"/>
      <c r="SW108" s="637"/>
      <c r="SX108" s="637"/>
      <c r="SY108" s="637"/>
      <c r="SZ108" s="637"/>
      <c r="TA108" s="637"/>
      <c r="TB108" s="637"/>
      <c r="TC108" s="637"/>
      <c r="TD108" s="637"/>
      <c r="TE108" s="637"/>
      <c r="TF108" s="637"/>
      <c r="TG108" s="637"/>
      <c r="TH108" s="637"/>
      <c r="TI108" s="637"/>
      <c r="TJ108" s="637"/>
      <c r="TK108" s="637"/>
      <c r="TL108" s="637"/>
      <c r="TM108" s="637"/>
      <c r="TN108" s="637"/>
      <c r="TO108" s="637"/>
      <c r="TP108" s="637"/>
      <c r="TQ108" s="637"/>
      <c r="TR108" s="637"/>
      <c r="TS108" s="637"/>
      <c r="TT108" s="637"/>
      <c r="TU108" s="637"/>
      <c r="TV108" s="637"/>
      <c r="TW108" s="637"/>
      <c r="TX108" s="637"/>
      <c r="TY108" s="637"/>
      <c r="TZ108" s="637"/>
      <c r="UA108" s="637"/>
      <c r="UB108" s="637"/>
      <c r="UC108" s="637"/>
      <c r="UD108" s="637"/>
      <c r="UE108" s="637"/>
      <c r="UF108" s="637"/>
      <c r="UG108" s="637"/>
      <c r="UH108" s="637"/>
      <c r="UI108" s="637"/>
      <c r="UJ108" s="637"/>
      <c r="UK108" s="637"/>
      <c r="UL108" s="637"/>
      <c r="UM108" s="637"/>
      <c r="UN108" s="637"/>
      <c r="UO108" s="637"/>
      <c r="UP108" s="637"/>
      <c r="UQ108" s="637"/>
      <c r="UR108" s="637"/>
      <c r="US108" s="637"/>
      <c r="UT108" s="637"/>
      <c r="UU108" s="637"/>
      <c r="UV108" s="637"/>
      <c r="UW108" s="637"/>
      <c r="UX108" s="637"/>
      <c r="UY108" s="637"/>
      <c r="UZ108" s="637"/>
      <c r="VA108" s="637"/>
      <c r="VB108" s="637"/>
      <c r="VC108" s="637"/>
      <c r="VD108" s="637"/>
      <c r="VE108" s="637"/>
      <c r="VF108" s="637"/>
      <c r="VG108" s="637"/>
      <c r="VH108" s="637"/>
      <c r="VI108" s="637"/>
      <c r="VJ108" s="637"/>
      <c r="VK108" s="637"/>
      <c r="VL108" s="637"/>
      <c r="VM108" s="637"/>
      <c r="VN108" s="637"/>
      <c r="VO108" s="637"/>
      <c r="VP108" s="637"/>
      <c r="VQ108" s="637"/>
      <c r="VR108" s="637"/>
      <c r="VS108" s="637"/>
      <c r="VT108" s="637"/>
      <c r="VU108" s="637"/>
      <c r="VV108" s="637"/>
      <c r="VW108" s="637"/>
      <c r="VX108" s="637"/>
      <c r="VY108" s="637"/>
      <c r="VZ108" s="637"/>
      <c r="WA108" s="637"/>
      <c r="WB108" s="637"/>
      <c r="WC108" s="637"/>
      <c r="WD108" s="637"/>
      <c r="WE108" s="637"/>
      <c r="WF108" s="637"/>
      <c r="WG108" s="637"/>
      <c r="WH108" s="637"/>
      <c r="WI108" s="637"/>
      <c r="WJ108" s="637"/>
      <c r="WK108" s="637"/>
      <c r="WL108" s="637"/>
      <c r="WM108" s="637"/>
      <c r="WN108" s="637"/>
      <c r="WO108" s="637"/>
      <c r="WP108" s="637"/>
      <c r="WQ108" s="637"/>
      <c r="WR108" s="637"/>
      <c r="WS108" s="637"/>
      <c r="WT108" s="637"/>
      <c r="WU108" s="637"/>
      <c r="WV108" s="637"/>
      <c r="WW108" s="637"/>
      <c r="WX108" s="637"/>
      <c r="WY108" s="637"/>
      <c r="WZ108" s="637"/>
      <c r="XA108" s="637"/>
      <c r="XB108" s="637"/>
      <c r="XC108" s="637"/>
      <c r="XD108" s="637"/>
      <c r="XE108" s="637"/>
      <c r="XF108" s="637"/>
      <c r="XG108" s="637"/>
      <c r="XH108" s="637"/>
      <c r="XI108" s="637"/>
      <c r="XJ108" s="637"/>
      <c r="XK108" s="637"/>
      <c r="XL108" s="637"/>
      <c r="XM108" s="637"/>
      <c r="XN108" s="637"/>
      <c r="XO108" s="637"/>
      <c r="XP108" s="637"/>
      <c r="XQ108" s="637"/>
      <c r="XR108" s="637"/>
      <c r="XS108" s="637"/>
      <c r="XT108" s="637"/>
      <c r="XU108" s="637"/>
      <c r="XV108" s="637"/>
      <c r="XW108" s="637"/>
      <c r="XX108" s="637"/>
      <c r="XY108" s="637"/>
      <c r="XZ108" s="637"/>
      <c r="YA108" s="637"/>
      <c r="YB108" s="637"/>
      <c r="YC108" s="637"/>
      <c r="YD108" s="637"/>
      <c r="YE108" s="637"/>
      <c r="YF108" s="637"/>
      <c r="YG108" s="637"/>
      <c r="YH108" s="637"/>
      <c r="YI108" s="637"/>
      <c r="YJ108" s="637"/>
      <c r="YK108" s="637"/>
      <c r="YL108" s="637"/>
      <c r="YM108" s="637"/>
      <c r="YN108" s="637"/>
      <c r="YO108" s="637"/>
      <c r="YP108" s="637"/>
      <c r="YQ108" s="637"/>
      <c r="YR108" s="637"/>
      <c r="YS108" s="637"/>
      <c r="YT108" s="637"/>
      <c r="YU108" s="637"/>
      <c r="YV108" s="637"/>
      <c r="YW108" s="637"/>
      <c r="YX108" s="637"/>
      <c r="YY108" s="637"/>
      <c r="YZ108" s="637"/>
      <c r="ZA108" s="637"/>
      <c r="ZB108" s="637"/>
      <c r="ZC108" s="637"/>
      <c r="ZD108" s="637"/>
      <c r="ZE108" s="637"/>
      <c r="ZF108" s="637"/>
      <c r="ZG108" s="637"/>
      <c r="ZH108" s="637"/>
      <c r="ZI108" s="637"/>
      <c r="ZJ108" s="637"/>
      <c r="ZK108" s="637"/>
      <c r="ZL108" s="637"/>
      <c r="ZM108" s="637"/>
      <c r="ZN108" s="637"/>
      <c r="ZO108" s="637"/>
      <c r="ZP108" s="637"/>
      <c r="ZQ108" s="637"/>
      <c r="ZR108" s="637"/>
      <c r="ZS108" s="637"/>
      <c r="ZT108" s="637"/>
      <c r="ZU108" s="637"/>
      <c r="ZV108" s="637"/>
      <c r="ZW108" s="637"/>
      <c r="ZX108" s="637"/>
      <c r="ZY108" s="637"/>
      <c r="ZZ108" s="637"/>
      <c r="AAA108" s="637"/>
      <c r="AAB108" s="637"/>
      <c r="AAC108" s="637"/>
      <c r="AAD108" s="637"/>
      <c r="AAE108" s="637"/>
      <c r="AAF108" s="637"/>
      <c r="AAG108" s="637"/>
      <c r="AAH108" s="637"/>
      <c r="AAI108" s="637"/>
      <c r="AAJ108" s="637"/>
      <c r="AAK108" s="637"/>
      <c r="AAL108" s="637"/>
      <c r="AAM108" s="637"/>
      <c r="AAN108" s="637"/>
      <c r="AAO108" s="637"/>
      <c r="AAP108" s="637"/>
      <c r="AAQ108" s="637"/>
      <c r="AAR108" s="637"/>
      <c r="AAS108" s="637"/>
      <c r="AAT108" s="637"/>
      <c r="AAU108" s="637"/>
      <c r="AAV108" s="637"/>
      <c r="AAW108" s="637"/>
      <c r="AAX108" s="637"/>
      <c r="AAY108" s="637"/>
      <c r="AAZ108" s="637"/>
      <c r="ABA108" s="637"/>
      <c r="ABB108" s="637"/>
      <c r="ABC108" s="637"/>
      <c r="ABD108" s="637"/>
      <c r="ABE108" s="637"/>
      <c r="ABF108" s="637"/>
      <c r="ABG108" s="637"/>
      <c r="ABH108" s="637"/>
      <c r="ABI108" s="637"/>
      <c r="ABJ108" s="637"/>
      <c r="ABK108" s="637"/>
      <c r="ABL108" s="637"/>
      <c r="ABM108" s="637"/>
      <c r="ABN108" s="637"/>
      <c r="ABO108" s="637"/>
      <c r="ABP108" s="637"/>
      <c r="ABQ108" s="637"/>
      <c r="ABR108" s="637"/>
      <c r="ABS108" s="637"/>
      <c r="ABT108" s="637"/>
      <c r="ABU108" s="637"/>
      <c r="ABV108" s="637"/>
      <c r="ABW108" s="637"/>
      <c r="ABX108" s="637"/>
      <c r="ABY108" s="637"/>
      <c r="ABZ108" s="637"/>
      <c r="ACA108" s="637"/>
      <c r="ACB108" s="637"/>
      <c r="ACC108" s="637"/>
      <c r="ACD108" s="637"/>
      <c r="ACE108" s="637"/>
      <c r="ACF108" s="637"/>
      <c r="ACG108" s="637"/>
      <c r="ACH108" s="637"/>
      <c r="ACI108" s="637"/>
      <c r="ACJ108" s="637"/>
      <c r="ACK108" s="637"/>
      <c r="ACL108" s="637"/>
      <c r="ACM108" s="637"/>
      <c r="ACN108" s="637"/>
      <c r="ACO108" s="637"/>
      <c r="ACP108" s="637"/>
      <c r="ACQ108" s="637"/>
      <c r="ACR108" s="637"/>
      <c r="ACS108" s="637"/>
      <c r="ACT108" s="637"/>
      <c r="ACU108" s="637"/>
      <c r="ACV108" s="637"/>
      <c r="ACW108" s="637"/>
      <c r="ACX108" s="637"/>
      <c r="ACY108" s="637"/>
      <c r="ACZ108" s="637"/>
      <c r="ADA108" s="637"/>
      <c r="ADB108" s="637"/>
      <c r="ADC108" s="637"/>
      <c r="ADD108" s="637"/>
      <c r="ADE108" s="637"/>
      <c r="ADF108" s="637"/>
      <c r="ADG108" s="637"/>
      <c r="ADH108" s="637"/>
      <c r="ADI108" s="637"/>
      <c r="ADJ108" s="637"/>
      <c r="ADK108" s="637"/>
      <c r="ADL108" s="637"/>
      <c r="ADM108" s="637"/>
      <c r="ADN108" s="637"/>
      <c r="ADO108" s="637"/>
      <c r="ADP108" s="637"/>
      <c r="ADQ108" s="637"/>
      <c r="ADR108" s="637"/>
      <c r="ADS108" s="637"/>
      <c r="ADT108" s="637"/>
      <c r="ADU108" s="637"/>
      <c r="ADV108" s="637"/>
      <c r="ADW108" s="637"/>
      <c r="ADX108" s="637"/>
      <c r="ADY108" s="637"/>
      <c r="ADZ108" s="637"/>
      <c r="AEA108" s="637"/>
      <c r="AEB108" s="637"/>
      <c r="AEC108" s="637"/>
      <c r="AED108" s="637"/>
      <c r="AEE108" s="637"/>
      <c r="AEF108" s="637"/>
      <c r="AEG108" s="637"/>
      <c r="AEH108" s="637"/>
      <c r="AEI108" s="637"/>
      <c r="AEJ108" s="637"/>
      <c r="AEK108" s="637"/>
      <c r="AEL108" s="637"/>
      <c r="AEM108" s="637"/>
      <c r="AEN108" s="637"/>
      <c r="AEO108" s="637"/>
      <c r="AEP108" s="637"/>
      <c r="AEQ108" s="637"/>
      <c r="AER108" s="637"/>
      <c r="AES108" s="637"/>
      <c r="AET108" s="637"/>
      <c r="AEU108" s="637"/>
      <c r="AEV108" s="637"/>
      <c r="AEW108" s="637"/>
      <c r="AEX108" s="637"/>
      <c r="AEY108" s="637"/>
      <c r="AEZ108" s="637"/>
      <c r="AFA108" s="637"/>
      <c r="AFB108" s="637"/>
      <c r="AFC108" s="637"/>
      <c r="AFD108" s="637"/>
      <c r="AFE108" s="637"/>
      <c r="AFF108" s="637"/>
      <c r="AFG108" s="637"/>
      <c r="AFH108" s="637"/>
      <c r="AFI108" s="637"/>
      <c r="AFJ108" s="637"/>
      <c r="AFK108" s="637"/>
      <c r="AFL108" s="637"/>
      <c r="AFM108" s="637"/>
      <c r="AFN108" s="637"/>
      <c r="AFO108" s="637"/>
      <c r="AFP108" s="637"/>
      <c r="AFQ108" s="637"/>
      <c r="AFR108" s="637"/>
      <c r="AFS108" s="637"/>
      <c r="AFT108" s="637"/>
      <c r="AFU108" s="637"/>
      <c r="AFV108" s="637"/>
      <c r="AFW108" s="637"/>
      <c r="AFX108" s="637"/>
      <c r="AFY108" s="637"/>
      <c r="AFZ108" s="637"/>
      <c r="AGA108" s="637"/>
      <c r="AGB108" s="637"/>
      <c r="AGC108" s="637"/>
      <c r="AGD108" s="637"/>
      <c r="AGE108" s="637"/>
      <c r="AGF108" s="637"/>
      <c r="AGG108" s="637"/>
      <c r="AGH108" s="637"/>
      <c r="AGI108" s="637"/>
      <c r="AGJ108" s="637"/>
      <c r="AGK108" s="637"/>
      <c r="AGL108" s="637"/>
      <c r="AGM108" s="637"/>
      <c r="AGN108" s="637"/>
      <c r="AGO108" s="637"/>
      <c r="AGP108" s="637"/>
      <c r="AGQ108" s="637"/>
      <c r="AGR108" s="637"/>
      <c r="AGS108" s="637"/>
      <c r="AGT108" s="637"/>
      <c r="AGU108" s="637"/>
      <c r="AGV108" s="637"/>
      <c r="AGW108" s="637"/>
      <c r="AGX108" s="637"/>
      <c r="AGY108" s="637"/>
      <c r="AGZ108" s="637"/>
      <c r="AHA108" s="637"/>
      <c r="AHB108" s="637"/>
      <c r="AHC108" s="637"/>
      <c r="AHD108" s="637"/>
      <c r="AHE108" s="637"/>
      <c r="AHF108" s="637"/>
      <c r="AHG108" s="637"/>
      <c r="AHH108" s="637"/>
      <c r="AHI108" s="637"/>
      <c r="AHJ108" s="637"/>
      <c r="AHK108" s="637"/>
      <c r="AHL108" s="637"/>
      <c r="AHM108" s="637"/>
      <c r="AHN108" s="637"/>
      <c r="AHO108" s="637"/>
      <c r="AHP108" s="637"/>
      <c r="AHQ108" s="637"/>
      <c r="AHR108" s="637"/>
      <c r="AHS108" s="637"/>
      <c r="AHT108" s="637"/>
      <c r="AHU108" s="637"/>
      <c r="AHV108" s="637"/>
      <c r="AHW108" s="637"/>
      <c r="AHX108" s="637"/>
      <c r="AHY108" s="637"/>
      <c r="AHZ108" s="637"/>
      <c r="AIA108" s="637"/>
      <c r="AIB108" s="637"/>
      <c r="AIC108" s="637"/>
      <c r="AID108" s="637"/>
      <c r="AIE108" s="637"/>
      <c r="AIF108" s="637"/>
      <c r="AIG108" s="637"/>
      <c r="AIH108" s="637"/>
      <c r="AII108" s="637"/>
      <c r="AIJ108" s="637"/>
      <c r="AIK108" s="637"/>
      <c r="AIL108" s="637"/>
      <c r="AIM108" s="637"/>
      <c r="AIN108" s="637"/>
      <c r="AIO108" s="637"/>
      <c r="AIP108" s="637"/>
      <c r="AIQ108" s="637"/>
      <c r="AIR108" s="637"/>
      <c r="AIS108" s="637"/>
      <c r="AIT108" s="637"/>
      <c r="AIU108" s="637"/>
      <c r="AIV108" s="637"/>
      <c r="AIW108" s="637"/>
      <c r="AIX108" s="637"/>
      <c r="AIY108" s="637"/>
      <c r="AIZ108" s="637"/>
      <c r="AJA108" s="637"/>
      <c r="AJB108" s="637"/>
      <c r="AJC108" s="637"/>
      <c r="AJD108" s="637"/>
      <c r="AJE108" s="637"/>
      <c r="AJF108" s="637"/>
      <c r="AJG108" s="637"/>
      <c r="AJH108" s="637"/>
      <c r="AJI108" s="637"/>
      <c r="AJJ108" s="637"/>
      <c r="AJK108" s="637"/>
      <c r="AJL108" s="637"/>
      <c r="AJM108" s="637"/>
      <c r="AJN108" s="637"/>
      <c r="AJO108" s="637"/>
      <c r="AJP108" s="637"/>
      <c r="AJQ108" s="637"/>
      <c r="AJR108" s="637"/>
      <c r="AJS108" s="637"/>
      <c r="AJT108" s="637"/>
      <c r="AJU108" s="637"/>
      <c r="AJV108" s="637"/>
      <c r="AJW108" s="637"/>
      <c r="AJX108" s="637"/>
      <c r="AJY108" s="637"/>
      <c r="AJZ108" s="637"/>
      <c r="AKA108" s="637"/>
      <c r="AKB108" s="637"/>
      <c r="AKC108" s="637"/>
      <c r="AKD108" s="637"/>
      <c r="AKE108" s="637"/>
      <c r="AKF108" s="637"/>
      <c r="AKG108" s="637"/>
      <c r="AKH108" s="637"/>
      <c r="AKI108" s="637"/>
      <c r="AKJ108" s="637"/>
      <c r="AKK108" s="637"/>
      <c r="AKL108" s="637"/>
      <c r="AKM108" s="637"/>
      <c r="AKN108" s="637"/>
      <c r="AKO108" s="637"/>
      <c r="AKP108" s="637"/>
      <c r="AKQ108" s="637"/>
      <c r="AKR108" s="637"/>
      <c r="AKS108" s="637"/>
      <c r="AKT108" s="637"/>
      <c r="AKU108" s="637"/>
      <c r="AKV108" s="637"/>
      <c r="AKW108" s="637"/>
      <c r="AKX108" s="637"/>
      <c r="AKY108" s="637"/>
      <c r="AKZ108" s="637"/>
      <c r="ALA108" s="637"/>
      <c r="ALB108" s="637"/>
      <c r="ALC108" s="637"/>
      <c r="ALD108" s="637"/>
      <c r="ALE108" s="637"/>
      <c r="ALF108" s="637"/>
      <c r="ALG108" s="637"/>
      <c r="ALH108" s="637"/>
      <c r="ALI108" s="637"/>
      <c r="ALJ108" s="637"/>
      <c r="ALK108" s="637"/>
      <c r="ALL108" s="637"/>
      <c r="ALM108" s="637"/>
      <c r="ALN108" s="637"/>
      <c r="ALO108" s="637"/>
      <c r="ALP108" s="637"/>
      <c r="ALQ108" s="637"/>
      <c r="ALR108" s="637"/>
      <c r="ALS108" s="637"/>
      <c r="ALT108" s="637"/>
      <c r="ALU108" s="637"/>
      <c r="ALV108" s="637"/>
      <c r="ALW108" s="637"/>
      <c r="ALX108" s="637"/>
      <c r="ALY108" s="637"/>
      <c r="ALZ108" s="637"/>
      <c r="AMA108" s="637"/>
      <c r="AMB108" s="637"/>
      <c r="AMC108" s="637"/>
      <c r="AMD108" s="637"/>
      <c r="AME108" s="637"/>
      <c r="AMF108" s="637"/>
      <c r="AMG108" s="637"/>
      <c r="AMH108" s="637"/>
      <c r="AMI108" s="637"/>
      <c r="AMJ108" s="637"/>
    </row>
    <row r="109" spans="1:1024" s="638" customFormat="1" ht="12.75">
      <c r="A109" s="984"/>
      <c r="B109" s="985"/>
      <c r="C109" s="986"/>
      <c r="D109" s="981" t="s">
        <v>1041</v>
      </c>
      <c r="E109" s="982">
        <v>4626</v>
      </c>
      <c r="F109" s="982">
        <f t="shared" si="13"/>
        <v>12576</v>
      </c>
      <c r="G109" s="987">
        <v>8355</v>
      </c>
      <c r="H109" s="987">
        <v>2617</v>
      </c>
      <c r="I109" s="987">
        <v>1604</v>
      </c>
      <c r="J109" s="987"/>
      <c r="K109" s="987"/>
      <c r="L109" s="987"/>
      <c r="M109" s="987"/>
      <c r="N109" s="987"/>
      <c r="O109" s="1013"/>
      <c r="P109" s="987"/>
      <c r="Q109" s="987"/>
      <c r="R109" s="984"/>
      <c r="S109" s="637"/>
      <c r="T109" s="637"/>
      <c r="U109" s="637"/>
      <c r="V109" s="637"/>
      <c r="W109" s="637"/>
      <c r="X109" s="637"/>
      <c r="Y109" s="637"/>
      <c r="Z109" s="637"/>
      <c r="AA109" s="637"/>
      <c r="AB109" s="637"/>
      <c r="AC109" s="637"/>
      <c r="AD109" s="637"/>
      <c r="AE109" s="637"/>
      <c r="AF109" s="637"/>
      <c r="AG109" s="637"/>
      <c r="AH109" s="637"/>
      <c r="AI109" s="637"/>
      <c r="AJ109" s="637"/>
      <c r="AK109" s="637"/>
      <c r="AL109" s="637"/>
      <c r="AM109" s="637"/>
      <c r="AN109" s="637"/>
      <c r="AO109" s="637"/>
      <c r="AP109" s="637"/>
      <c r="AQ109" s="637"/>
      <c r="AR109" s="637"/>
      <c r="AS109" s="637"/>
      <c r="AT109" s="637"/>
      <c r="AU109" s="637"/>
      <c r="AV109" s="637"/>
      <c r="AW109" s="637"/>
      <c r="AX109" s="637"/>
      <c r="AY109" s="637"/>
      <c r="AZ109" s="637"/>
      <c r="BA109" s="637"/>
      <c r="BB109" s="637"/>
      <c r="BC109" s="637"/>
      <c r="BD109" s="637"/>
      <c r="BE109" s="637"/>
      <c r="BF109" s="637"/>
      <c r="BG109" s="637"/>
      <c r="BH109" s="637"/>
      <c r="BI109" s="637"/>
      <c r="BJ109" s="637"/>
      <c r="BK109" s="637"/>
      <c r="BL109" s="637"/>
      <c r="BM109" s="637"/>
      <c r="BN109" s="637"/>
      <c r="BO109" s="637"/>
      <c r="BP109" s="637"/>
      <c r="BQ109" s="637"/>
      <c r="BR109" s="637"/>
      <c r="BS109" s="637"/>
      <c r="BT109" s="637"/>
      <c r="BU109" s="637"/>
      <c r="BV109" s="637"/>
      <c r="BW109" s="637"/>
      <c r="BX109" s="637"/>
      <c r="BY109" s="637"/>
      <c r="BZ109" s="637"/>
      <c r="CA109" s="637"/>
      <c r="CB109" s="637"/>
      <c r="CC109" s="637"/>
      <c r="CD109" s="637"/>
      <c r="CE109" s="637"/>
      <c r="CF109" s="637"/>
      <c r="CG109" s="637"/>
      <c r="CH109" s="637"/>
      <c r="CI109" s="637"/>
      <c r="CJ109" s="637"/>
      <c r="CK109" s="637"/>
      <c r="CL109" s="637"/>
      <c r="CM109" s="637"/>
      <c r="CN109" s="637"/>
      <c r="CO109" s="637"/>
      <c r="CP109" s="637"/>
      <c r="CQ109" s="637"/>
      <c r="CR109" s="637"/>
      <c r="CS109" s="637"/>
      <c r="CT109" s="637"/>
      <c r="CU109" s="637"/>
      <c r="CV109" s="637"/>
      <c r="CW109" s="637"/>
      <c r="CX109" s="637"/>
      <c r="CY109" s="637"/>
      <c r="CZ109" s="637"/>
      <c r="DA109" s="637"/>
      <c r="DB109" s="637"/>
      <c r="DC109" s="637"/>
      <c r="DD109" s="637"/>
      <c r="DE109" s="637"/>
      <c r="DF109" s="637"/>
      <c r="DG109" s="637"/>
      <c r="DH109" s="637"/>
      <c r="DI109" s="637"/>
      <c r="DJ109" s="637"/>
      <c r="DK109" s="637"/>
      <c r="DL109" s="637"/>
      <c r="DM109" s="637"/>
      <c r="DN109" s="637"/>
      <c r="DO109" s="637"/>
      <c r="DP109" s="637"/>
      <c r="DQ109" s="637"/>
      <c r="DR109" s="637"/>
      <c r="DS109" s="637"/>
      <c r="DT109" s="637"/>
      <c r="DU109" s="637"/>
      <c r="DV109" s="637"/>
      <c r="DW109" s="637"/>
      <c r="DX109" s="637"/>
      <c r="DY109" s="637"/>
      <c r="DZ109" s="637"/>
      <c r="EA109" s="637"/>
      <c r="EB109" s="637"/>
      <c r="EC109" s="637"/>
      <c r="ED109" s="637"/>
      <c r="EE109" s="637"/>
      <c r="EF109" s="637"/>
      <c r="EG109" s="637"/>
      <c r="EH109" s="637"/>
      <c r="EI109" s="637"/>
      <c r="EJ109" s="637"/>
      <c r="EK109" s="637"/>
      <c r="EL109" s="637"/>
      <c r="EM109" s="637"/>
      <c r="EN109" s="637"/>
      <c r="EO109" s="637"/>
      <c r="EP109" s="637"/>
      <c r="EQ109" s="637"/>
      <c r="ER109" s="637"/>
      <c r="ES109" s="637"/>
      <c r="ET109" s="637"/>
      <c r="EU109" s="637"/>
      <c r="EV109" s="637"/>
      <c r="EW109" s="637"/>
      <c r="EX109" s="637"/>
      <c r="EY109" s="637"/>
      <c r="EZ109" s="637"/>
      <c r="FA109" s="637"/>
      <c r="FB109" s="637"/>
      <c r="FC109" s="637"/>
      <c r="FD109" s="637"/>
      <c r="FE109" s="637"/>
      <c r="FF109" s="637"/>
      <c r="FG109" s="637"/>
      <c r="FH109" s="637"/>
      <c r="FI109" s="637"/>
      <c r="FJ109" s="637"/>
      <c r="FK109" s="637"/>
      <c r="FL109" s="637"/>
      <c r="FM109" s="637"/>
      <c r="FN109" s="637"/>
      <c r="FO109" s="637"/>
      <c r="FP109" s="637"/>
      <c r="FQ109" s="637"/>
      <c r="FR109" s="637"/>
      <c r="FS109" s="637"/>
      <c r="FT109" s="637"/>
      <c r="FU109" s="637"/>
      <c r="FV109" s="637"/>
      <c r="FW109" s="637"/>
      <c r="FX109" s="637"/>
      <c r="FY109" s="637"/>
      <c r="FZ109" s="637"/>
      <c r="GA109" s="637"/>
      <c r="GB109" s="637"/>
      <c r="GC109" s="637"/>
      <c r="GD109" s="637"/>
      <c r="GE109" s="637"/>
      <c r="GF109" s="637"/>
      <c r="GG109" s="637"/>
      <c r="GH109" s="637"/>
      <c r="GI109" s="637"/>
      <c r="GJ109" s="637"/>
      <c r="GK109" s="637"/>
      <c r="GL109" s="637"/>
      <c r="GM109" s="637"/>
      <c r="GN109" s="637"/>
      <c r="GO109" s="637"/>
      <c r="GP109" s="637"/>
      <c r="GQ109" s="637"/>
      <c r="GR109" s="637"/>
      <c r="GS109" s="637"/>
      <c r="GT109" s="637"/>
      <c r="GU109" s="637"/>
      <c r="GV109" s="637"/>
      <c r="GW109" s="637"/>
      <c r="GX109" s="637"/>
      <c r="GY109" s="637"/>
      <c r="GZ109" s="637"/>
      <c r="HA109" s="637"/>
      <c r="HB109" s="637"/>
      <c r="HC109" s="637"/>
      <c r="HD109" s="637"/>
      <c r="HE109" s="637"/>
      <c r="HF109" s="637"/>
      <c r="HG109" s="637"/>
      <c r="HH109" s="637"/>
      <c r="HI109" s="637"/>
      <c r="HJ109" s="637"/>
      <c r="HK109" s="637"/>
      <c r="HL109" s="637"/>
      <c r="HM109" s="637"/>
      <c r="HN109" s="637"/>
      <c r="HO109" s="637"/>
      <c r="HP109" s="637"/>
      <c r="HQ109" s="637"/>
      <c r="HR109" s="637"/>
      <c r="HS109" s="637"/>
      <c r="HT109" s="637"/>
      <c r="HU109" s="637"/>
      <c r="HV109" s="637"/>
      <c r="HW109" s="637"/>
      <c r="HX109" s="637"/>
      <c r="HY109" s="637"/>
      <c r="HZ109" s="637"/>
      <c r="IA109" s="637"/>
      <c r="IB109" s="637"/>
      <c r="IC109" s="637"/>
      <c r="ID109" s="637"/>
      <c r="IE109" s="637"/>
      <c r="IF109" s="637"/>
      <c r="IG109" s="637"/>
      <c r="IH109" s="637"/>
      <c r="II109" s="637"/>
      <c r="IJ109" s="637"/>
      <c r="IK109" s="637"/>
      <c r="IL109" s="637"/>
      <c r="IM109" s="637"/>
      <c r="IN109" s="637"/>
      <c r="IO109" s="637"/>
      <c r="IP109" s="637"/>
      <c r="IQ109" s="637"/>
      <c r="IR109" s="637"/>
      <c r="IS109" s="637"/>
      <c r="IT109" s="637"/>
      <c r="IU109" s="637"/>
      <c r="IV109" s="637"/>
      <c r="IW109" s="637"/>
      <c r="IX109" s="637"/>
      <c r="IY109" s="637"/>
      <c r="IZ109" s="637"/>
      <c r="JA109" s="637"/>
      <c r="JB109" s="637"/>
      <c r="JC109" s="637"/>
      <c r="JD109" s="637"/>
      <c r="JE109" s="637"/>
      <c r="JF109" s="637"/>
      <c r="JG109" s="637"/>
      <c r="JH109" s="637"/>
      <c r="JI109" s="637"/>
      <c r="JJ109" s="637"/>
      <c r="JK109" s="637"/>
      <c r="JL109" s="637"/>
      <c r="JM109" s="637"/>
      <c r="JN109" s="637"/>
      <c r="JO109" s="637"/>
      <c r="JP109" s="637"/>
      <c r="JQ109" s="637"/>
      <c r="JR109" s="637"/>
      <c r="JS109" s="637"/>
      <c r="JT109" s="637"/>
      <c r="JU109" s="637"/>
      <c r="JV109" s="637"/>
      <c r="JW109" s="637"/>
      <c r="JX109" s="637"/>
      <c r="JY109" s="637"/>
      <c r="JZ109" s="637"/>
      <c r="KA109" s="637"/>
      <c r="KB109" s="637"/>
      <c r="KC109" s="637"/>
      <c r="KD109" s="637"/>
      <c r="KE109" s="637"/>
      <c r="KF109" s="637"/>
      <c r="KG109" s="637"/>
      <c r="KH109" s="637"/>
      <c r="KI109" s="637"/>
      <c r="KJ109" s="637"/>
      <c r="KK109" s="637"/>
      <c r="KL109" s="637"/>
      <c r="KM109" s="637"/>
      <c r="KN109" s="637"/>
      <c r="KO109" s="637"/>
      <c r="KP109" s="637"/>
      <c r="KQ109" s="637"/>
      <c r="KR109" s="637"/>
      <c r="KS109" s="637"/>
      <c r="KT109" s="637"/>
      <c r="KU109" s="637"/>
      <c r="KV109" s="637"/>
      <c r="KW109" s="637"/>
      <c r="KX109" s="637"/>
      <c r="KY109" s="637"/>
      <c r="KZ109" s="637"/>
      <c r="LA109" s="637"/>
      <c r="LB109" s="637"/>
      <c r="LC109" s="637"/>
      <c r="LD109" s="637"/>
      <c r="LE109" s="637"/>
      <c r="LF109" s="637"/>
      <c r="LG109" s="637"/>
      <c r="LH109" s="637"/>
      <c r="LI109" s="637"/>
      <c r="LJ109" s="637"/>
      <c r="LK109" s="637"/>
      <c r="LL109" s="637"/>
      <c r="LM109" s="637"/>
      <c r="LN109" s="637"/>
      <c r="LO109" s="637"/>
      <c r="LP109" s="637"/>
      <c r="LQ109" s="637"/>
      <c r="LR109" s="637"/>
      <c r="LS109" s="637"/>
      <c r="LT109" s="637"/>
      <c r="LU109" s="637"/>
      <c r="LV109" s="637"/>
      <c r="LW109" s="637"/>
      <c r="LX109" s="637"/>
      <c r="LY109" s="637"/>
      <c r="LZ109" s="637"/>
      <c r="MA109" s="637"/>
      <c r="MB109" s="637"/>
      <c r="MC109" s="637"/>
      <c r="MD109" s="637"/>
      <c r="ME109" s="637"/>
      <c r="MF109" s="637"/>
      <c r="MG109" s="637"/>
      <c r="MH109" s="637"/>
      <c r="MI109" s="637"/>
      <c r="MJ109" s="637"/>
      <c r="MK109" s="637"/>
      <c r="ML109" s="637"/>
      <c r="MM109" s="637"/>
      <c r="MN109" s="637"/>
      <c r="MO109" s="637"/>
      <c r="MP109" s="637"/>
      <c r="MQ109" s="637"/>
      <c r="MR109" s="637"/>
      <c r="MS109" s="637"/>
      <c r="MT109" s="637"/>
      <c r="MU109" s="637"/>
      <c r="MV109" s="637"/>
      <c r="MW109" s="637"/>
      <c r="MX109" s="637"/>
      <c r="MY109" s="637"/>
      <c r="MZ109" s="637"/>
      <c r="NA109" s="637"/>
      <c r="NB109" s="637"/>
      <c r="NC109" s="637"/>
      <c r="ND109" s="637"/>
      <c r="NE109" s="637"/>
      <c r="NF109" s="637"/>
      <c r="NG109" s="637"/>
      <c r="NH109" s="637"/>
      <c r="NI109" s="637"/>
      <c r="NJ109" s="637"/>
      <c r="NK109" s="637"/>
      <c r="NL109" s="637"/>
      <c r="NM109" s="637"/>
      <c r="NN109" s="637"/>
      <c r="NO109" s="637"/>
      <c r="NP109" s="637"/>
      <c r="NQ109" s="637"/>
      <c r="NR109" s="637"/>
      <c r="NS109" s="637"/>
      <c r="NT109" s="637"/>
      <c r="NU109" s="637"/>
      <c r="NV109" s="637"/>
      <c r="NW109" s="637"/>
      <c r="NX109" s="637"/>
      <c r="NY109" s="637"/>
      <c r="NZ109" s="637"/>
      <c r="OA109" s="637"/>
      <c r="OB109" s="637"/>
      <c r="OC109" s="637"/>
      <c r="OD109" s="637"/>
      <c r="OE109" s="637"/>
      <c r="OF109" s="637"/>
      <c r="OG109" s="637"/>
      <c r="OH109" s="637"/>
      <c r="OI109" s="637"/>
      <c r="OJ109" s="637"/>
      <c r="OK109" s="637"/>
      <c r="OL109" s="637"/>
      <c r="OM109" s="637"/>
      <c r="ON109" s="637"/>
      <c r="OO109" s="637"/>
      <c r="OP109" s="637"/>
      <c r="OQ109" s="637"/>
      <c r="OR109" s="637"/>
      <c r="OS109" s="637"/>
      <c r="OT109" s="637"/>
      <c r="OU109" s="637"/>
      <c r="OV109" s="637"/>
      <c r="OW109" s="637"/>
      <c r="OX109" s="637"/>
      <c r="OY109" s="637"/>
      <c r="OZ109" s="637"/>
      <c r="PA109" s="637"/>
      <c r="PB109" s="637"/>
      <c r="PC109" s="637"/>
      <c r="PD109" s="637"/>
      <c r="PE109" s="637"/>
      <c r="PF109" s="637"/>
      <c r="PG109" s="637"/>
      <c r="PH109" s="637"/>
      <c r="PI109" s="637"/>
      <c r="PJ109" s="637"/>
      <c r="PK109" s="637"/>
      <c r="PL109" s="637"/>
      <c r="PM109" s="637"/>
      <c r="PN109" s="637"/>
      <c r="PO109" s="637"/>
      <c r="PP109" s="637"/>
      <c r="PQ109" s="637"/>
      <c r="PR109" s="637"/>
      <c r="PS109" s="637"/>
      <c r="PT109" s="637"/>
      <c r="PU109" s="637"/>
      <c r="PV109" s="637"/>
      <c r="PW109" s="637"/>
      <c r="PX109" s="637"/>
      <c r="PY109" s="637"/>
      <c r="PZ109" s="637"/>
      <c r="QA109" s="637"/>
      <c r="QB109" s="637"/>
      <c r="QC109" s="637"/>
      <c r="QD109" s="637"/>
      <c r="QE109" s="637"/>
      <c r="QF109" s="637"/>
      <c r="QG109" s="637"/>
      <c r="QH109" s="637"/>
      <c r="QI109" s="637"/>
      <c r="QJ109" s="637"/>
      <c r="QK109" s="637"/>
      <c r="QL109" s="637"/>
      <c r="QM109" s="637"/>
      <c r="QN109" s="637"/>
      <c r="QO109" s="637"/>
      <c r="QP109" s="637"/>
      <c r="QQ109" s="637"/>
      <c r="QR109" s="637"/>
      <c r="QS109" s="637"/>
      <c r="QT109" s="637"/>
      <c r="QU109" s="637"/>
      <c r="QV109" s="637"/>
      <c r="QW109" s="637"/>
      <c r="QX109" s="637"/>
      <c r="QY109" s="637"/>
      <c r="QZ109" s="637"/>
      <c r="RA109" s="637"/>
      <c r="RB109" s="637"/>
      <c r="RC109" s="637"/>
      <c r="RD109" s="637"/>
      <c r="RE109" s="637"/>
      <c r="RF109" s="637"/>
      <c r="RG109" s="637"/>
      <c r="RH109" s="637"/>
      <c r="RI109" s="637"/>
      <c r="RJ109" s="637"/>
      <c r="RK109" s="637"/>
      <c r="RL109" s="637"/>
      <c r="RM109" s="637"/>
      <c r="RN109" s="637"/>
      <c r="RO109" s="637"/>
      <c r="RP109" s="637"/>
      <c r="RQ109" s="637"/>
      <c r="RR109" s="637"/>
      <c r="RS109" s="637"/>
      <c r="RT109" s="637"/>
      <c r="RU109" s="637"/>
      <c r="RV109" s="637"/>
      <c r="RW109" s="637"/>
      <c r="RX109" s="637"/>
      <c r="RY109" s="637"/>
      <c r="RZ109" s="637"/>
      <c r="SA109" s="637"/>
      <c r="SB109" s="637"/>
      <c r="SC109" s="637"/>
      <c r="SD109" s="637"/>
      <c r="SE109" s="637"/>
      <c r="SF109" s="637"/>
      <c r="SG109" s="637"/>
      <c r="SH109" s="637"/>
      <c r="SI109" s="637"/>
      <c r="SJ109" s="637"/>
      <c r="SK109" s="637"/>
      <c r="SL109" s="637"/>
      <c r="SM109" s="637"/>
      <c r="SN109" s="637"/>
      <c r="SO109" s="637"/>
      <c r="SP109" s="637"/>
      <c r="SQ109" s="637"/>
      <c r="SR109" s="637"/>
      <c r="SS109" s="637"/>
      <c r="ST109" s="637"/>
      <c r="SU109" s="637"/>
      <c r="SV109" s="637"/>
      <c r="SW109" s="637"/>
      <c r="SX109" s="637"/>
      <c r="SY109" s="637"/>
      <c r="SZ109" s="637"/>
      <c r="TA109" s="637"/>
      <c r="TB109" s="637"/>
      <c r="TC109" s="637"/>
      <c r="TD109" s="637"/>
      <c r="TE109" s="637"/>
      <c r="TF109" s="637"/>
      <c r="TG109" s="637"/>
      <c r="TH109" s="637"/>
      <c r="TI109" s="637"/>
      <c r="TJ109" s="637"/>
      <c r="TK109" s="637"/>
      <c r="TL109" s="637"/>
      <c r="TM109" s="637"/>
      <c r="TN109" s="637"/>
      <c r="TO109" s="637"/>
      <c r="TP109" s="637"/>
      <c r="TQ109" s="637"/>
      <c r="TR109" s="637"/>
      <c r="TS109" s="637"/>
      <c r="TT109" s="637"/>
      <c r="TU109" s="637"/>
      <c r="TV109" s="637"/>
      <c r="TW109" s="637"/>
      <c r="TX109" s="637"/>
      <c r="TY109" s="637"/>
      <c r="TZ109" s="637"/>
      <c r="UA109" s="637"/>
      <c r="UB109" s="637"/>
      <c r="UC109" s="637"/>
      <c r="UD109" s="637"/>
      <c r="UE109" s="637"/>
      <c r="UF109" s="637"/>
      <c r="UG109" s="637"/>
      <c r="UH109" s="637"/>
      <c r="UI109" s="637"/>
      <c r="UJ109" s="637"/>
      <c r="UK109" s="637"/>
      <c r="UL109" s="637"/>
      <c r="UM109" s="637"/>
      <c r="UN109" s="637"/>
      <c r="UO109" s="637"/>
      <c r="UP109" s="637"/>
      <c r="UQ109" s="637"/>
      <c r="UR109" s="637"/>
      <c r="US109" s="637"/>
      <c r="UT109" s="637"/>
      <c r="UU109" s="637"/>
      <c r="UV109" s="637"/>
      <c r="UW109" s="637"/>
      <c r="UX109" s="637"/>
      <c r="UY109" s="637"/>
      <c r="UZ109" s="637"/>
      <c r="VA109" s="637"/>
      <c r="VB109" s="637"/>
      <c r="VC109" s="637"/>
      <c r="VD109" s="637"/>
      <c r="VE109" s="637"/>
      <c r="VF109" s="637"/>
      <c r="VG109" s="637"/>
      <c r="VH109" s="637"/>
      <c r="VI109" s="637"/>
      <c r="VJ109" s="637"/>
      <c r="VK109" s="637"/>
      <c r="VL109" s="637"/>
      <c r="VM109" s="637"/>
      <c r="VN109" s="637"/>
      <c r="VO109" s="637"/>
      <c r="VP109" s="637"/>
      <c r="VQ109" s="637"/>
      <c r="VR109" s="637"/>
      <c r="VS109" s="637"/>
      <c r="VT109" s="637"/>
      <c r="VU109" s="637"/>
      <c r="VV109" s="637"/>
      <c r="VW109" s="637"/>
      <c r="VX109" s="637"/>
      <c r="VY109" s="637"/>
      <c r="VZ109" s="637"/>
      <c r="WA109" s="637"/>
      <c r="WB109" s="637"/>
      <c r="WC109" s="637"/>
      <c r="WD109" s="637"/>
      <c r="WE109" s="637"/>
      <c r="WF109" s="637"/>
      <c r="WG109" s="637"/>
      <c r="WH109" s="637"/>
      <c r="WI109" s="637"/>
      <c r="WJ109" s="637"/>
      <c r="WK109" s="637"/>
      <c r="WL109" s="637"/>
      <c r="WM109" s="637"/>
      <c r="WN109" s="637"/>
      <c r="WO109" s="637"/>
      <c r="WP109" s="637"/>
      <c r="WQ109" s="637"/>
      <c r="WR109" s="637"/>
      <c r="WS109" s="637"/>
      <c r="WT109" s="637"/>
      <c r="WU109" s="637"/>
      <c r="WV109" s="637"/>
      <c r="WW109" s="637"/>
      <c r="WX109" s="637"/>
      <c r="WY109" s="637"/>
      <c r="WZ109" s="637"/>
      <c r="XA109" s="637"/>
      <c r="XB109" s="637"/>
      <c r="XC109" s="637"/>
      <c r="XD109" s="637"/>
      <c r="XE109" s="637"/>
      <c r="XF109" s="637"/>
      <c r="XG109" s="637"/>
      <c r="XH109" s="637"/>
      <c r="XI109" s="637"/>
      <c r="XJ109" s="637"/>
      <c r="XK109" s="637"/>
      <c r="XL109" s="637"/>
      <c r="XM109" s="637"/>
      <c r="XN109" s="637"/>
      <c r="XO109" s="637"/>
      <c r="XP109" s="637"/>
      <c r="XQ109" s="637"/>
      <c r="XR109" s="637"/>
      <c r="XS109" s="637"/>
      <c r="XT109" s="637"/>
      <c r="XU109" s="637"/>
      <c r="XV109" s="637"/>
      <c r="XW109" s="637"/>
      <c r="XX109" s="637"/>
      <c r="XY109" s="637"/>
      <c r="XZ109" s="637"/>
      <c r="YA109" s="637"/>
      <c r="YB109" s="637"/>
      <c r="YC109" s="637"/>
      <c r="YD109" s="637"/>
      <c r="YE109" s="637"/>
      <c r="YF109" s="637"/>
      <c r="YG109" s="637"/>
      <c r="YH109" s="637"/>
      <c r="YI109" s="637"/>
      <c r="YJ109" s="637"/>
      <c r="YK109" s="637"/>
      <c r="YL109" s="637"/>
      <c r="YM109" s="637"/>
      <c r="YN109" s="637"/>
      <c r="YO109" s="637"/>
      <c r="YP109" s="637"/>
      <c r="YQ109" s="637"/>
      <c r="YR109" s="637"/>
      <c r="YS109" s="637"/>
      <c r="YT109" s="637"/>
      <c r="YU109" s="637"/>
      <c r="YV109" s="637"/>
      <c r="YW109" s="637"/>
      <c r="YX109" s="637"/>
      <c r="YY109" s="637"/>
      <c r="YZ109" s="637"/>
      <c r="ZA109" s="637"/>
      <c r="ZB109" s="637"/>
      <c r="ZC109" s="637"/>
      <c r="ZD109" s="637"/>
      <c r="ZE109" s="637"/>
      <c r="ZF109" s="637"/>
      <c r="ZG109" s="637"/>
      <c r="ZH109" s="637"/>
      <c r="ZI109" s="637"/>
      <c r="ZJ109" s="637"/>
      <c r="ZK109" s="637"/>
      <c r="ZL109" s="637"/>
      <c r="ZM109" s="637"/>
      <c r="ZN109" s="637"/>
      <c r="ZO109" s="637"/>
      <c r="ZP109" s="637"/>
      <c r="ZQ109" s="637"/>
      <c r="ZR109" s="637"/>
      <c r="ZS109" s="637"/>
      <c r="ZT109" s="637"/>
      <c r="ZU109" s="637"/>
      <c r="ZV109" s="637"/>
      <c r="ZW109" s="637"/>
      <c r="ZX109" s="637"/>
      <c r="ZY109" s="637"/>
      <c r="ZZ109" s="637"/>
      <c r="AAA109" s="637"/>
      <c r="AAB109" s="637"/>
      <c r="AAC109" s="637"/>
      <c r="AAD109" s="637"/>
      <c r="AAE109" s="637"/>
      <c r="AAF109" s="637"/>
      <c r="AAG109" s="637"/>
      <c r="AAH109" s="637"/>
      <c r="AAI109" s="637"/>
      <c r="AAJ109" s="637"/>
      <c r="AAK109" s="637"/>
      <c r="AAL109" s="637"/>
      <c r="AAM109" s="637"/>
      <c r="AAN109" s="637"/>
      <c r="AAO109" s="637"/>
      <c r="AAP109" s="637"/>
      <c r="AAQ109" s="637"/>
      <c r="AAR109" s="637"/>
      <c r="AAS109" s="637"/>
      <c r="AAT109" s="637"/>
      <c r="AAU109" s="637"/>
      <c r="AAV109" s="637"/>
      <c r="AAW109" s="637"/>
      <c r="AAX109" s="637"/>
      <c r="AAY109" s="637"/>
      <c r="AAZ109" s="637"/>
      <c r="ABA109" s="637"/>
      <c r="ABB109" s="637"/>
      <c r="ABC109" s="637"/>
      <c r="ABD109" s="637"/>
      <c r="ABE109" s="637"/>
      <c r="ABF109" s="637"/>
      <c r="ABG109" s="637"/>
      <c r="ABH109" s="637"/>
      <c r="ABI109" s="637"/>
      <c r="ABJ109" s="637"/>
      <c r="ABK109" s="637"/>
      <c r="ABL109" s="637"/>
      <c r="ABM109" s="637"/>
      <c r="ABN109" s="637"/>
      <c r="ABO109" s="637"/>
      <c r="ABP109" s="637"/>
      <c r="ABQ109" s="637"/>
      <c r="ABR109" s="637"/>
      <c r="ABS109" s="637"/>
      <c r="ABT109" s="637"/>
      <c r="ABU109" s="637"/>
      <c r="ABV109" s="637"/>
      <c r="ABW109" s="637"/>
      <c r="ABX109" s="637"/>
      <c r="ABY109" s="637"/>
      <c r="ABZ109" s="637"/>
      <c r="ACA109" s="637"/>
      <c r="ACB109" s="637"/>
      <c r="ACC109" s="637"/>
      <c r="ACD109" s="637"/>
      <c r="ACE109" s="637"/>
      <c r="ACF109" s="637"/>
      <c r="ACG109" s="637"/>
      <c r="ACH109" s="637"/>
      <c r="ACI109" s="637"/>
      <c r="ACJ109" s="637"/>
      <c r="ACK109" s="637"/>
      <c r="ACL109" s="637"/>
      <c r="ACM109" s="637"/>
      <c r="ACN109" s="637"/>
      <c r="ACO109" s="637"/>
      <c r="ACP109" s="637"/>
      <c r="ACQ109" s="637"/>
      <c r="ACR109" s="637"/>
      <c r="ACS109" s="637"/>
      <c r="ACT109" s="637"/>
      <c r="ACU109" s="637"/>
      <c r="ACV109" s="637"/>
      <c r="ACW109" s="637"/>
      <c r="ACX109" s="637"/>
      <c r="ACY109" s="637"/>
      <c r="ACZ109" s="637"/>
      <c r="ADA109" s="637"/>
      <c r="ADB109" s="637"/>
      <c r="ADC109" s="637"/>
      <c r="ADD109" s="637"/>
      <c r="ADE109" s="637"/>
      <c r="ADF109" s="637"/>
      <c r="ADG109" s="637"/>
      <c r="ADH109" s="637"/>
      <c r="ADI109" s="637"/>
      <c r="ADJ109" s="637"/>
      <c r="ADK109" s="637"/>
      <c r="ADL109" s="637"/>
      <c r="ADM109" s="637"/>
      <c r="ADN109" s="637"/>
      <c r="ADO109" s="637"/>
      <c r="ADP109" s="637"/>
      <c r="ADQ109" s="637"/>
      <c r="ADR109" s="637"/>
      <c r="ADS109" s="637"/>
      <c r="ADT109" s="637"/>
      <c r="ADU109" s="637"/>
      <c r="ADV109" s="637"/>
      <c r="ADW109" s="637"/>
      <c r="ADX109" s="637"/>
      <c r="ADY109" s="637"/>
      <c r="ADZ109" s="637"/>
      <c r="AEA109" s="637"/>
      <c r="AEB109" s="637"/>
      <c r="AEC109" s="637"/>
      <c r="AED109" s="637"/>
      <c r="AEE109" s="637"/>
      <c r="AEF109" s="637"/>
      <c r="AEG109" s="637"/>
      <c r="AEH109" s="637"/>
      <c r="AEI109" s="637"/>
      <c r="AEJ109" s="637"/>
      <c r="AEK109" s="637"/>
      <c r="AEL109" s="637"/>
      <c r="AEM109" s="637"/>
      <c r="AEN109" s="637"/>
      <c r="AEO109" s="637"/>
      <c r="AEP109" s="637"/>
      <c r="AEQ109" s="637"/>
      <c r="AER109" s="637"/>
      <c r="AES109" s="637"/>
      <c r="AET109" s="637"/>
      <c r="AEU109" s="637"/>
      <c r="AEV109" s="637"/>
      <c r="AEW109" s="637"/>
      <c r="AEX109" s="637"/>
      <c r="AEY109" s="637"/>
      <c r="AEZ109" s="637"/>
      <c r="AFA109" s="637"/>
      <c r="AFB109" s="637"/>
      <c r="AFC109" s="637"/>
      <c r="AFD109" s="637"/>
      <c r="AFE109" s="637"/>
      <c r="AFF109" s="637"/>
      <c r="AFG109" s="637"/>
      <c r="AFH109" s="637"/>
      <c r="AFI109" s="637"/>
      <c r="AFJ109" s="637"/>
      <c r="AFK109" s="637"/>
      <c r="AFL109" s="637"/>
      <c r="AFM109" s="637"/>
      <c r="AFN109" s="637"/>
      <c r="AFO109" s="637"/>
      <c r="AFP109" s="637"/>
      <c r="AFQ109" s="637"/>
      <c r="AFR109" s="637"/>
      <c r="AFS109" s="637"/>
      <c r="AFT109" s="637"/>
      <c r="AFU109" s="637"/>
      <c r="AFV109" s="637"/>
      <c r="AFW109" s="637"/>
      <c r="AFX109" s="637"/>
      <c r="AFY109" s="637"/>
      <c r="AFZ109" s="637"/>
      <c r="AGA109" s="637"/>
      <c r="AGB109" s="637"/>
      <c r="AGC109" s="637"/>
      <c r="AGD109" s="637"/>
      <c r="AGE109" s="637"/>
      <c r="AGF109" s="637"/>
      <c r="AGG109" s="637"/>
      <c r="AGH109" s="637"/>
      <c r="AGI109" s="637"/>
      <c r="AGJ109" s="637"/>
      <c r="AGK109" s="637"/>
      <c r="AGL109" s="637"/>
      <c r="AGM109" s="637"/>
      <c r="AGN109" s="637"/>
      <c r="AGO109" s="637"/>
      <c r="AGP109" s="637"/>
      <c r="AGQ109" s="637"/>
      <c r="AGR109" s="637"/>
      <c r="AGS109" s="637"/>
      <c r="AGT109" s="637"/>
      <c r="AGU109" s="637"/>
      <c r="AGV109" s="637"/>
      <c r="AGW109" s="637"/>
      <c r="AGX109" s="637"/>
      <c r="AGY109" s="637"/>
      <c r="AGZ109" s="637"/>
      <c r="AHA109" s="637"/>
      <c r="AHB109" s="637"/>
      <c r="AHC109" s="637"/>
      <c r="AHD109" s="637"/>
      <c r="AHE109" s="637"/>
      <c r="AHF109" s="637"/>
      <c r="AHG109" s="637"/>
      <c r="AHH109" s="637"/>
      <c r="AHI109" s="637"/>
      <c r="AHJ109" s="637"/>
      <c r="AHK109" s="637"/>
      <c r="AHL109" s="637"/>
      <c r="AHM109" s="637"/>
      <c r="AHN109" s="637"/>
      <c r="AHO109" s="637"/>
      <c r="AHP109" s="637"/>
      <c r="AHQ109" s="637"/>
      <c r="AHR109" s="637"/>
      <c r="AHS109" s="637"/>
      <c r="AHT109" s="637"/>
      <c r="AHU109" s="637"/>
      <c r="AHV109" s="637"/>
      <c r="AHW109" s="637"/>
      <c r="AHX109" s="637"/>
      <c r="AHY109" s="637"/>
      <c r="AHZ109" s="637"/>
      <c r="AIA109" s="637"/>
      <c r="AIB109" s="637"/>
      <c r="AIC109" s="637"/>
      <c r="AID109" s="637"/>
      <c r="AIE109" s="637"/>
      <c r="AIF109" s="637"/>
      <c r="AIG109" s="637"/>
      <c r="AIH109" s="637"/>
      <c r="AII109" s="637"/>
      <c r="AIJ109" s="637"/>
      <c r="AIK109" s="637"/>
      <c r="AIL109" s="637"/>
      <c r="AIM109" s="637"/>
      <c r="AIN109" s="637"/>
      <c r="AIO109" s="637"/>
      <c r="AIP109" s="637"/>
      <c r="AIQ109" s="637"/>
      <c r="AIR109" s="637"/>
      <c r="AIS109" s="637"/>
      <c r="AIT109" s="637"/>
      <c r="AIU109" s="637"/>
      <c r="AIV109" s="637"/>
      <c r="AIW109" s="637"/>
      <c r="AIX109" s="637"/>
      <c r="AIY109" s="637"/>
      <c r="AIZ109" s="637"/>
      <c r="AJA109" s="637"/>
      <c r="AJB109" s="637"/>
      <c r="AJC109" s="637"/>
      <c r="AJD109" s="637"/>
      <c r="AJE109" s="637"/>
      <c r="AJF109" s="637"/>
      <c r="AJG109" s="637"/>
      <c r="AJH109" s="637"/>
      <c r="AJI109" s="637"/>
      <c r="AJJ109" s="637"/>
      <c r="AJK109" s="637"/>
      <c r="AJL109" s="637"/>
      <c r="AJM109" s="637"/>
      <c r="AJN109" s="637"/>
      <c r="AJO109" s="637"/>
      <c r="AJP109" s="637"/>
      <c r="AJQ109" s="637"/>
      <c r="AJR109" s="637"/>
      <c r="AJS109" s="637"/>
      <c r="AJT109" s="637"/>
      <c r="AJU109" s="637"/>
      <c r="AJV109" s="637"/>
      <c r="AJW109" s="637"/>
      <c r="AJX109" s="637"/>
      <c r="AJY109" s="637"/>
      <c r="AJZ109" s="637"/>
      <c r="AKA109" s="637"/>
      <c r="AKB109" s="637"/>
      <c r="AKC109" s="637"/>
      <c r="AKD109" s="637"/>
      <c r="AKE109" s="637"/>
      <c r="AKF109" s="637"/>
      <c r="AKG109" s="637"/>
      <c r="AKH109" s="637"/>
      <c r="AKI109" s="637"/>
      <c r="AKJ109" s="637"/>
      <c r="AKK109" s="637"/>
      <c r="AKL109" s="637"/>
      <c r="AKM109" s="637"/>
      <c r="AKN109" s="637"/>
      <c r="AKO109" s="637"/>
      <c r="AKP109" s="637"/>
      <c r="AKQ109" s="637"/>
      <c r="AKR109" s="637"/>
      <c r="AKS109" s="637"/>
      <c r="AKT109" s="637"/>
      <c r="AKU109" s="637"/>
      <c r="AKV109" s="637"/>
      <c r="AKW109" s="637"/>
      <c r="AKX109" s="637"/>
      <c r="AKY109" s="637"/>
      <c r="AKZ109" s="637"/>
      <c r="ALA109" s="637"/>
      <c r="ALB109" s="637"/>
      <c r="ALC109" s="637"/>
      <c r="ALD109" s="637"/>
      <c r="ALE109" s="637"/>
      <c r="ALF109" s="637"/>
      <c r="ALG109" s="637"/>
      <c r="ALH109" s="637"/>
      <c r="ALI109" s="637"/>
      <c r="ALJ109" s="637"/>
      <c r="ALK109" s="637"/>
      <c r="ALL109" s="637"/>
      <c r="ALM109" s="637"/>
      <c r="ALN109" s="637"/>
      <c r="ALO109" s="637"/>
      <c r="ALP109" s="637"/>
      <c r="ALQ109" s="637"/>
      <c r="ALR109" s="637"/>
      <c r="ALS109" s="637"/>
      <c r="ALT109" s="637"/>
      <c r="ALU109" s="637"/>
      <c r="ALV109" s="637"/>
      <c r="ALW109" s="637"/>
      <c r="ALX109" s="637"/>
      <c r="ALY109" s="637"/>
      <c r="ALZ109" s="637"/>
      <c r="AMA109" s="637"/>
      <c r="AMB109" s="637"/>
      <c r="AMC109" s="637"/>
      <c r="AMD109" s="637"/>
      <c r="AME109" s="637"/>
      <c r="AMF109" s="637"/>
      <c r="AMG109" s="637"/>
      <c r="AMH109" s="637"/>
      <c r="AMI109" s="637"/>
      <c r="AMJ109" s="637"/>
    </row>
    <row r="110" spans="1:1024" s="638" customFormat="1" ht="12.75" hidden="1">
      <c r="A110" s="984"/>
      <c r="B110" s="985"/>
      <c r="C110" s="986"/>
      <c r="D110" s="1014"/>
      <c r="E110" s="1015">
        <v>4629</v>
      </c>
      <c r="F110" s="1016">
        <f t="shared" si="13"/>
        <v>10969</v>
      </c>
      <c r="G110" s="1017">
        <v>7409</v>
      </c>
      <c r="H110" s="1017">
        <v>2247</v>
      </c>
      <c r="I110" s="1017">
        <v>1313</v>
      </c>
      <c r="J110" s="1017"/>
      <c r="K110" s="1017"/>
      <c r="L110" s="1017"/>
      <c r="M110" s="1017"/>
      <c r="N110" s="1017"/>
      <c r="O110" s="1018"/>
      <c r="P110" s="1017"/>
      <c r="Q110" s="1017"/>
      <c r="R110" s="1019"/>
      <c r="S110" s="637"/>
      <c r="T110" s="637"/>
      <c r="U110" s="637"/>
      <c r="V110" s="637"/>
      <c r="W110" s="637"/>
      <c r="X110" s="637"/>
      <c r="Y110" s="637"/>
      <c r="Z110" s="637"/>
      <c r="AA110" s="637"/>
      <c r="AB110" s="637"/>
      <c r="AC110" s="637"/>
      <c r="AD110" s="637"/>
      <c r="AE110" s="637"/>
      <c r="AF110" s="637"/>
      <c r="AG110" s="637"/>
      <c r="AH110" s="637"/>
      <c r="AI110" s="637"/>
      <c r="AJ110" s="637"/>
      <c r="AK110" s="637"/>
      <c r="AL110" s="637"/>
      <c r="AM110" s="637"/>
      <c r="AN110" s="637"/>
      <c r="AO110" s="637"/>
      <c r="AP110" s="637"/>
      <c r="AQ110" s="637"/>
      <c r="AR110" s="637"/>
      <c r="AS110" s="637"/>
      <c r="AT110" s="637"/>
      <c r="AU110" s="637"/>
      <c r="AV110" s="637"/>
      <c r="AW110" s="637"/>
      <c r="AX110" s="637"/>
      <c r="AY110" s="637"/>
      <c r="AZ110" s="637"/>
      <c r="BA110" s="637"/>
      <c r="BB110" s="637"/>
      <c r="BC110" s="637"/>
      <c r="BD110" s="637"/>
      <c r="BE110" s="637"/>
      <c r="BF110" s="637"/>
      <c r="BG110" s="637"/>
      <c r="BH110" s="637"/>
      <c r="BI110" s="637"/>
      <c r="BJ110" s="637"/>
      <c r="BK110" s="637"/>
      <c r="BL110" s="637"/>
      <c r="BM110" s="637"/>
      <c r="BN110" s="637"/>
      <c r="BO110" s="637"/>
      <c r="BP110" s="637"/>
      <c r="BQ110" s="637"/>
      <c r="BR110" s="637"/>
      <c r="BS110" s="637"/>
      <c r="BT110" s="637"/>
      <c r="BU110" s="637"/>
      <c r="BV110" s="637"/>
      <c r="BW110" s="637"/>
      <c r="BX110" s="637"/>
      <c r="BY110" s="637"/>
      <c r="BZ110" s="637"/>
      <c r="CA110" s="637"/>
      <c r="CB110" s="637"/>
      <c r="CC110" s="637"/>
      <c r="CD110" s="637"/>
      <c r="CE110" s="637"/>
      <c r="CF110" s="637"/>
      <c r="CG110" s="637"/>
      <c r="CH110" s="637"/>
      <c r="CI110" s="637"/>
      <c r="CJ110" s="637"/>
      <c r="CK110" s="637"/>
      <c r="CL110" s="637"/>
      <c r="CM110" s="637"/>
      <c r="CN110" s="637"/>
      <c r="CO110" s="637"/>
      <c r="CP110" s="637"/>
      <c r="CQ110" s="637"/>
      <c r="CR110" s="637"/>
      <c r="CS110" s="637"/>
      <c r="CT110" s="637"/>
      <c r="CU110" s="637"/>
      <c r="CV110" s="637"/>
      <c r="CW110" s="637"/>
      <c r="CX110" s="637"/>
      <c r="CY110" s="637"/>
      <c r="CZ110" s="637"/>
      <c r="DA110" s="637"/>
      <c r="DB110" s="637"/>
      <c r="DC110" s="637"/>
      <c r="DD110" s="637"/>
      <c r="DE110" s="637"/>
      <c r="DF110" s="637"/>
      <c r="DG110" s="637"/>
      <c r="DH110" s="637"/>
      <c r="DI110" s="637"/>
      <c r="DJ110" s="637"/>
      <c r="DK110" s="637"/>
      <c r="DL110" s="637"/>
      <c r="DM110" s="637"/>
      <c r="DN110" s="637"/>
      <c r="DO110" s="637"/>
      <c r="DP110" s="637"/>
      <c r="DQ110" s="637"/>
      <c r="DR110" s="637"/>
      <c r="DS110" s="637"/>
      <c r="DT110" s="637"/>
      <c r="DU110" s="637"/>
      <c r="DV110" s="637"/>
      <c r="DW110" s="637"/>
      <c r="DX110" s="637"/>
      <c r="DY110" s="637"/>
      <c r="DZ110" s="637"/>
      <c r="EA110" s="637"/>
      <c r="EB110" s="637"/>
      <c r="EC110" s="637"/>
      <c r="ED110" s="637"/>
      <c r="EE110" s="637"/>
      <c r="EF110" s="637"/>
      <c r="EG110" s="637"/>
      <c r="EH110" s="637"/>
      <c r="EI110" s="637"/>
      <c r="EJ110" s="637"/>
      <c r="EK110" s="637"/>
      <c r="EL110" s="637"/>
      <c r="EM110" s="637"/>
      <c r="EN110" s="637"/>
      <c r="EO110" s="637"/>
      <c r="EP110" s="637"/>
      <c r="EQ110" s="637"/>
      <c r="ER110" s="637"/>
      <c r="ES110" s="637"/>
      <c r="ET110" s="637"/>
      <c r="EU110" s="637"/>
      <c r="EV110" s="637"/>
      <c r="EW110" s="637"/>
      <c r="EX110" s="637"/>
      <c r="EY110" s="637"/>
      <c r="EZ110" s="637"/>
      <c r="FA110" s="637"/>
      <c r="FB110" s="637"/>
      <c r="FC110" s="637"/>
      <c r="FD110" s="637"/>
      <c r="FE110" s="637"/>
      <c r="FF110" s="637"/>
      <c r="FG110" s="637"/>
      <c r="FH110" s="637"/>
      <c r="FI110" s="637"/>
      <c r="FJ110" s="637"/>
      <c r="FK110" s="637"/>
      <c r="FL110" s="637"/>
      <c r="FM110" s="637"/>
      <c r="FN110" s="637"/>
      <c r="FO110" s="637"/>
      <c r="FP110" s="637"/>
      <c r="FQ110" s="637"/>
      <c r="FR110" s="637"/>
      <c r="FS110" s="637"/>
      <c r="FT110" s="637"/>
      <c r="FU110" s="637"/>
      <c r="FV110" s="637"/>
      <c r="FW110" s="637"/>
      <c r="FX110" s="637"/>
      <c r="FY110" s="637"/>
      <c r="FZ110" s="637"/>
      <c r="GA110" s="637"/>
      <c r="GB110" s="637"/>
      <c r="GC110" s="637"/>
      <c r="GD110" s="637"/>
      <c r="GE110" s="637"/>
      <c r="GF110" s="637"/>
      <c r="GG110" s="637"/>
      <c r="GH110" s="637"/>
      <c r="GI110" s="637"/>
      <c r="GJ110" s="637"/>
      <c r="GK110" s="637"/>
      <c r="GL110" s="637"/>
      <c r="GM110" s="637"/>
      <c r="GN110" s="637"/>
      <c r="GO110" s="637"/>
      <c r="GP110" s="637"/>
      <c r="GQ110" s="637"/>
      <c r="GR110" s="637"/>
      <c r="GS110" s="637"/>
      <c r="GT110" s="637"/>
      <c r="GU110" s="637"/>
      <c r="GV110" s="637"/>
      <c r="GW110" s="637"/>
      <c r="GX110" s="637"/>
      <c r="GY110" s="637"/>
      <c r="GZ110" s="637"/>
      <c r="HA110" s="637"/>
      <c r="HB110" s="637"/>
      <c r="HC110" s="637"/>
      <c r="HD110" s="637"/>
      <c r="HE110" s="637"/>
      <c r="HF110" s="637"/>
      <c r="HG110" s="637"/>
      <c r="HH110" s="637"/>
      <c r="HI110" s="637"/>
      <c r="HJ110" s="637"/>
      <c r="HK110" s="637"/>
      <c r="HL110" s="637"/>
      <c r="HM110" s="637"/>
      <c r="HN110" s="637"/>
      <c r="HO110" s="637"/>
      <c r="HP110" s="637"/>
      <c r="HQ110" s="637"/>
      <c r="HR110" s="637"/>
      <c r="HS110" s="637"/>
      <c r="HT110" s="637"/>
      <c r="HU110" s="637"/>
      <c r="HV110" s="637"/>
      <c r="HW110" s="637"/>
      <c r="HX110" s="637"/>
      <c r="HY110" s="637"/>
      <c r="HZ110" s="637"/>
      <c r="IA110" s="637"/>
      <c r="IB110" s="637"/>
      <c r="IC110" s="637"/>
      <c r="ID110" s="637"/>
      <c r="IE110" s="637"/>
      <c r="IF110" s="637"/>
      <c r="IG110" s="637"/>
      <c r="IH110" s="637"/>
      <c r="II110" s="637"/>
      <c r="IJ110" s="637"/>
      <c r="IK110" s="637"/>
      <c r="IL110" s="637"/>
      <c r="IM110" s="637"/>
      <c r="IN110" s="637"/>
      <c r="IO110" s="637"/>
      <c r="IP110" s="637"/>
      <c r="IQ110" s="637"/>
      <c r="IR110" s="637"/>
      <c r="IS110" s="637"/>
      <c r="IT110" s="637"/>
      <c r="IU110" s="637"/>
      <c r="IV110" s="637"/>
      <c r="IW110" s="637"/>
      <c r="IX110" s="637"/>
      <c r="IY110" s="637"/>
      <c r="IZ110" s="637"/>
      <c r="JA110" s="637"/>
      <c r="JB110" s="637"/>
      <c r="JC110" s="637"/>
      <c r="JD110" s="637"/>
      <c r="JE110" s="637"/>
      <c r="JF110" s="637"/>
      <c r="JG110" s="637"/>
      <c r="JH110" s="637"/>
      <c r="JI110" s="637"/>
      <c r="JJ110" s="637"/>
      <c r="JK110" s="637"/>
      <c r="JL110" s="637"/>
      <c r="JM110" s="637"/>
      <c r="JN110" s="637"/>
      <c r="JO110" s="637"/>
      <c r="JP110" s="637"/>
      <c r="JQ110" s="637"/>
      <c r="JR110" s="637"/>
      <c r="JS110" s="637"/>
      <c r="JT110" s="637"/>
      <c r="JU110" s="637"/>
      <c r="JV110" s="637"/>
      <c r="JW110" s="637"/>
      <c r="JX110" s="637"/>
      <c r="JY110" s="637"/>
      <c r="JZ110" s="637"/>
      <c r="KA110" s="637"/>
      <c r="KB110" s="637"/>
      <c r="KC110" s="637"/>
      <c r="KD110" s="637"/>
      <c r="KE110" s="637"/>
      <c r="KF110" s="637"/>
      <c r="KG110" s="637"/>
      <c r="KH110" s="637"/>
      <c r="KI110" s="637"/>
      <c r="KJ110" s="637"/>
      <c r="KK110" s="637"/>
      <c r="KL110" s="637"/>
      <c r="KM110" s="637"/>
      <c r="KN110" s="637"/>
      <c r="KO110" s="637"/>
      <c r="KP110" s="637"/>
      <c r="KQ110" s="637"/>
      <c r="KR110" s="637"/>
      <c r="KS110" s="637"/>
      <c r="KT110" s="637"/>
      <c r="KU110" s="637"/>
      <c r="KV110" s="637"/>
      <c r="KW110" s="637"/>
      <c r="KX110" s="637"/>
      <c r="KY110" s="637"/>
      <c r="KZ110" s="637"/>
      <c r="LA110" s="637"/>
      <c r="LB110" s="637"/>
      <c r="LC110" s="637"/>
      <c r="LD110" s="637"/>
      <c r="LE110" s="637"/>
      <c r="LF110" s="637"/>
      <c r="LG110" s="637"/>
      <c r="LH110" s="637"/>
      <c r="LI110" s="637"/>
      <c r="LJ110" s="637"/>
      <c r="LK110" s="637"/>
      <c r="LL110" s="637"/>
      <c r="LM110" s="637"/>
      <c r="LN110" s="637"/>
      <c r="LO110" s="637"/>
      <c r="LP110" s="637"/>
      <c r="LQ110" s="637"/>
      <c r="LR110" s="637"/>
      <c r="LS110" s="637"/>
      <c r="LT110" s="637"/>
      <c r="LU110" s="637"/>
      <c r="LV110" s="637"/>
      <c r="LW110" s="637"/>
      <c r="LX110" s="637"/>
      <c r="LY110" s="637"/>
      <c r="LZ110" s="637"/>
      <c r="MA110" s="637"/>
      <c r="MB110" s="637"/>
      <c r="MC110" s="637"/>
      <c r="MD110" s="637"/>
      <c r="ME110" s="637"/>
      <c r="MF110" s="637"/>
      <c r="MG110" s="637"/>
      <c r="MH110" s="637"/>
      <c r="MI110" s="637"/>
      <c r="MJ110" s="637"/>
      <c r="MK110" s="637"/>
      <c r="ML110" s="637"/>
      <c r="MM110" s="637"/>
      <c r="MN110" s="637"/>
      <c r="MO110" s="637"/>
      <c r="MP110" s="637"/>
      <c r="MQ110" s="637"/>
      <c r="MR110" s="637"/>
      <c r="MS110" s="637"/>
      <c r="MT110" s="637"/>
      <c r="MU110" s="637"/>
      <c r="MV110" s="637"/>
      <c r="MW110" s="637"/>
      <c r="MX110" s="637"/>
      <c r="MY110" s="637"/>
      <c r="MZ110" s="637"/>
      <c r="NA110" s="637"/>
      <c r="NB110" s="637"/>
      <c r="NC110" s="637"/>
      <c r="ND110" s="637"/>
      <c r="NE110" s="637"/>
      <c r="NF110" s="637"/>
      <c r="NG110" s="637"/>
      <c r="NH110" s="637"/>
      <c r="NI110" s="637"/>
      <c r="NJ110" s="637"/>
      <c r="NK110" s="637"/>
      <c r="NL110" s="637"/>
      <c r="NM110" s="637"/>
      <c r="NN110" s="637"/>
      <c r="NO110" s="637"/>
      <c r="NP110" s="637"/>
      <c r="NQ110" s="637"/>
      <c r="NR110" s="637"/>
      <c r="NS110" s="637"/>
      <c r="NT110" s="637"/>
      <c r="NU110" s="637"/>
      <c r="NV110" s="637"/>
      <c r="NW110" s="637"/>
      <c r="NX110" s="637"/>
      <c r="NY110" s="637"/>
      <c r="NZ110" s="637"/>
      <c r="OA110" s="637"/>
      <c r="OB110" s="637"/>
      <c r="OC110" s="637"/>
      <c r="OD110" s="637"/>
      <c r="OE110" s="637"/>
      <c r="OF110" s="637"/>
      <c r="OG110" s="637"/>
      <c r="OH110" s="637"/>
      <c r="OI110" s="637"/>
      <c r="OJ110" s="637"/>
      <c r="OK110" s="637"/>
      <c r="OL110" s="637"/>
      <c r="OM110" s="637"/>
      <c r="ON110" s="637"/>
      <c r="OO110" s="637"/>
      <c r="OP110" s="637"/>
      <c r="OQ110" s="637"/>
      <c r="OR110" s="637"/>
      <c r="OS110" s="637"/>
      <c r="OT110" s="637"/>
      <c r="OU110" s="637"/>
      <c r="OV110" s="637"/>
      <c r="OW110" s="637"/>
      <c r="OX110" s="637"/>
      <c r="OY110" s="637"/>
      <c r="OZ110" s="637"/>
      <c r="PA110" s="637"/>
      <c r="PB110" s="637"/>
      <c r="PC110" s="637"/>
      <c r="PD110" s="637"/>
      <c r="PE110" s="637"/>
      <c r="PF110" s="637"/>
      <c r="PG110" s="637"/>
      <c r="PH110" s="637"/>
      <c r="PI110" s="637"/>
      <c r="PJ110" s="637"/>
      <c r="PK110" s="637"/>
      <c r="PL110" s="637"/>
      <c r="PM110" s="637"/>
      <c r="PN110" s="637"/>
      <c r="PO110" s="637"/>
      <c r="PP110" s="637"/>
      <c r="PQ110" s="637"/>
      <c r="PR110" s="637"/>
      <c r="PS110" s="637"/>
      <c r="PT110" s="637"/>
      <c r="PU110" s="637"/>
      <c r="PV110" s="637"/>
      <c r="PW110" s="637"/>
      <c r="PX110" s="637"/>
      <c r="PY110" s="637"/>
      <c r="PZ110" s="637"/>
      <c r="QA110" s="637"/>
      <c r="QB110" s="637"/>
      <c r="QC110" s="637"/>
      <c r="QD110" s="637"/>
      <c r="QE110" s="637"/>
      <c r="QF110" s="637"/>
      <c r="QG110" s="637"/>
      <c r="QH110" s="637"/>
      <c r="QI110" s="637"/>
      <c r="QJ110" s="637"/>
      <c r="QK110" s="637"/>
      <c r="QL110" s="637"/>
      <c r="QM110" s="637"/>
      <c r="QN110" s="637"/>
      <c r="QO110" s="637"/>
      <c r="QP110" s="637"/>
      <c r="QQ110" s="637"/>
      <c r="QR110" s="637"/>
      <c r="QS110" s="637"/>
      <c r="QT110" s="637"/>
      <c r="QU110" s="637"/>
      <c r="QV110" s="637"/>
      <c r="QW110" s="637"/>
      <c r="QX110" s="637"/>
      <c r="QY110" s="637"/>
      <c r="QZ110" s="637"/>
      <c r="RA110" s="637"/>
      <c r="RB110" s="637"/>
      <c r="RC110" s="637"/>
      <c r="RD110" s="637"/>
      <c r="RE110" s="637"/>
      <c r="RF110" s="637"/>
      <c r="RG110" s="637"/>
      <c r="RH110" s="637"/>
      <c r="RI110" s="637"/>
      <c r="RJ110" s="637"/>
      <c r="RK110" s="637"/>
      <c r="RL110" s="637"/>
      <c r="RM110" s="637"/>
      <c r="RN110" s="637"/>
      <c r="RO110" s="637"/>
      <c r="RP110" s="637"/>
      <c r="RQ110" s="637"/>
      <c r="RR110" s="637"/>
      <c r="RS110" s="637"/>
      <c r="RT110" s="637"/>
      <c r="RU110" s="637"/>
      <c r="RV110" s="637"/>
      <c r="RW110" s="637"/>
      <c r="RX110" s="637"/>
      <c r="RY110" s="637"/>
      <c r="RZ110" s="637"/>
      <c r="SA110" s="637"/>
      <c r="SB110" s="637"/>
      <c r="SC110" s="637"/>
      <c r="SD110" s="637"/>
      <c r="SE110" s="637"/>
      <c r="SF110" s="637"/>
      <c r="SG110" s="637"/>
      <c r="SH110" s="637"/>
      <c r="SI110" s="637"/>
      <c r="SJ110" s="637"/>
      <c r="SK110" s="637"/>
      <c r="SL110" s="637"/>
      <c r="SM110" s="637"/>
      <c r="SN110" s="637"/>
      <c r="SO110" s="637"/>
      <c r="SP110" s="637"/>
      <c r="SQ110" s="637"/>
      <c r="SR110" s="637"/>
      <c r="SS110" s="637"/>
      <c r="ST110" s="637"/>
      <c r="SU110" s="637"/>
      <c r="SV110" s="637"/>
      <c r="SW110" s="637"/>
      <c r="SX110" s="637"/>
      <c r="SY110" s="637"/>
      <c r="SZ110" s="637"/>
      <c r="TA110" s="637"/>
      <c r="TB110" s="637"/>
      <c r="TC110" s="637"/>
      <c r="TD110" s="637"/>
      <c r="TE110" s="637"/>
      <c r="TF110" s="637"/>
      <c r="TG110" s="637"/>
      <c r="TH110" s="637"/>
      <c r="TI110" s="637"/>
      <c r="TJ110" s="637"/>
      <c r="TK110" s="637"/>
      <c r="TL110" s="637"/>
      <c r="TM110" s="637"/>
      <c r="TN110" s="637"/>
      <c r="TO110" s="637"/>
      <c r="TP110" s="637"/>
      <c r="TQ110" s="637"/>
      <c r="TR110" s="637"/>
      <c r="TS110" s="637"/>
      <c r="TT110" s="637"/>
      <c r="TU110" s="637"/>
      <c r="TV110" s="637"/>
      <c r="TW110" s="637"/>
      <c r="TX110" s="637"/>
      <c r="TY110" s="637"/>
      <c r="TZ110" s="637"/>
      <c r="UA110" s="637"/>
      <c r="UB110" s="637"/>
      <c r="UC110" s="637"/>
      <c r="UD110" s="637"/>
      <c r="UE110" s="637"/>
      <c r="UF110" s="637"/>
      <c r="UG110" s="637"/>
      <c r="UH110" s="637"/>
      <c r="UI110" s="637"/>
      <c r="UJ110" s="637"/>
      <c r="UK110" s="637"/>
      <c r="UL110" s="637"/>
      <c r="UM110" s="637"/>
      <c r="UN110" s="637"/>
      <c r="UO110" s="637"/>
      <c r="UP110" s="637"/>
      <c r="UQ110" s="637"/>
      <c r="UR110" s="637"/>
      <c r="US110" s="637"/>
      <c r="UT110" s="637"/>
      <c r="UU110" s="637"/>
      <c r="UV110" s="637"/>
      <c r="UW110" s="637"/>
      <c r="UX110" s="637"/>
      <c r="UY110" s="637"/>
      <c r="UZ110" s="637"/>
      <c r="VA110" s="637"/>
      <c r="VB110" s="637"/>
      <c r="VC110" s="637"/>
      <c r="VD110" s="637"/>
      <c r="VE110" s="637"/>
      <c r="VF110" s="637"/>
      <c r="VG110" s="637"/>
      <c r="VH110" s="637"/>
      <c r="VI110" s="637"/>
      <c r="VJ110" s="637"/>
      <c r="VK110" s="637"/>
      <c r="VL110" s="637"/>
      <c r="VM110" s="637"/>
      <c r="VN110" s="637"/>
      <c r="VO110" s="637"/>
      <c r="VP110" s="637"/>
      <c r="VQ110" s="637"/>
      <c r="VR110" s="637"/>
      <c r="VS110" s="637"/>
      <c r="VT110" s="637"/>
      <c r="VU110" s="637"/>
      <c r="VV110" s="637"/>
      <c r="VW110" s="637"/>
      <c r="VX110" s="637"/>
      <c r="VY110" s="637"/>
      <c r="VZ110" s="637"/>
      <c r="WA110" s="637"/>
      <c r="WB110" s="637"/>
      <c r="WC110" s="637"/>
      <c r="WD110" s="637"/>
      <c r="WE110" s="637"/>
      <c r="WF110" s="637"/>
      <c r="WG110" s="637"/>
      <c r="WH110" s="637"/>
      <c r="WI110" s="637"/>
      <c r="WJ110" s="637"/>
      <c r="WK110" s="637"/>
      <c r="WL110" s="637"/>
      <c r="WM110" s="637"/>
      <c r="WN110" s="637"/>
      <c r="WO110" s="637"/>
      <c r="WP110" s="637"/>
      <c r="WQ110" s="637"/>
      <c r="WR110" s="637"/>
      <c r="WS110" s="637"/>
      <c r="WT110" s="637"/>
      <c r="WU110" s="637"/>
      <c r="WV110" s="637"/>
      <c r="WW110" s="637"/>
      <c r="WX110" s="637"/>
      <c r="WY110" s="637"/>
      <c r="WZ110" s="637"/>
      <c r="XA110" s="637"/>
      <c r="XB110" s="637"/>
      <c r="XC110" s="637"/>
      <c r="XD110" s="637"/>
      <c r="XE110" s="637"/>
      <c r="XF110" s="637"/>
      <c r="XG110" s="637"/>
      <c r="XH110" s="637"/>
      <c r="XI110" s="637"/>
      <c r="XJ110" s="637"/>
      <c r="XK110" s="637"/>
      <c r="XL110" s="637"/>
      <c r="XM110" s="637"/>
      <c r="XN110" s="637"/>
      <c r="XO110" s="637"/>
      <c r="XP110" s="637"/>
      <c r="XQ110" s="637"/>
      <c r="XR110" s="637"/>
      <c r="XS110" s="637"/>
      <c r="XT110" s="637"/>
      <c r="XU110" s="637"/>
      <c r="XV110" s="637"/>
      <c r="XW110" s="637"/>
      <c r="XX110" s="637"/>
      <c r="XY110" s="637"/>
      <c r="XZ110" s="637"/>
      <c r="YA110" s="637"/>
      <c r="YB110" s="637"/>
      <c r="YC110" s="637"/>
      <c r="YD110" s="637"/>
      <c r="YE110" s="637"/>
      <c r="YF110" s="637"/>
      <c r="YG110" s="637"/>
      <c r="YH110" s="637"/>
      <c r="YI110" s="637"/>
      <c r="YJ110" s="637"/>
      <c r="YK110" s="637"/>
      <c r="YL110" s="637"/>
      <c r="YM110" s="637"/>
      <c r="YN110" s="637"/>
      <c r="YO110" s="637"/>
      <c r="YP110" s="637"/>
      <c r="YQ110" s="637"/>
      <c r="YR110" s="637"/>
      <c r="YS110" s="637"/>
      <c r="YT110" s="637"/>
      <c r="YU110" s="637"/>
      <c r="YV110" s="637"/>
      <c r="YW110" s="637"/>
      <c r="YX110" s="637"/>
      <c r="YY110" s="637"/>
      <c r="YZ110" s="637"/>
      <c r="ZA110" s="637"/>
      <c r="ZB110" s="637"/>
      <c r="ZC110" s="637"/>
      <c r="ZD110" s="637"/>
      <c r="ZE110" s="637"/>
      <c r="ZF110" s="637"/>
      <c r="ZG110" s="637"/>
      <c r="ZH110" s="637"/>
      <c r="ZI110" s="637"/>
      <c r="ZJ110" s="637"/>
      <c r="ZK110" s="637"/>
      <c r="ZL110" s="637"/>
      <c r="ZM110" s="637"/>
      <c r="ZN110" s="637"/>
      <c r="ZO110" s="637"/>
      <c r="ZP110" s="637"/>
      <c r="ZQ110" s="637"/>
      <c r="ZR110" s="637"/>
      <c r="ZS110" s="637"/>
      <c r="ZT110" s="637"/>
      <c r="ZU110" s="637"/>
      <c r="ZV110" s="637"/>
      <c r="ZW110" s="637"/>
      <c r="ZX110" s="637"/>
      <c r="ZY110" s="637"/>
      <c r="ZZ110" s="637"/>
      <c r="AAA110" s="637"/>
      <c r="AAB110" s="637"/>
      <c r="AAC110" s="637"/>
      <c r="AAD110" s="637"/>
      <c r="AAE110" s="637"/>
      <c r="AAF110" s="637"/>
      <c r="AAG110" s="637"/>
      <c r="AAH110" s="637"/>
      <c r="AAI110" s="637"/>
      <c r="AAJ110" s="637"/>
      <c r="AAK110" s="637"/>
      <c r="AAL110" s="637"/>
      <c r="AAM110" s="637"/>
      <c r="AAN110" s="637"/>
      <c r="AAO110" s="637"/>
      <c r="AAP110" s="637"/>
      <c r="AAQ110" s="637"/>
      <c r="AAR110" s="637"/>
      <c r="AAS110" s="637"/>
      <c r="AAT110" s="637"/>
      <c r="AAU110" s="637"/>
      <c r="AAV110" s="637"/>
      <c r="AAW110" s="637"/>
      <c r="AAX110" s="637"/>
      <c r="AAY110" s="637"/>
      <c r="AAZ110" s="637"/>
      <c r="ABA110" s="637"/>
      <c r="ABB110" s="637"/>
      <c r="ABC110" s="637"/>
      <c r="ABD110" s="637"/>
      <c r="ABE110" s="637"/>
      <c r="ABF110" s="637"/>
      <c r="ABG110" s="637"/>
      <c r="ABH110" s="637"/>
      <c r="ABI110" s="637"/>
      <c r="ABJ110" s="637"/>
      <c r="ABK110" s="637"/>
      <c r="ABL110" s="637"/>
      <c r="ABM110" s="637"/>
      <c r="ABN110" s="637"/>
      <c r="ABO110" s="637"/>
      <c r="ABP110" s="637"/>
      <c r="ABQ110" s="637"/>
      <c r="ABR110" s="637"/>
      <c r="ABS110" s="637"/>
      <c r="ABT110" s="637"/>
      <c r="ABU110" s="637"/>
      <c r="ABV110" s="637"/>
      <c r="ABW110" s="637"/>
      <c r="ABX110" s="637"/>
      <c r="ABY110" s="637"/>
      <c r="ABZ110" s="637"/>
      <c r="ACA110" s="637"/>
      <c r="ACB110" s="637"/>
      <c r="ACC110" s="637"/>
      <c r="ACD110" s="637"/>
      <c r="ACE110" s="637"/>
      <c r="ACF110" s="637"/>
      <c r="ACG110" s="637"/>
      <c r="ACH110" s="637"/>
      <c r="ACI110" s="637"/>
      <c r="ACJ110" s="637"/>
      <c r="ACK110" s="637"/>
      <c r="ACL110" s="637"/>
      <c r="ACM110" s="637"/>
      <c r="ACN110" s="637"/>
      <c r="ACO110" s="637"/>
      <c r="ACP110" s="637"/>
      <c r="ACQ110" s="637"/>
      <c r="ACR110" s="637"/>
      <c r="ACS110" s="637"/>
      <c r="ACT110" s="637"/>
      <c r="ACU110" s="637"/>
      <c r="ACV110" s="637"/>
      <c r="ACW110" s="637"/>
      <c r="ACX110" s="637"/>
      <c r="ACY110" s="637"/>
      <c r="ACZ110" s="637"/>
      <c r="ADA110" s="637"/>
      <c r="ADB110" s="637"/>
      <c r="ADC110" s="637"/>
      <c r="ADD110" s="637"/>
      <c r="ADE110" s="637"/>
      <c r="ADF110" s="637"/>
      <c r="ADG110" s="637"/>
      <c r="ADH110" s="637"/>
      <c r="ADI110" s="637"/>
      <c r="ADJ110" s="637"/>
      <c r="ADK110" s="637"/>
      <c r="ADL110" s="637"/>
      <c r="ADM110" s="637"/>
      <c r="ADN110" s="637"/>
      <c r="ADO110" s="637"/>
      <c r="ADP110" s="637"/>
      <c r="ADQ110" s="637"/>
      <c r="ADR110" s="637"/>
      <c r="ADS110" s="637"/>
      <c r="ADT110" s="637"/>
      <c r="ADU110" s="637"/>
      <c r="ADV110" s="637"/>
      <c r="ADW110" s="637"/>
      <c r="ADX110" s="637"/>
      <c r="ADY110" s="637"/>
      <c r="ADZ110" s="637"/>
      <c r="AEA110" s="637"/>
      <c r="AEB110" s="637"/>
      <c r="AEC110" s="637"/>
      <c r="AED110" s="637"/>
      <c r="AEE110" s="637"/>
      <c r="AEF110" s="637"/>
      <c r="AEG110" s="637"/>
      <c r="AEH110" s="637"/>
      <c r="AEI110" s="637"/>
      <c r="AEJ110" s="637"/>
      <c r="AEK110" s="637"/>
      <c r="AEL110" s="637"/>
      <c r="AEM110" s="637"/>
      <c r="AEN110" s="637"/>
      <c r="AEO110" s="637"/>
      <c r="AEP110" s="637"/>
      <c r="AEQ110" s="637"/>
      <c r="AER110" s="637"/>
      <c r="AES110" s="637"/>
      <c r="AET110" s="637"/>
      <c r="AEU110" s="637"/>
      <c r="AEV110" s="637"/>
      <c r="AEW110" s="637"/>
      <c r="AEX110" s="637"/>
      <c r="AEY110" s="637"/>
      <c r="AEZ110" s="637"/>
      <c r="AFA110" s="637"/>
      <c r="AFB110" s="637"/>
      <c r="AFC110" s="637"/>
      <c r="AFD110" s="637"/>
      <c r="AFE110" s="637"/>
      <c r="AFF110" s="637"/>
      <c r="AFG110" s="637"/>
      <c r="AFH110" s="637"/>
      <c r="AFI110" s="637"/>
      <c r="AFJ110" s="637"/>
      <c r="AFK110" s="637"/>
      <c r="AFL110" s="637"/>
      <c r="AFM110" s="637"/>
      <c r="AFN110" s="637"/>
      <c r="AFO110" s="637"/>
      <c r="AFP110" s="637"/>
      <c r="AFQ110" s="637"/>
      <c r="AFR110" s="637"/>
      <c r="AFS110" s="637"/>
      <c r="AFT110" s="637"/>
      <c r="AFU110" s="637"/>
      <c r="AFV110" s="637"/>
      <c r="AFW110" s="637"/>
      <c r="AFX110" s="637"/>
      <c r="AFY110" s="637"/>
      <c r="AFZ110" s="637"/>
      <c r="AGA110" s="637"/>
      <c r="AGB110" s="637"/>
      <c r="AGC110" s="637"/>
      <c r="AGD110" s="637"/>
      <c r="AGE110" s="637"/>
      <c r="AGF110" s="637"/>
      <c r="AGG110" s="637"/>
      <c r="AGH110" s="637"/>
      <c r="AGI110" s="637"/>
      <c r="AGJ110" s="637"/>
      <c r="AGK110" s="637"/>
      <c r="AGL110" s="637"/>
      <c r="AGM110" s="637"/>
      <c r="AGN110" s="637"/>
      <c r="AGO110" s="637"/>
      <c r="AGP110" s="637"/>
      <c r="AGQ110" s="637"/>
      <c r="AGR110" s="637"/>
      <c r="AGS110" s="637"/>
      <c r="AGT110" s="637"/>
      <c r="AGU110" s="637"/>
      <c r="AGV110" s="637"/>
      <c r="AGW110" s="637"/>
      <c r="AGX110" s="637"/>
      <c r="AGY110" s="637"/>
      <c r="AGZ110" s="637"/>
      <c r="AHA110" s="637"/>
      <c r="AHB110" s="637"/>
      <c r="AHC110" s="637"/>
      <c r="AHD110" s="637"/>
      <c r="AHE110" s="637"/>
      <c r="AHF110" s="637"/>
      <c r="AHG110" s="637"/>
      <c r="AHH110" s="637"/>
      <c r="AHI110" s="637"/>
      <c r="AHJ110" s="637"/>
      <c r="AHK110" s="637"/>
      <c r="AHL110" s="637"/>
      <c r="AHM110" s="637"/>
      <c r="AHN110" s="637"/>
      <c r="AHO110" s="637"/>
      <c r="AHP110" s="637"/>
      <c r="AHQ110" s="637"/>
      <c r="AHR110" s="637"/>
      <c r="AHS110" s="637"/>
      <c r="AHT110" s="637"/>
      <c r="AHU110" s="637"/>
      <c r="AHV110" s="637"/>
      <c r="AHW110" s="637"/>
      <c r="AHX110" s="637"/>
      <c r="AHY110" s="637"/>
      <c r="AHZ110" s="637"/>
      <c r="AIA110" s="637"/>
      <c r="AIB110" s="637"/>
      <c r="AIC110" s="637"/>
      <c r="AID110" s="637"/>
      <c r="AIE110" s="637"/>
      <c r="AIF110" s="637"/>
      <c r="AIG110" s="637"/>
      <c r="AIH110" s="637"/>
      <c r="AII110" s="637"/>
      <c r="AIJ110" s="637"/>
      <c r="AIK110" s="637"/>
      <c r="AIL110" s="637"/>
      <c r="AIM110" s="637"/>
      <c r="AIN110" s="637"/>
      <c r="AIO110" s="637"/>
      <c r="AIP110" s="637"/>
      <c r="AIQ110" s="637"/>
      <c r="AIR110" s="637"/>
      <c r="AIS110" s="637"/>
      <c r="AIT110" s="637"/>
      <c r="AIU110" s="637"/>
      <c r="AIV110" s="637"/>
      <c r="AIW110" s="637"/>
      <c r="AIX110" s="637"/>
      <c r="AIY110" s="637"/>
      <c r="AIZ110" s="637"/>
      <c r="AJA110" s="637"/>
      <c r="AJB110" s="637"/>
      <c r="AJC110" s="637"/>
      <c r="AJD110" s="637"/>
      <c r="AJE110" s="637"/>
      <c r="AJF110" s="637"/>
      <c r="AJG110" s="637"/>
      <c r="AJH110" s="637"/>
      <c r="AJI110" s="637"/>
      <c r="AJJ110" s="637"/>
      <c r="AJK110" s="637"/>
      <c r="AJL110" s="637"/>
      <c r="AJM110" s="637"/>
      <c r="AJN110" s="637"/>
      <c r="AJO110" s="637"/>
      <c r="AJP110" s="637"/>
      <c r="AJQ110" s="637"/>
      <c r="AJR110" s="637"/>
      <c r="AJS110" s="637"/>
      <c r="AJT110" s="637"/>
      <c r="AJU110" s="637"/>
      <c r="AJV110" s="637"/>
      <c r="AJW110" s="637"/>
      <c r="AJX110" s="637"/>
      <c r="AJY110" s="637"/>
      <c r="AJZ110" s="637"/>
      <c r="AKA110" s="637"/>
      <c r="AKB110" s="637"/>
      <c r="AKC110" s="637"/>
      <c r="AKD110" s="637"/>
      <c r="AKE110" s="637"/>
      <c r="AKF110" s="637"/>
      <c r="AKG110" s="637"/>
      <c r="AKH110" s="637"/>
      <c r="AKI110" s="637"/>
      <c r="AKJ110" s="637"/>
      <c r="AKK110" s="637"/>
      <c r="AKL110" s="637"/>
      <c r="AKM110" s="637"/>
      <c r="AKN110" s="637"/>
      <c r="AKO110" s="637"/>
      <c r="AKP110" s="637"/>
      <c r="AKQ110" s="637"/>
      <c r="AKR110" s="637"/>
      <c r="AKS110" s="637"/>
      <c r="AKT110" s="637"/>
      <c r="AKU110" s="637"/>
      <c r="AKV110" s="637"/>
      <c r="AKW110" s="637"/>
      <c r="AKX110" s="637"/>
      <c r="AKY110" s="637"/>
      <c r="AKZ110" s="637"/>
      <c r="ALA110" s="637"/>
      <c r="ALB110" s="637"/>
      <c r="ALC110" s="637"/>
      <c r="ALD110" s="637"/>
      <c r="ALE110" s="637"/>
      <c r="ALF110" s="637"/>
      <c r="ALG110" s="637"/>
      <c r="ALH110" s="637"/>
      <c r="ALI110" s="637"/>
      <c r="ALJ110" s="637"/>
      <c r="ALK110" s="637"/>
      <c r="ALL110" s="637"/>
      <c r="ALM110" s="637"/>
      <c r="ALN110" s="637"/>
      <c r="ALO110" s="637"/>
      <c r="ALP110" s="637"/>
      <c r="ALQ110" s="637"/>
      <c r="ALR110" s="637"/>
      <c r="ALS110" s="637"/>
      <c r="ALT110" s="637"/>
      <c r="ALU110" s="637"/>
      <c r="ALV110" s="637"/>
      <c r="ALW110" s="637"/>
      <c r="ALX110" s="637"/>
      <c r="ALY110" s="637"/>
      <c r="ALZ110" s="637"/>
      <c r="AMA110" s="637"/>
      <c r="AMB110" s="637"/>
      <c r="AMC110" s="637"/>
      <c r="AMD110" s="637"/>
      <c r="AME110" s="637"/>
      <c r="AMF110" s="637"/>
      <c r="AMG110" s="637"/>
      <c r="AMH110" s="637"/>
      <c r="AMI110" s="637"/>
      <c r="AMJ110" s="637"/>
    </row>
    <row r="111" spans="1:1024" s="638" customFormat="1" ht="12.75">
      <c r="A111" s="984" t="s">
        <v>121</v>
      </c>
      <c r="B111" s="985" t="s">
        <v>1013</v>
      </c>
      <c r="C111" s="986" t="s">
        <v>1014</v>
      </c>
      <c r="D111" s="981" t="s">
        <v>4</v>
      </c>
      <c r="E111" s="982">
        <v>0</v>
      </c>
      <c r="F111" s="982">
        <f t="shared" si="13"/>
        <v>0</v>
      </c>
      <c r="G111" s="987"/>
      <c r="H111" s="987"/>
      <c r="I111" s="987"/>
      <c r="J111" s="987"/>
      <c r="K111" s="987"/>
      <c r="L111" s="987"/>
      <c r="M111" s="987"/>
      <c r="N111" s="987"/>
      <c r="O111" s="1013"/>
      <c r="P111" s="987"/>
      <c r="Q111" s="987"/>
      <c r="R111" s="984"/>
      <c r="S111" s="637"/>
      <c r="T111" s="637"/>
      <c r="U111" s="637"/>
      <c r="V111" s="637"/>
      <c r="W111" s="637"/>
      <c r="X111" s="637"/>
      <c r="Y111" s="637"/>
      <c r="Z111" s="637"/>
      <c r="AA111" s="637"/>
      <c r="AB111" s="637"/>
      <c r="AC111" s="637"/>
      <c r="AD111" s="637"/>
      <c r="AE111" s="637"/>
      <c r="AF111" s="637"/>
      <c r="AG111" s="637"/>
      <c r="AH111" s="637"/>
      <c r="AI111" s="637"/>
      <c r="AJ111" s="637"/>
      <c r="AK111" s="637"/>
      <c r="AL111" s="637"/>
      <c r="AM111" s="637"/>
      <c r="AN111" s="637"/>
      <c r="AO111" s="637"/>
      <c r="AP111" s="637"/>
      <c r="AQ111" s="637"/>
      <c r="AR111" s="637"/>
      <c r="AS111" s="637"/>
      <c r="AT111" s="637"/>
      <c r="AU111" s="637"/>
      <c r="AV111" s="637"/>
      <c r="AW111" s="637"/>
      <c r="AX111" s="637"/>
      <c r="AY111" s="637"/>
      <c r="AZ111" s="637"/>
      <c r="BA111" s="637"/>
      <c r="BB111" s="637"/>
      <c r="BC111" s="637"/>
      <c r="BD111" s="637"/>
      <c r="BE111" s="637"/>
      <c r="BF111" s="637"/>
      <c r="BG111" s="637"/>
      <c r="BH111" s="637"/>
      <c r="BI111" s="637"/>
      <c r="BJ111" s="637"/>
      <c r="BK111" s="637"/>
      <c r="BL111" s="637"/>
      <c r="BM111" s="637"/>
      <c r="BN111" s="637"/>
      <c r="BO111" s="637"/>
      <c r="BP111" s="637"/>
      <c r="BQ111" s="637"/>
      <c r="BR111" s="637"/>
      <c r="BS111" s="637"/>
      <c r="BT111" s="637"/>
      <c r="BU111" s="637"/>
      <c r="BV111" s="637"/>
      <c r="BW111" s="637"/>
      <c r="BX111" s="637"/>
      <c r="BY111" s="637"/>
      <c r="BZ111" s="637"/>
      <c r="CA111" s="637"/>
      <c r="CB111" s="637"/>
      <c r="CC111" s="637"/>
      <c r="CD111" s="637"/>
      <c r="CE111" s="637"/>
      <c r="CF111" s="637"/>
      <c r="CG111" s="637"/>
      <c r="CH111" s="637"/>
      <c r="CI111" s="637"/>
      <c r="CJ111" s="637"/>
      <c r="CK111" s="637"/>
      <c r="CL111" s="637"/>
      <c r="CM111" s="637"/>
      <c r="CN111" s="637"/>
      <c r="CO111" s="637"/>
      <c r="CP111" s="637"/>
      <c r="CQ111" s="637"/>
      <c r="CR111" s="637"/>
      <c r="CS111" s="637"/>
      <c r="CT111" s="637"/>
      <c r="CU111" s="637"/>
      <c r="CV111" s="637"/>
      <c r="CW111" s="637"/>
      <c r="CX111" s="637"/>
      <c r="CY111" s="637"/>
      <c r="CZ111" s="637"/>
      <c r="DA111" s="637"/>
      <c r="DB111" s="637"/>
      <c r="DC111" s="637"/>
      <c r="DD111" s="637"/>
      <c r="DE111" s="637"/>
      <c r="DF111" s="637"/>
      <c r="DG111" s="637"/>
      <c r="DH111" s="637"/>
      <c r="DI111" s="637"/>
      <c r="DJ111" s="637"/>
      <c r="DK111" s="637"/>
      <c r="DL111" s="637"/>
      <c r="DM111" s="637"/>
      <c r="DN111" s="637"/>
      <c r="DO111" s="637"/>
      <c r="DP111" s="637"/>
      <c r="DQ111" s="637"/>
      <c r="DR111" s="637"/>
      <c r="DS111" s="637"/>
      <c r="DT111" s="637"/>
      <c r="DU111" s="637"/>
      <c r="DV111" s="637"/>
      <c r="DW111" s="637"/>
      <c r="DX111" s="637"/>
      <c r="DY111" s="637"/>
      <c r="DZ111" s="637"/>
      <c r="EA111" s="637"/>
      <c r="EB111" s="637"/>
      <c r="EC111" s="637"/>
      <c r="ED111" s="637"/>
      <c r="EE111" s="637"/>
      <c r="EF111" s="637"/>
      <c r="EG111" s="637"/>
      <c r="EH111" s="637"/>
      <c r="EI111" s="637"/>
      <c r="EJ111" s="637"/>
      <c r="EK111" s="637"/>
      <c r="EL111" s="637"/>
      <c r="EM111" s="637"/>
      <c r="EN111" s="637"/>
      <c r="EO111" s="637"/>
      <c r="EP111" s="637"/>
      <c r="EQ111" s="637"/>
      <c r="ER111" s="637"/>
      <c r="ES111" s="637"/>
      <c r="ET111" s="637"/>
      <c r="EU111" s="637"/>
      <c r="EV111" s="637"/>
      <c r="EW111" s="637"/>
      <c r="EX111" s="637"/>
      <c r="EY111" s="637"/>
      <c r="EZ111" s="637"/>
      <c r="FA111" s="637"/>
      <c r="FB111" s="637"/>
      <c r="FC111" s="637"/>
      <c r="FD111" s="637"/>
      <c r="FE111" s="637"/>
      <c r="FF111" s="637"/>
      <c r="FG111" s="637"/>
      <c r="FH111" s="637"/>
      <c r="FI111" s="637"/>
      <c r="FJ111" s="637"/>
      <c r="FK111" s="637"/>
      <c r="FL111" s="637"/>
      <c r="FM111" s="637"/>
      <c r="FN111" s="637"/>
      <c r="FO111" s="637"/>
      <c r="FP111" s="637"/>
      <c r="FQ111" s="637"/>
      <c r="FR111" s="637"/>
      <c r="FS111" s="637"/>
      <c r="FT111" s="637"/>
      <c r="FU111" s="637"/>
      <c r="FV111" s="637"/>
      <c r="FW111" s="637"/>
      <c r="FX111" s="637"/>
      <c r="FY111" s="637"/>
      <c r="FZ111" s="637"/>
      <c r="GA111" s="637"/>
      <c r="GB111" s="637"/>
      <c r="GC111" s="637"/>
      <c r="GD111" s="637"/>
      <c r="GE111" s="637"/>
      <c r="GF111" s="637"/>
      <c r="GG111" s="637"/>
      <c r="GH111" s="637"/>
      <c r="GI111" s="637"/>
      <c r="GJ111" s="637"/>
      <c r="GK111" s="637"/>
      <c r="GL111" s="637"/>
      <c r="GM111" s="637"/>
      <c r="GN111" s="637"/>
      <c r="GO111" s="637"/>
      <c r="GP111" s="637"/>
      <c r="GQ111" s="637"/>
      <c r="GR111" s="637"/>
      <c r="GS111" s="637"/>
      <c r="GT111" s="637"/>
      <c r="GU111" s="637"/>
      <c r="GV111" s="637"/>
      <c r="GW111" s="637"/>
      <c r="GX111" s="637"/>
      <c r="GY111" s="637"/>
      <c r="GZ111" s="637"/>
      <c r="HA111" s="637"/>
      <c r="HB111" s="637"/>
      <c r="HC111" s="637"/>
      <c r="HD111" s="637"/>
      <c r="HE111" s="637"/>
      <c r="HF111" s="637"/>
      <c r="HG111" s="637"/>
      <c r="HH111" s="637"/>
      <c r="HI111" s="637"/>
      <c r="HJ111" s="637"/>
      <c r="HK111" s="637"/>
      <c r="HL111" s="637"/>
      <c r="HM111" s="637"/>
      <c r="HN111" s="637"/>
      <c r="HO111" s="637"/>
      <c r="HP111" s="637"/>
      <c r="HQ111" s="637"/>
      <c r="HR111" s="637"/>
      <c r="HS111" s="637"/>
      <c r="HT111" s="637"/>
      <c r="HU111" s="637"/>
      <c r="HV111" s="637"/>
      <c r="HW111" s="637"/>
      <c r="HX111" s="637"/>
      <c r="HY111" s="637"/>
      <c r="HZ111" s="637"/>
      <c r="IA111" s="637"/>
      <c r="IB111" s="637"/>
      <c r="IC111" s="637"/>
      <c r="ID111" s="637"/>
      <c r="IE111" s="637"/>
      <c r="IF111" s="637"/>
      <c r="IG111" s="637"/>
      <c r="IH111" s="637"/>
      <c r="II111" s="637"/>
      <c r="IJ111" s="637"/>
      <c r="IK111" s="637"/>
      <c r="IL111" s="637"/>
      <c r="IM111" s="637"/>
      <c r="IN111" s="637"/>
      <c r="IO111" s="637"/>
      <c r="IP111" s="637"/>
      <c r="IQ111" s="637"/>
      <c r="IR111" s="637"/>
      <c r="IS111" s="637"/>
      <c r="IT111" s="637"/>
      <c r="IU111" s="637"/>
      <c r="IV111" s="637"/>
      <c r="IW111" s="637"/>
      <c r="IX111" s="637"/>
      <c r="IY111" s="637"/>
      <c r="IZ111" s="637"/>
      <c r="JA111" s="637"/>
      <c r="JB111" s="637"/>
      <c r="JC111" s="637"/>
      <c r="JD111" s="637"/>
      <c r="JE111" s="637"/>
      <c r="JF111" s="637"/>
      <c r="JG111" s="637"/>
      <c r="JH111" s="637"/>
      <c r="JI111" s="637"/>
      <c r="JJ111" s="637"/>
      <c r="JK111" s="637"/>
      <c r="JL111" s="637"/>
      <c r="JM111" s="637"/>
      <c r="JN111" s="637"/>
      <c r="JO111" s="637"/>
      <c r="JP111" s="637"/>
      <c r="JQ111" s="637"/>
      <c r="JR111" s="637"/>
      <c r="JS111" s="637"/>
      <c r="JT111" s="637"/>
      <c r="JU111" s="637"/>
      <c r="JV111" s="637"/>
      <c r="JW111" s="637"/>
      <c r="JX111" s="637"/>
      <c r="JY111" s="637"/>
      <c r="JZ111" s="637"/>
      <c r="KA111" s="637"/>
      <c r="KB111" s="637"/>
      <c r="KC111" s="637"/>
      <c r="KD111" s="637"/>
      <c r="KE111" s="637"/>
      <c r="KF111" s="637"/>
      <c r="KG111" s="637"/>
      <c r="KH111" s="637"/>
      <c r="KI111" s="637"/>
      <c r="KJ111" s="637"/>
      <c r="KK111" s="637"/>
      <c r="KL111" s="637"/>
      <c r="KM111" s="637"/>
      <c r="KN111" s="637"/>
      <c r="KO111" s="637"/>
      <c r="KP111" s="637"/>
      <c r="KQ111" s="637"/>
      <c r="KR111" s="637"/>
      <c r="KS111" s="637"/>
      <c r="KT111" s="637"/>
      <c r="KU111" s="637"/>
      <c r="KV111" s="637"/>
      <c r="KW111" s="637"/>
      <c r="KX111" s="637"/>
      <c r="KY111" s="637"/>
      <c r="KZ111" s="637"/>
      <c r="LA111" s="637"/>
      <c r="LB111" s="637"/>
      <c r="LC111" s="637"/>
      <c r="LD111" s="637"/>
      <c r="LE111" s="637"/>
      <c r="LF111" s="637"/>
      <c r="LG111" s="637"/>
      <c r="LH111" s="637"/>
      <c r="LI111" s="637"/>
      <c r="LJ111" s="637"/>
      <c r="LK111" s="637"/>
      <c r="LL111" s="637"/>
      <c r="LM111" s="637"/>
      <c r="LN111" s="637"/>
      <c r="LO111" s="637"/>
      <c r="LP111" s="637"/>
      <c r="LQ111" s="637"/>
      <c r="LR111" s="637"/>
      <c r="LS111" s="637"/>
      <c r="LT111" s="637"/>
      <c r="LU111" s="637"/>
      <c r="LV111" s="637"/>
      <c r="LW111" s="637"/>
      <c r="LX111" s="637"/>
      <c r="LY111" s="637"/>
      <c r="LZ111" s="637"/>
      <c r="MA111" s="637"/>
      <c r="MB111" s="637"/>
      <c r="MC111" s="637"/>
      <c r="MD111" s="637"/>
      <c r="ME111" s="637"/>
      <c r="MF111" s="637"/>
      <c r="MG111" s="637"/>
      <c r="MH111" s="637"/>
      <c r="MI111" s="637"/>
      <c r="MJ111" s="637"/>
      <c r="MK111" s="637"/>
      <c r="ML111" s="637"/>
      <c r="MM111" s="637"/>
      <c r="MN111" s="637"/>
      <c r="MO111" s="637"/>
      <c r="MP111" s="637"/>
      <c r="MQ111" s="637"/>
      <c r="MR111" s="637"/>
      <c r="MS111" s="637"/>
      <c r="MT111" s="637"/>
      <c r="MU111" s="637"/>
      <c r="MV111" s="637"/>
      <c r="MW111" s="637"/>
      <c r="MX111" s="637"/>
      <c r="MY111" s="637"/>
      <c r="MZ111" s="637"/>
      <c r="NA111" s="637"/>
      <c r="NB111" s="637"/>
      <c r="NC111" s="637"/>
      <c r="ND111" s="637"/>
      <c r="NE111" s="637"/>
      <c r="NF111" s="637"/>
      <c r="NG111" s="637"/>
      <c r="NH111" s="637"/>
      <c r="NI111" s="637"/>
      <c r="NJ111" s="637"/>
      <c r="NK111" s="637"/>
      <c r="NL111" s="637"/>
      <c r="NM111" s="637"/>
      <c r="NN111" s="637"/>
      <c r="NO111" s="637"/>
      <c r="NP111" s="637"/>
      <c r="NQ111" s="637"/>
      <c r="NR111" s="637"/>
      <c r="NS111" s="637"/>
      <c r="NT111" s="637"/>
      <c r="NU111" s="637"/>
      <c r="NV111" s="637"/>
      <c r="NW111" s="637"/>
      <c r="NX111" s="637"/>
      <c r="NY111" s="637"/>
      <c r="NZ111" s="637"/>
      <c r="OA111" s="637"/>
      <c r="OB111" s="637"/>
      <c r="OC111" s="637"/>
      <c r="OD111" s="637"/>
      <c r="OE111" s="637"/>
      <c r="OF111" s="637"/>
      <c r="OG111" s="637"/>
      <c r="OH111" s="637"/>
      <c r="OI111" s="637"/>
      <c r="OJ111" s="637"/>
      <c r="OK111" s="637"/>
      <c r="OL111" s="637"/>
      <c r="OM111" s="637"/>
      <c r="ON111" s="637"/>
      <c r="OO111" s="637"/>
      <c r="OP111" s="637"/>
      <c r="OQ111" s="637"/>
      <c r="OR111" s="637"/>
      <c r="OS111" s="637"/>
      <c r="OT111" s="637"/>
      <c r="OU111" s="637"/>
      <c r="OV111" s="637"/>
      <c r="OW111" s="637"/>
      <c r="OX111" s="637"/>
      <c r="OY111" s="637"/>
      <c r="OZ111" s="637"/>
      <c r="PA111" s="637"/>
      <c r="PB111" s="637"/>
      <c r="PC111" s="637"/>
      <c r="PD111" s="637"/>
      <c r="PE111" s="637"/>
      <c r="PF111" s="637"/>
      <c r="PG111" s="637"/>
      <c r="PH111" s="637"/>
      <c r="PI111" s="637"/>
      <c r="PJ111" s="637"/>
      <c r="PK111" s="637"/>
      <c r="PL111" s="637"/>
      <c r="PM111" s="637"/>
      <c r="PN111" s="637"/>
      <c r="PO111" s="637"/>
      <c r="PP111" s="637"/>
      <c r="PQ111" s="637"/>
      <c r="PR111" s="637"/>
      <c r="PS111" s="637"/>
      <c r="PT111" s="637"/>
      <c r="PU111" s="637"/>
      <c r="PV111" s="637"/>
      <c r="PW111" s="637"/>
      <c r="PX111" s="637"/>
      <c r="PY111" s="637"/>
      <c r="PZ111" s="637"/>
      <c r="QA111" s="637"/>
      <c r="QB111" s="637"/>
      <c r="QC111" s="637"/>
      <c r="QD111" s="637"/>
      <c r="QE111" s="637"/>
      <c r="QF111" s="637"/>
      <c r="QG111" s="637"/>
      <c r="QH111" s="637"/>
      <c r="QI111" s="637"/>
      <c r="QJ111" s="637"/>
      <c r="QK111" s="637"/>
      <c r="QL111" s="637"/>
      <c r="QM111" s="637"/>
      <c r="QN111" s="637"/>
      <c r="QO111" s="637"/>
      <c r="QP111" s="637"/>
      <c r="QQ111" s="637"/>
      <c r="QR111" s="637"/>
      <c r="QS111" s="637"/>
      <c r="QT111" s="637"/>
      <c r="QU111" s="637"/>
      <c r="QV111" s="637"/>
      <c r="QW111" s="637"/>
      <c r="QX111" s="637"/>
      <c r="QY111" s="637"/>
      <c r="QZ111" s="637"/>
      <c r="RA111" s="637"/>
      <c r="RB111" s="637"/>
      <c r="RC111" s="637"/>
      <c r="RD111" s="637"/>
      <c r="RE111" s="637"/>
      <c r="RF111" s="637"/>
      <c r="RG111" s="637"/>
      <c r="RH111" s="637"/>
      <c r="RI111" s="637"/>
      <c r="RJ111" s="637"/>
      <c r="RK111" s="637"/>
      <c r="RL111" s="637"/>
      <c r="RM111" s="637"/>
      <c r="RN111" s="637"/>
      <c r="RO111" s="637"/>
      <c r="RP111" s="637"/>
      <c r="RQ111" s="637"/>
      <c r="RR111" s="637"/>
      <c r="RS111" s="637"/>
      <c r="RT111" s="637"/>
      <c r="RU111" s="637"/>
      <c r="RV111" s="637"/>
      <c r="RW111" s="637"/>
      <c r="RX111" s="637"/>
      <c r="RY111" s="637"/>
      <c r="RZ111" s="637"/>
      <c r="SA111" s="637"/>
      <c r="SB111" s="637"/>
      <c r="SC111" s="637"/>
      <c r="SD111" s="637"/>
      <c r="SE111" s="637"/>
      <c r="SF111" s="637"/>
      <c r="SG111" s="637"/>
      <c r="SH111" s="637"/>
      <c r="SI111" s="637"/>
      <c r="SJ111" s="637"/>
      <c r="SK111" s="637"/>
      <c r="SL111" s="637"/>
      <c r="SM111" s="637"/>
      <c r="SN111" s="637"/>
      <c r="SO111" s="637"/>
      <c r="SP111" s="637"/>
      <c r="SQ111" s="637"/>
      <c r="SR111" s="637"/>
      <c r="SS111" s="637"/>
      <c r="ST111" s="637"/>
      <c r="SU111" s="637"/>
      <c r="SV111" s="637"/>
      <c r="SW111" s="637"/>
      <c r="SX111" s="637"/>
      <c r="SY111" s="637"/>
      <c r="SZ111" s="637"/>
      <c r="TA111" s="637"/>
      <c r="TB111" s="637"/>
      <c r="TC111" s="637"/>
      <c r="TD111" s="637"/>
      <c r="TE111" s="637"/>
      <c r="TF111" s="637"/>
      <c r="TG111" s="637"/>
      <c r="TH111" s="637"/>
      <c r="TI111" s="637"/>
      <c r="TJ111" s="637"/>
      <c r="TK111" s="637"/>
      <c r="TL111" s="637"/>
      <c r="TM111" s="637"/>
      <c r="TN111" s="637"/>
      <c r="TO111" s="637"/>
      <c r="TP111" s="637"/>
      <c r="TQ111" s="637"/>
      <c r="TR111" s="637"/>
      <c r="TS111" s="637"/>
      <c r="TT111" s="637"/>
      <c r="TU111" s="637"/>
      <c r="TV111" s="637"/>
      <c r="TW111" s="637"/>
      <c r="TX111" s="637"/>
      <c r="TY111" s="637"/>
      <c r="TZ111" s="637"/>
      <c r="UA111" s="637"/>
      <c r="UB111" s="637"/>
      <c r="UC111" s="637"/>
      <c r="UD111" s="637"/>
      <c r="UE111" s="637"/>
      <c r="UF111" s="637"/>
      <c r="UG111" s="637"/>
      <c r="UH111" s="637"/>
      <c r="UI111" s="637"/>
      <c r="UJ111" s="637"/>
      <c r="UK111" s="637"/>
      <c r="UL111" s="637"/>
      <c r="UM111" s="637"/>
      <c r="UN111" s="637"/>
      <c r="UO111" s="637"/>
      <c r="UP111" s="637"/>
      <c r="UQ111" s="637"/>
      <c r="UR111" s="637"/>
      <c r="US111" s="637"/>
      <c r="UT111" s="637"/>
      <c r="UU111" s="637"/>
      <c r="UV111" s="637"/>
      <c r="UW111" s="637"/>
      <c r="UX111" s="637"/>
      <c r="UY111" s="637"/>
      <c r="UZ111" s="637"/>
      <c r="VA111" s="637"/>
      <c r="VB111" s="637"/>
      <c r="VC111" s="637"/>
      <c r="VD111" s="637"/>
      <c r="VE111" s="637"/>
      <c r="VF111" s="637"/>
      <c r="VG111" s="637"/>
      <c r="VH111" s="637"/>
      <c r="VI111" s="637"/>
      <c r="VJ111" s="637"/>
      <c r="VK111" s="637"/>
      <c r="VL111" s="637"/>
      <c r="VM111" s="637"/>
      <c r="VN111" s="637"/>
      <c r="VO111" s="637"/>
      <c r="VP111" s="637"/>
      <c r="VQ111" s="637"/>
      <c r="VR111" s="637"/>
      <c r="VS111" s="637"/>
      <c r="VT111" s="637"/>
      <c r="VU111" s="637"/>
      <c r="VV111" s="637"/>
      <c r="VW111" s="637"/>
      <c r="VX111" s="637"/>
      <c r="VY111" s="637"/>
      <c r="VZ111" s="637"/>
      <c r="WA111" s="637"/>
      <c r="WB111" s="637"/>
      <c r="WC111" s="637"/>
      <c r="WD111" s="637"/>
      <c r="WE111" s="637"/>
      <c r="WF111" s="637"/>
      <c r="WG111" s="637"/>
      <c r="WH111" s="637"/>
      <c r="WI111" s="637"/>
      <c r="WJ111" s="637"/>
      <c r="WK111" s="637"/>
      <c r="WL111" s="637"/>
      <c r="WM111" s="637"/>
      <c r="WN111" s="637"/>
      <c r="WO111" s="637"/>
      <c r="WP111" s="637"/>
      <c r="WQ111" s="637"/>
      <c r="WR111" s="637"/>
      <c r="WS111" s="637"/>
      <c r="WT111" s="637"/>
      <c r="WU111" s="637"/>
      <c r="WV111" s="637"/>
      <c r="WW111" s="637"/>
      <c r="WX111" s="637"/>
      <c r="WY111" s="637"/>
      <c r="WZ111" s="637"/>
      <c r="XA111" s="637"/>
      <c r="XB111" s="637"/>
      <c r="XC111" s="637"/>
      <c r="XD111" s="637"/>
      <c r="XE111" s="637"/>
      <c r="XF111" s="637"/>
      <c r="XG111" s="637"/>
      <c r="XH111" s="637"/>
      <c r="XI111" s="637"/>
      <c r="XJ111" s="637"/>
      <c r="XK111" s="637"/>
      <c r="XL111" s="637"/>
      <c r="XM111" s="637"/>
      <c r="XN111" s="637"/>
      <c r="XO111" s="637"/>
      <c r="XP111" s="637"/>
      <c r="XQ111" s="637"/>
      <c r="XR111" s="637"/>
      <c r="XS111" s="637"/>
      <c r="XT111" s="637"/>
      <c r="XU111" s="637"/>
      <c r="XV111" s="637"/>
      <c r="XW111" s="637"/>
      <c r="XX111" s="637"/>
      <c r="XY111" s="637"/>
      <c r="XZ111" s="637"/>
      <c r="YA111" s="637"/>
      <c r="YB111" s="637"/>
      <c r="YC111" s="637"/>
      <c r="YD111" s="637"/>
      <c r="YE111" s="637"/>
      <c r="YF111" s="637"/>
      <c r="YG111" s="637"/>
      <c r="YH111" s="637"/>
      <c r="YI111" s="637"/>
      <c r="YJ111" s="637"/>
      <c r="YK111" s="637"/>
      <c r="YL111" s="637"/>
      <c r="YM111" s="637"/>
      <c r="YN111" s="637"/>
      <c r="YO111" s="637"/>
      <c r="YP111" s="637"/>
      <c r="YQ111" s="637"/>
      <c r="YR111" s="637"/>
      <c r="YS111" s="637"/>
      <c r="YT111" s="637"/>
      <c r="YU111" s="637"/>
      <c r="YV111" s="637"/>
      <c r="YW111" s="637"/>
      <c r="YX111" s="637"/>
      <c r="YY111" s="637"/>
      <c r="YZ111" s="637"/>
      <c r="ZA111" s="637"/>
      <c r="ZB111" s="637"/>
      <c r="ZC111" s="637"/>
      <c r="ZD111" s="637"/>
      <c r="ZE111" s="637"/>
      <c r="ZF111" s="637"/>
      <c r="ZG111" s="637"/>
      <c r="ZH111" s="637"/>
      <c r="ZI111" s="637"/>
      <c r="ZJ111" s="637"/>
      <c r="ZK111" s="637"/>
      <c r="ZL111" s="637"/>
      <c r="ZM111" s="637"/>
      <c r="ZN111" s="637"/>
      <c r="ZO111" s="637"/>
      <c r="ZP111" s="637"/>
      <c r="ZQ111" s="637"/>
      <c r="ZR111" s="637"/>
      <c r="ZS111" s="637"/>
      <c r="ZT111" s="637"/>
      <c r="ZU111" s="637"/>
      <c r="ZV111" s="637"/>
      <c r="ZW111" s="637"/>
      <c r="ZX111" s="637"/>
      <c r="ZY111" s="637"/>
      <c r="ZZ111" s="637"/>
      <c r="AAA111" s="637"/>
      <c r="AAB111" s="637"/>
      <c r="AAC111" s="637"/>
      <c r="AAD111" s="637"/>
      <c r="AAE111" s="637"/>
      <c r="AAF111" s="637"/>
      <c r="AAG111" s="637"/>
      <c r="AAH111" s="637"/>
      <c r="AAI111" s="637"/>
      <c r="AAJ111" s="637"/>
      <c r="AAK111" s="637"/>
      <c r="AAL111" s="637"/>
      <c r="AAM111" s="637"/>
      <c r="AAN111" s="637"/>
      <c r="AAO111" s="637"/>
      <c r="AAP111" s="637"/>
      <c r="AAQ111" s="637"/>
      <c r="AAR111" s="637"/>
      <c r="AAS111" s="637"/>
      <c r="AAT111" s="637"/>
      <c r="AAU111" s="637"/>
      <c r="AAV111" s="637"/>
      <c r="AAW111" s="637"/>
      <c r="AAX111" s="637"/>
      <c r="AAY111" s="637"/>
      <c r="AAZ111" s="637"/>
      <c r="ABA111" s="637"/>
      <c r="ABB111" s="637"/>
      <c r="ABC111" s="637"/>
      <c r="ABD111" s="637"/>
      <c r="ABE111" s="637"/>
      <c r="ABF111" s="637"/>
      <c r="ABG111" s="637"/>
      <c r="ABH111" s="637"/>
      <c r="ABI111" s="637"/>
      <c r="ABJ111" s="637"/>
      <c r="ABK111" s="637"/>
      <c r="ABL111" s="637"/>
      <c r="ABM111" s="637"/>
      <c r="ABN111" s="637"/>
      <c r="ABO111" s="637"/>
      <c r="ABP111" s="637"/>
      <c r="ABQ111" s="637"/>
      <c r="ABR111" s="637"/>
      <c r="ABS111" s="637"/>
      <c r="ABT111" s="637"/>
      <c r="ABU111" s="637"/>
      <c r="ABV111" s="637"/>
      <c r="ABW111" s="637"/>
      <c r="ABX111" s="637"/>
      <c r="ABY111" s="637"/>
      <c r="ABZ111" s="637"/>
      <c r="ACA111" s="637"/>
      <c r="ACB111" s="637"/>
      <c r="ACC111" s="637"/>
      <c r="ACD111" s="637"/>
      <c r="ACE111" s="637"/>
      <c r="ACF111" s="637"/>
      <c r="ACG111" s="637"/>
      <c r="ACH111" s="637"/>
      <c r="ACI111" s="637"/>
      <c r="ACJ111" s="637"/>
      <c r="ACK111" s="637"/>
      <c r="ACL111" s="637"/>
      <c r="ACM111" s="637"/>
      <c r="ACN111" s="637"/>
      <c r="ACO111" s="637"/>
      <c r="ACP111" s="637"/>
      <c r="ACQ111" s="637"/>
      <c r="ACR111" s="637"/>
      <c r="ACS111" s="637"/>
      <c r="ACT111" s="637"/>
      <c r="ACU111" s="637"/>
      <c r="ACV111" s="637"/>
      <c r="ACW111" s="637"/>
      <c r="ACX111" s="637"/>
      <c r="ACY111" s="637"/>
      <c r="ACZ111" s="637"/>
      <c r="ADA111" s="637"/>
      <c r="ADB111" s="637"/>
      <c r="ADC111" s="637"/>
      <c r="ADD111" s="637"/>
      <c r="ADE111" s="637"/>
      <c r="ADF111" s="637"/>
      <c r="ADG111" s="637"/>
      <c r="ADH111" s="637"/>
      <c r="ADI111" s="637"/>
      <c r="ADJ111" s="637"/>
      <c r="ADK111" s="637"/>
      <c r="ADL111" s="637"/>
      <c r="ADM111" s="637"/>
      <c r="ADN111" s="637"/>
      <c r="ADO111" s="637"/>
      <c r="ADP111" s="637"/>
      <c r="ADQ111" s="637"/>
      <c r="ADR111" s="637"/>
      <c r="ADS111" s="637"/>
      <c r="ADT111" s="637"/>
      <c r="ADU111" s="637"/>
      <c r="ADV111" s="637"/>
      <c r="ADW111" s="637"/>
      <c r="ADX111" s="637"/>
      <c r="ADY111" s="637"/>
      <c r="ADZ111" s="637"/>
      <c r="AEA111" s="637"/>
      <c r="AEB111" s="637"/>
      <c r="AEC111" s="637"/>
      <c r="AED111" s="637"/>
      <c r="AEE111" s="637"/>
      <c r="AEF111" s="637"/>
      <c r="AEG111" s="637"/>
      <c r="AEH111" s="637"/>
      <c r="AEI111" s="637"/>
      <c r="AEJ111" s="637"/>
      <c r="AEK111" s="637"/>
      <c r="AEL111" s="637"/>
      <c r="AEM111" s="637"/>
      <c r="AEN111" s="637"/>
      <c r="AEO111" s="637"/>
      <c r="AEP111" s="637"/>
      <c r="AEQ111" s="637"/>
      <c r="AER111" s="637"/>
      <c r="AES111" s="637"/>
      <c r="AET111" s="637"/>
      <c r="AEU111" s="637"/>
      <c r="AEV111" s="637"/>
      <c r="AEW111" s="637"/>
      <c r="AEX111" s="637"/>
      <c r="AEY111" s="637"/>
      <c r="AEZ111" s="637"/>
      <c r="AFA111" s="637"/>
      <c r="AFB111" s="637"/>
      <c r="AFC111" s="637"/>
      <c r="AFD111" s="637"/>
      <c r="AFE111" s="637"/>
      <c r="AFF111" s="637"/>
      <c r="AFG111" s="637"/>
      <c r="AFH111" s="637"/>
      <c r="AFI111" s="637"/>
      <c r="AFJ111" s="637"/>
      <c r="AFK111" s="637"/>
      <c r="AFL111" s="637"/>
      <c r="AFM111" s="637"/>
      <c r="AFN111" s="637"/>
      <c r="AFO111" s="637"/>
      <c r="AFP111" s="637"/>
      <c r="AFQ111" s="637"/>
      <c r="AFR111" s="637"/>
      <c r="AFS111" s="637"/>
      <c r="AFT111" s="637"/>
      <c r="AFU111" s="637"/>
      <c r="AFV111" s="637"/>
      <c r="AFW111" s="637"/>
      <c r="AFX111" s="637"/>
      <c r="AFY111" s="637"/>
      <c r="AFZ111" s="637"/>
      <c r="AGA111" s="637"/>
      <c r="AGB111" s="637"/>
      <c r="AGC111" s="637"/>
      <c r="AGD111" s="637"/>
      <c r="AGE111" s="637"/>
      <c r="AGF111" s="637"/>
      <c r="AGG111" s="637"/>
      <c r="AGH111" s="637"/>
      <c r="AGI111" s="637"/>
      <c r="AGJ111" s="637"/>
      <c r="AGK111" s="637"/>
      <c r="AGL111" s="637"/>
      <c r="AGM111" s="637"/>
      <c r="AGN111" s="637"/>
      <c r="AGO111" s="637"/>
      <c r="AGP111" s="637"/>
      <c r="AGQ111" s="637"/>
      <c r="AGR111" s="637"/>
      <c r="AGS111" s="637"/>
      <c r="AGT111" s="637"/>
      <c r="AGU111" s="637"/>
      <c r="AGV111" s="637"/>
      <c r="AGW111" s="637"/>
      <c r="AGX111" s="637"/>
      <c r="AGY111" s="637"/>
      <c r="AGZ111" s="637"/>
      <c r="AHA111" s="637"/>
      <c r="AHB111" s="637"/>
      <c r="AHC111" s="637"/>
      <c r="AHD111" s="637"/>
      <c r="AHE111" s="637"/>
      <c r="AHF111" s="637"/>
      <c r="AHG111" s="637"/>
      <c r="AHH111" s="637"/>
      <c r="AHI111" s="637"/>
      <c r="AHJ111" s="637"/>
      <c r="AHK111" s="637"/>
      <c r="AHL111" s="637"/>
      <c r="AHM111" s="637"/>
      <c r="AHN111" s="637"/>
      <c r="AHO111" s="637"/>
      <c r="AHP111" s="637"/>
      <c r="AHQ111" s="637"/>
      <c r="AHR111" s="637"/>
      <c r="AHS111" s="637"/>
      <c r="AHT111" s="637"/>
      <c r="AHU111" s="637"/>
      <c r="AHV111" s="637"/>
      <c r="AHW111" s="637"/>
      <c r="AHX111" s="637"/>
      <c r="AHY111" s="637"/>
      <c r="AHZ111" s="637"/>
      <c r="AIA111" s="637"/>
      <c r="AIB111" s="637"/>
      <c r="AIC111" s="637"/>
      <c r="AID111" s="637"/>
      <c r="AIE111" s="637"/>
      <c r="AIF111" s="637"/>
      <c r="AIG111" s="637"/>
      <c r="AIH111" s="637"/>
      <c r="AII111" s="637"/>
      <c r="AIJ111" s="637"/>
      <c r="AIK111" s="637"/>
      <c r="AIL111" s="637"/>
      <c r="AIM111" s="637"/>
      <c r="AIN111" s="637"/>
      <c r="AIO111" s="637"/>
      <c r="AIP111" s="637"/>
      <c r="AIQ111" s="637"/>
      <c r="AIR111" s="637"/>
      <c r="AIS111" s="637"/>
      <c r="AIT111" s="637"/>
      <c r="AIU111" s="637"/>
      <c r="AIV111" s="637"/>
      <c r="AIW111" s="637"/>
      <c r="AIX111" s="637"/>
      <c r="AIY111" s="637"/>
      <c r="AIZ111" s="637"/>
      <c r="AJA111" s="637"/>
      <c r="AJB111" s="637"/>
      <c r="AJC111" s="637"/>
      <c r="AJD111" s="637"/>
      <c r="AJE111" s="637"/>
      <c r="AJF111" s="637"/>
      <c r="AJG111" s="637"/>
      <c r="AJH111" s="637"/>
      <c r="AJI111" s="637"/>
      <c r="AJJ111" s="637"/>
      <c r="AJK111" s="637"/>
      <c r="AJL111" s="637"/>
      <c r="AJM111" s="637"/>
      <c r="AJN111" s="637"/>
      <c r="AJO111" s="637"/>
      <c r="AJP111" s="637"/>
      <c r="AJQ111" s="637"/>
      <c r="AJR111" s="637"/>
      <c r="AJS111" s="637"/>
      <c r="AJT111" s="637"/>
      <c r="AJU111" s="637"/>
      <c r="AJV111" s="637"/>
      <c r="AJW111" s="637"/>
      <c r="AJX111" s="637"/>
      <c r="AJY111" s="637"/>
      <c r="AJZ111" s="637"/>
      <c r="AKA111" s="637"/>
      <c r="AKB111" s="637"/>
      <c r="AKC111" s="637"/>
      <c r="AKD111" s="637"/>
      <c r="AKE111" s="637"/>
      <c r="AKF111" s="637"/>
      <c r="AKG111" s="637"/>
      <c r="AKH111" s="637"/>
      <c r="AKI111" s="637"/>
      <c r="AKJ111" s="637"/>
      <c r="AKK111" s="637"/>
      <c r="AKL111" s="637"/>
      <c r="AKM111" s="637"/>
      <c r="AKN111" s="637"/>
      <c r="AKO111" s="637"/>
      <c r="AKP111" s="637"/>
      <c r="AKQ111" s="637"/>
      <c r="AKR111" s="637"/>
      <c r="AKS111" s="637"/>
      <c r="AKT111" s="637"/>
      <c r="AKU111" s="637"/>
      <c r="AKV111" s="637"/>
      <c r="AKW111" s="637"/>
      <c r="AKX111" s="637"/>
      <c r="AKY111" s="637"/>
      <c r="AKZ111" s="637"/>
      <c r="ALA111" s="637"/>
      <c r="ALB111" s="637"/>
      <c r="ALC111" s="637"/>
      <c r="ALD111" s="637"/>
      <c r="ALE111" s="637"/>
      <c r="ALF111" s="637"/>
      <c r="ALG111" s="637"/>
      <c r="ALH111" s="637"/>
      <c r="ALI111" s="637"/>
      <c r="ALJ111" s="637"/>
      <c r="ALK111" s="637"/>
      <c r="ALL111" s="637"/>
      <c r="ALM111" s="637"/>
      <c r="ALN111" s="637"/>
      <c r="ALO111" s="637"/>
      <c r="ALP111" s="637"/>
      <c r="ALQ111" s="637"/>
      <c r="ALR111" s="637"/>
      <c r="ALS111" s="637"/>
      <c r="ALT111" s="637"/>
      <c r="ALU111" s="637"/>
      <c r="ALV111" s="637"/>
      <c r="ALW111" s="637"/>
      <c r="ALX111" s="637"/>
      <c r="ALY111" s="637"/>
      <c r="ALZ111" s="637"/>
      <c r="AMA111" s="637"/>
      <c r="AMB111" s="637"/>
      <c r="AMC111" s="637"/>
      <c r="AMD111" s="637"/>
      <c r="AME111" s="637"/>
      <c r="AMF111" s="637"/>
      <c r="AMG111" s="637"/>
      <c r="AMH111" s="637"/>
      <c r="AMI111" s="637"/>
      <c r="AMJ111" s="637"/>
    </row>
    <row r="112" spans="1:1024" s="638" customFormat="1" ht="12.75">
      <c r="A112" s="984"/>
      <c r="B112" s="985"/>
      <c r="C112" s="986"/>
      <c r="D112" s="981" t="s">
        <v>861</v>
      </c>
      <c r="E112" s="982">
        <v>184</v>
      </c>
      <c r="F112" s="982">
        <f t="shared" si="13"/>
        <v>218</v>
      </c>
      <c r="G112" s="987">
        <v>147</v>
      </c>
      <c r="H112" s="987">
        <v>49</v>
      </c>
      <c r="I112" s="987">
        <v>22</v>
      </c>
      <c r="J112" s="987"/>
      <c r="K112" s="987"/>
      <c r="L112" s="987"/>
      <c r="M112" s="987"/>
      <c r="N112" s="987"/>
      <c r="O112" s="1013"/>
      <c r="P112" s="987"/>
      <c r="Q112" s="987"/>
      <c r="R112" s="984"/>
      <c r="S112" s="637"/>
      <c r="T112" s="637"/>
      <c r="U112" s="637"/>
      <c r="V112" s="637"/>
      <c r="W112" s="637"/>
      <c r="X112" s="637"/>
      <c r="Y112" s="637"/>
      <c r="Z112" s="637"/>
      <c r="AA112" s="637"/>
      <c r="AB112" s="637"/>
      <c r="AC112" s="637"/>
      <c r="AD112" s="637"/>
      <c r="AE112" s="637"/>
      <c r="AF112" s="637"/>
      <c r="AG112" s="637"/>
      <c r="AH112" s="637"/>
      <c r="AI112" s="637"/>
      <c r="AJ112" s="637"/>
      <c r="AK112" s="637"/>
      <c r="AL112" s="637"/>
      <c r="AM112" s="637"/>
      <c r="AN112" s="637"/>
      <c r="AO112" s="637"/>
      <c r="AP112" s="637"/>
      <c r="AQ112" s="637"/>
      <c r="AR112" s="637"/>
      <c r="AS112" s="637"/>
      <c r="AT112" s="637"/>
      <c r="AU112" s="637"/>
      <c r="AV112" s="637"/>
      <c r="AW112" s="637"/>
      <c r="AX112" s="637"/>
      <c r="AY112" s="637"/>
      <c r="AZ112" s="637"/>
      <c r="BA112" s="637"/>
      <c r="BB112" s="637"/>
      <c r="BC112" s="637"/>
      <c r="BD112" s="637"/>
      <c r="BE112" s="637"/>
      <c r="BF112" s="637"/>
      <c r="BG112" s="637"/>
      <c r="BH112" s="637"/>
      <c r="BI112" s="637"/>
      <c r="BJ112" s="637"/>
      <c r="BK112" s="637"/>
      <c r="BL112" s="637"/>
      <c r="BM112" s="637"/>
      <c r="BN112" s="637"/>
      <c r="BO112" s="637"/>
      <c r="BP112" s="637"/>
      <c r="BQ112" s="637"/>
      <c r="BR112" s="637"/>
      <c r="BS112" s="637"/>
      <c r="BT112" s="637"/>
      <c r="BU112" s="637"/>
      <c r="BV112" s="637"/>
      <c r="BW112" s="637"/>
      <c r="BX112" s="637"/>
      <c r="BY112" s="637"/>
      <c r="BZ112" s="637"/>
      <c r="CA112" s="637"/>
      <c r="CB112" s="637"/>
      <c r="CC112" s="637"/>
      <c r="CD112" s="637"/>
      <c r="CE112" s="637"/>
      <c r="CF112" s="637"/>
      <c r="CG112" s="637"/>
      <c r="CH112" s="637"/>
      <c r="CI112" s="637"/>
      <c r="CJ112" s="637"/>
      <c r="CK112" s="637"/>
      <c r="CL112" s="637"/>
      <c r="CM112" s="637"/>
      <c r="CN112" s="637"/>
      <c r="CO112" s="637"/>
      <c r="CP112" s="637"/>
      <c r="CQ112" s="637"/>
      <c r="CR112" s="637"/>
      <c r="CS112" s="637"/>
      <c r="CT112" s="637"/>
      <c r="CU112" s="637"/>
      <c r="CV112" s="637"/>
      <c r="CW112" s="637"/>
      <c r="CX112" s="637"/>
      <c r="CY112" s="637"/>
      <c r="CZ112" s="637"/>
      <c r="DA112" s="637"/>
      <c r="DB112" s="637"/>
      <c r="DC112" s="637"/>
      <c r="DD112" s="637"/>
      <c r="DE112" s="637"/>
      <c r="DF112" s="637"/>
      <c r="DG112" s="637"/>
      <c r="DH112" s="637"/>
      <c r="DI112" s="637"/>
      <c r="DJ112" s="637"/>
      <c r="DK112" s="637"/>
      <c r="DL112" s="637"/>
      <c r="DM112" s="637"/>
      <c r="DN112" s="637"/>
      <c r="DO112" s="637"/>
      <c r="DP112" s="637"/>
      <c r="DQ112" s="637"/>
      <c r="DR112" s="637"/>
      <c r="DS112" s="637"/>
      <c r="DT112" s="637"/>
      <c r="DU112" s="637"/>
      <c r="DV112" s="637"/>
      <c r="DW112" s="637"/>
      <c r="DX112" s="637"/>
      <c r="DY112" s="637"/>
      <c r="DZ112" s="637"/>
      <c r="EA112" s="637"/>
      <c r="EB112" s="637"/>
      <c r="EC112" s="637"/>
      <c r="ED112" s="637"/>
      <c r="EE112" s="637"/>
      <c r="EF112" s="637"/>
      <c r="EG112" s="637"/>
      <c r="EH112" s="637"/>
      <c r="EI112" s="637"/>
      <c r="EJ112" s="637"/>
      <c r="EK112" s="637"/>
      <c r="EL112" s="637"/>
      <c r="EM112" s="637"/>
      <c r="EN112" s="637"/>
      <c r="EO112" s="637"/>
      <c r="EP112" s="637"/>
      <c r="EQ112" s="637"/>
      <c r="ER112" s="637"/>
      <c r="ES112" s="637"/>
      <c r="ET112" s="637"/>
      <c r="EU112" s="637"/>
      <c r="EV112" s="637"/>
      <c r="EW112" s="637"/>
      <c r="EX112" s="637"/>
      <c r="EY112" s="637"/>
      <c r="EZ112" s="637"/>
      <c r="FA112" s="637"/>
      <c r="FB112" s="637"/>
      <c r="FC112" s="637"/>
      <c r="FD112" s="637"/>
      <c r="FE112" s="637"/>
      <c r="FF112" s="637"/>
      <c r="FG112" s="637"/>
      <c r="FH112" s="637"/>
      <c r="FI112" s="637"/>
      <c r="FJ112" s="637"/>
      <c r="FK112" s="637"/>
      <c r="FL112" s="637"/>
      <c r="FM112" s="637"/>
      <c r="FN112" s="637"/>
      <c r="FO112" s="637"/>
      <c r="FP112" s="637"/>
      <c r="FQ112" s="637"/>
      <c r="FR112" s="637"/>
      <c r="FS112" s="637"/>
      <c r="FT112" s="637"/>
      <c r="FU112" s="637"/>
      <c r="FV112" s="637"/>
      <c r="FW112" s="637"/>
      <c r="FX112" s="637"/>
      <c r="FY112" s="637"/>
      <c r="FZ112" s="637"/>
      <c r="GA112" s="637"/>
      <c r="GB112" s="637"/>
      <c r="GC112" s="637"/>
      <c r="GD112" s="637"/>
      <c r="GE112" s="637"/>
      <c r="GF112" s="637"/>
      <c r="GG112" s="637"/>
      <c r="GH112" s="637"/>
      <c r="GI112" s="637"/>
      <c r="GJ112" s="637"/>
      <c r="GK112" s="637"/>
      <c r="GL112" s="637"/>
      <c r="GM112" s="637"/>
      <c r="GN112" s="637"/>
      <c r="GO112" s="637"/>
      <c r="GP112" s="637"/>
      <c r="GQ112" s="637"/>
      <c r="GR112" s="637"/>
      <c r="GS112" s="637"/>
      <c r="GT112" s="637"/>
      <c r="GU112" s="637"/>
      <c r="GV112" s="637"/>
      <c r="GW112" s="637"/>
      <c r="GX112" s="637"/>
      <c r="GY112" s="637"/>
      <c r="GZ112" s="637"/>
      <c r="HA112" s="637"/>
      <c r="HB112" s="637"/>
      <c r="HC112" s="637"/>
      <c r="HD112" s="637"/>
      <c r="HE112" s="637"/>
      <c r="HF112" s="637"/>
      <c r="HG112" s="637"/>
      <c r="HH112" s="637"/>
      <c r="HI112" s="637"/>
      <c r="HJ112" s="637"/>
      <c r="HK112" s="637"/>
      <c r="HL112" s="637"/>
      <c r="HM112" s="637"/>
      <c r="HN112" s="637"/>
      <c r="HO112" s="637"/>
      <c r="HP112" s="637"/>
      <c r="HQ112" s="637"/>
      <c r="HR112" s="637"/>
      <c r="HS112" s="637"/>
      <c r="HT112" s="637"/>
      <c r="HU112" s="637"/>
      <c r="HV112" s="637"/>
      <c r="HW112" s="637"/>
      <c r="HX112" s="637"/>
      <c r="HY112" s="637"/>
      <c r="HZ112" s="637"/>
      <c r="IA112" s="637"/>
      <c r="IB112" s="637"/>
      <c r="IC112" s="637"/>
      <c r="ID112" s="637"/>
      <c r="IE112" s="637"/>
      <c r="IF112" s="637"/>
      <c r="IG112" s="637"/>
      <c r="IH112" s="637"/>
      <c r="II112" s="637"/>
      <c r="IJ112" s="637"/>
      <c r="IK112" s="637"/>
      <c r="IL112" s="637"/>
      <c r="IM112" s="637"/>
      <c r="IN112" s="637"/>
      <c r="IO112" s="637"/>
      <c r="IP112" s="637"/>
      <c r="IQ112" s="637"/>
      <c r="IR112" s="637"/>
      <c r="IS112" s="637"/>
      <c r="IT112" s="637"/>
      <c r="IU112" s="637"/>
      <c r="IV112" s="637"/>
      <c r="IW112" s="637"/>
      <c r="IX112" s="637"/>
      <c r="IY112" s="637"/>
      <c r="IZ112" s="637"/>
      <c r="JA112" s="637"/>
      <c r="JB112" s="637"/>
      <c r="JC112" s="637"/>
      <c r="JD112" s="637"/>
      <c r="JE112" s="637"/>
      <c r="JF112" s="637"/>
      <c r="JG112" s="637"/>
      <c r="JH112" s="637"/>
      <c r="JI112" s="637"/>
      <c r="JJ112" s="637"/>
      <c r="JK112" s="637"/>
      <c r="JL112" s="637"/>
      <c r="JM112" s="637"/>
      <c r="JN112" s="637"/>
      <c r="JO112" s="637"/>
      <c r="JP112" s="637"/>
      <c r="JQ112" s="637"/>
      <c r="JR112" s="637"/>
      <c r="JS112" s="637"/>
      <c r="JT112" s="637"/>
      <c r="JU112" s="637"/>
      <c r="JV112" s="637"/>
      <c r="JW112" s="637"/>
      <c r="JX112" s="637"/>
      <c r="JY112" s="637"/>
      <c r="JZ112" s="637"/>
      <c r="KA112" s="637"/>
      <c r="KB112" s="637"/>
      <c r="KC112" s="637"/>
      <c r="KD112" s="637"/>
      <c r="KE112" s="637"/>
      <c r="KF112" s="637"/>
      <c r="KG112" s="637"/>
      <c r="KH112" s="637"/>
      <c r="KI112" s="637"/>
      <c r="KJ112" s="637"/>
      <c r="KK112" s="637"/>
      <c r="KL112" s="637"/>
      <c r="KM112" s="637"/>
      <c r="KN112" s="637"/>
      <c r="KO112" s="637"/>
      <c r="KP112" s="637"/>
      <c r="KQ112" s="637"/>
      <c r="KR112" s="637"/>
      <c r="KS112" s="637"/>
      <c r="KT112" s="637"/>
      <c r="KU112" s="637"/>
      <c r="KV112" s="637"/>
      <c r="KW112" s="637"/>
      <c r="KX112" s="637"/>
      <c r="KY112" s="637"/>
      <c r="KZ112" s="637"/>
      <c r="LA112" s="637"/>
      <c r="LB112" s="637"/>
      <c r="LC112" s="637"/>
      <c r="LD112" s="637"/>
      <c r="LE112" s="637"/>
      <c r="LF112" s="637"/>
      <c r="LG112" s="637"/>
      <c r="LH112" s="637"/>
      <c r="LI112" s="637"/>
      <c r="LJ112" s="637"/>
      <c r="LK112" s="637"/>
      <c r="LL112" s="637"/>
      <c r="LM112" s="637"/>
      <c r="LN112" s="637"/>
      <c r="LO112" s="637"/>
      <c r="LP112" s="637"/>
      <c r="LQ112" s="637"/>
      <c r="LR112" s="637"/>
      <c r="LS112" s="637"/>
      <c r="LT112" s="637"/>
      <c r="LU112" s="637"/>
      <c r="LV112" s="637"/>
      <c r="LW112" s="637"/>
      <c r="LX112" s="637"/>
      <c r="LY112" s="637"/>
      <c r="LZ112" s="637"/>
      <c r="MA112" s="637"/>
      <c r="MB112" s="637"/>
      <c r="MC112" s="637"/>
      <c r="MD112" s="637"/>
      <c r="ME112" s="637"/>
      <c r="MF112" s="637"/>
      <c r="MG112" s="637"/>
      <c r="MH112" s="637"/>
      <c r="MI112" s="637"/>
      <c r="MJ112" s="637"/>
      <c r="MK112" s="637"/>
      <c r="ML112" s="637"/>
      <c r="MM112" s="637"/>
      <c r="MN112" s="637"/>
      <c r="MO112" s="637"/>
      <c r="MP112" s="637"/>
      <c r="MQ112" s="637"/>
      <c r="MR112" s="637"/>
      <c r="MS112" s="637"/>
      <c r="MT112" s="637"/>
      <c r="MU112" s="637"/>
      <c r="MV112" s="637"/>
      <c r="MW112" s="637"/>
      <c r="MX112" s="637"/>
      <c r="MY112" s="637"/>
      <c r="MZ112" s="637"/>
      <c r="NA112" s="637"/>
      <c r="NB112" s="637"/>
      <c r="NC112" s="637"/>
      <c r="ND112" s="637"/>
      <c r="NE112" s="637"/>
      <c r="NF112" s="637"/>
      <c r="NG112" s="637"/>
      <c r="NH112" s="637"/>
      <c r="NI112" s="637"/>
      <c r="NJ112" s="637"/>
      <c r="NK112" s="637"/>
      <c r="NL112" s="637"/>
      <c r="NM112" s="637"/>
      <c r="NN112" s="637"/>
      <c r="NO112" s="637"/>
      <c r="NP112" s="637"/>
      <c r="NQ112" s="637"/>
      <c r="NR112" s="637"/>
      <c r="NS112" s="637"/>
      <c r="NT112" s="637"/>
      <c r="NU112" s="637"/>
      <c r="NV112" s="637"/>
      <c r="NW112" s="637"/>
      <c r="NX112" s="637"/>
      <c r="NY112" s="637"/>
      <c r="NZ112" s="637"/>
      <c r="OA112" s="637"/>
      <c r="OB112" s="637"/>
      <c r="OC112" s="637"/>
      <c r="OD112" s="637"/>
      <c r="OE112" s="637"/>
      <c r="OF112" s="637"/>
      <c r="OG112" s="637"/>
      <c r="OH112" s="637"/>
      <c r="OI112" s="637"/>
      <c r="OJ112" s="637"/>
      <c r="OK112" s="637"/>
      <c r="OL112" s="637"/>
      <c r="OM112" s="637"/>
      <c r="ON112" s="637"/>
      <c r="OO112" s="637"/>
      <c r="OP112" s="637"/>
      <c r="OQ112" s="637"/>
      <c r="OR112" s="637"/>
      <c r="OS112" s="637"/>
      <c r="OT112" s="637"/>
      <c r="OU112" s="637"/>
      <c r="OV112" s="637"/>
      <c r="OW112" s="637"/>
      <c r="OX112" s="637"/>
      <c r="OY112" s="637"/>
      <c r="OZ112" s="637"/>
      <c r="PA112" s="637"/>
      <c r="PB112" s="637"/>
      <c r="PC112" s="637"/>
      <c r="PD112" s="637"/>
      <c r="PE112" s="637"/>
      <c r="PF112" s="637"/>
      <c r="PG112" s="637"/>
      <c r="PH112" s="637"/>
      <c r="PI112" s="637"/>
      <c r="PJ112" s="637"/>
      <c r="PK112" s="637"/>
      <c r="PL112" s="637"/>
      <c r="PM112" s="637"/>
      <c r="PN112" s="637"/>
      <c r="PO112" s="637"/>
      <c r="PP112" s="637"/>
      <c r="PQ112" s="637"/>
      <c r="PR112" s="637"/>
      <c r="PS112" s="637"/>
      <c r="PT112" s="637"/>
      <c r="PU112" s="637"/>
      <c r="PV112" s="637"/>
      <c r="PW112" s="637"/>
      <c r="PX112" s="637"/>
      <c r="PY112" s="637"/>
      <c r="PZ112" s="637"/>
      <c r="QA112" s="637"/>
      <c r="QB112" s="637"/>
      <c r="QC112" s="637"/>
      <c r="QD112" s="637"/>
      <c r="QE112" s="637"/>
      <c r="QF112" s="637"/>
      <c r="QG112" s="637"/>
      <c r="QH112" s="637"/>
      <c r="QI112" s="637"/>
      <c r="QJ112" s="637"/>
      <c r="QK112" s="637"/>
      <c r="QL112" s="637"/>
      <c r="QM112" s="637"/>
      <c r="QN112" s="637"/>
      <c r="QO112" s="637"/>
      <c r="QP112" s="637"/>
      <c r="QQ112" s="637"/>
      <c r="QR112" s="637"/>
      <c r="QS112" s="637"/>
      <c r="QT112" s="637"/>
      <c r="QU112" s="637"/>
      <c r="QV112" s="637"/>
      <c r="QW112" s="637"/>
      <c r="QX112" s="637"/>
      <c r="QY112" s="637"/>
      <c r="QZ112" s="637"/>
      <c r="RA112" s="637"/>
      <c r="RB112" s="637"/>
      <c r="RC112" s="637"/>
      <c r="RD112" s="637"/>
      <c r="RE112" s="637"/>
      <c r="RF112" s="637"/>
      <c r="RG112" s="637"/>
      <c r="RH112" s="637"/>
      <c r="RI112" s="637"/>
      <c r="RJ112" s="637"/>
      <c r="RK112" s="637"/>
      <c r="RL112" s="637"/>
      <c r="RM112" s="637"/>
      <c r="RN112" s="637"/>
      <c r="RO112" s="637"/>
      <c r="RP112" s="637"/>
      <c r="RQ112" s="637"/>
      <c r="RR112" s="637"/>
      <c r="RS112" s="637"/>
      <c r="RT112" s="637"/>
      <c r="RU112" s="637"/>
      <c r="RV112" s="637"/>
      <c r="RW112" s="637"/>
      <c r="RX112" s="637"/>
      <c r="RY112" s="637"/>
      <c r="RZ112" s="637"/>
      <c r="SA112" s="637"/>
      <c r="SB112" s="637"/>
      <c r="SC112" s="637"/>
      <c r="SD112" s="637"/>
      <c r="SE112" s="637"/>
      <c r="SF112" s="637"/>
      <c r="SG112" s="637"/>
      <c r="SH112" s="637"/>
      <c r="SI112" s="637"/>
      <c r="SJ112" s="637"/>
      <c r="SK112" s="637"/>
      <c r="SL112" s="637"/>
      <c r="SM112" s="637"/>
      <c r="SN112" s="637"/>
      <c r="SO112" s="637"/>
      <c r="SP112" s="637"/>
      <c r="SQ112" s="637"/>
      <c r="SR112" s="637"/>
      <c r="SS112" s="637"/>
      <c r="ST112" s="637"/>
      <c r="SU112" s="637"/>
      <c r="SV112" s="637"/>
      <c r="SW112" s="637"/>
      <c r="SX112" s="637"/>
      <c r="SY112" s="637"/>
      <c r="SZ112" s="637"/>
      <c r="TA112" s="637"/>
      <c r="TB112" s="637"/>
      <c r="TC112" s="637"/>
      <c r="TD112" s="637"/>
      <c r="TE112" s="637"/>
      <c r="TF112" s="637"/>
      <c r="TG112" s="637"/>
      <c r="TH112" s="637"/>
      <c r="TI112" s="637"/>
      <c r="TJ112" s="637"/>
      <c r="TK112" s="637"/>
      <c r="TL112" s="637"/>
      <c r="TM112" s="637"/>
      <c r="TN112" s="637"/>
      <c r="TO112" s="637"/>
      <c r="TP112" s="637"/>
      <c r="TQ112" s="637"/>
      <c r="TR112" s="637"/>
      <c r="TS112" s="637"/>
      <c r="TT112" s="637"/>
      <c r="TU112" s="637"/>
      <c r="TV112" s="637"/>
      <c r="TW112" s="637"/>
      <c r="TX112" s="637"/>
      <c r="TY112" s="637"/>
      <c r="TZ112" s="637"/>
      <c r="UA112" s="637"/>
      <c r="UB112" s="637"/>
      <c r="UC112" s="637"/>
      <c r="UD112" s="637"/>
      <c r="UE112" s="637"/>
      <c r="UF112" s="637"/>
      <c r="UG112" s="637"/>
      <c r="UH112" s="637"/>
      <c r="UI112" s="637"/>
      <c r="UJ112" s="637"/>
      <c r="UK112" s="637"/>
      <c r="UL112" s="637"/>
      <c r="UM112" s="637"/>
      <c r="UN112" s="637"/>
      <c r="UO112" s="637"/>
      <c r="UP112" s="637"/>
      <c r="UQ112" s="637"/>
      <c r="UR112" s="637"/>
      <c r="US112" s="637"/>
      <c r="UT112" s="637"/>
      <c r="UU112" s="637"/>
      <c r="UV112" s="637"/>
      <c r="UW112" s="637"/>
      <c r="UX112" s="637"/>
      <c r="UY112" s="637"/>
      <c r="UZ112" s="637"/>
      <c r="VA112" s="637"/>
      <c r="VB112" s="637"/>
      <c r="VC112" s="637"/>
      <c r="VD112" s="637"/>
      <c r="VE112" s="637"/>
      <c r="VF112" s="637"/>
      <c r="VG112" s="637"/>
      <c r="VH112" s="637"/>
      <c r="VI112" s="637"/>
      <c r="VJ112" s="637"/>
      <c r="VK112" s="637"/>
      <c r="VL112" s="637"/>
      <c r="VM112" s="637"/>
      <c r="VN112" s="637"/>
      <c r="VO112" s="637"/>
      <c r="VP112" s="637"/>
      <c r="VQ112" s="637"/>
      <c r="VR112" s="637"/>
      <c r="VS112" s="637"/>
      <c r="VT112" s="637"/>
      <c r="VU112" s="637"/>
      <c r="VV112" s="637"/>
      <c r="VW112" s="637"/>
      <c r="VX112" s="637"/>
      <c r="VY112" s="637"/>
      <c r="VZ112" s="637"/>
      <c r="WA112" s="637"/>
      <c r="WB112" s="637"/>
      <c r="WC112" s="637"/>
      <c r="WD112" s="637"/>
      <c r="WE112" s="637"/>
      <c r="WF112" s="637"/>
      <c r="WG112" s="637"/>
      <c r="WH112" s="637"/>
      <c r="WI112" s="637"/>
      <c r="WJ112" s="637"/>
      <c r="WK112" s="637"/>
      <c r="WL112" s="637"/>
      <c r="WM112" s="637"/>
      <c r="WN112" s="637"/>
      <c r="WO112" s="637"/>
      <c r="WP112" s="637"/>
      <c r="WQ112" s="637"/>
      <c r="WR112" s="637"/>
      <c r="WS112" s="637"/>
      <c r="WT112" s="637"/>
      <c r="WU112" s="637"/>
      <c r="WV112" s="637"/>
      <c r="WW112" s="637"/>
      <c r="WX112" s="637"/>
      <c r="WY112" s="637"/>
      <c r="WZ112" s="637"/>
      <c r="XA112" s="637"/>
      <c r="XB112" s="637"/>
      <c r="XC112" s="637"/>
      <c r="XD112" s="637"/>
      <c r="XE112" s="637"/>
      <c r="XF112" s="637"/>
      <c r="XG112" s="637"/>
      <c r="XH112" s="637"/>
      <c r="XI112" s="637"/>
      <c r="XJ112" s="637"/>
      <c r="XK112" s="637"/>
      <c r="XL112" s="637"/>
      <c r="XM112" s="637"/>
      <c r="XN112" s="637"/>
      <c r="XO112" s="637"/>
      <c r="XP112" s="637"/>
      <c r="XQ112" s="637"/>
      <c r="XR112" s="637"/>
      <c r="XS112" s="637"/>
      <c r="XT112" s="637"/>
      <c r="XU112" s="637"/>
      <c r="XV112" s="637"/>
      <c r="XW112" s="637"/>
      <c r="XX112" s="637"/>
      <c r="XY112" s="637"/>
      <c r="XZ112" s="637"/>
      <c r="YA112" s="637"/>
      <c r="YB112" s="637"/>
      <c r="YC112" s="637"/>
      <c r="YD112" s="637"/>
      <c r="YE112" s="637"/>
      <c r="YF112" s="637"/>
      <c r="YG112" s="637"/>
      <c r="YH112" s="637"/>
      <c r="YI112" s="637"/>
      <c r="YJ112" s="637"/>
      <c r="YK112" s="637"/>
      <c r="YL112" s="637"/>
      <c r="YM112" s="637"/>
      <c r="YN112" s="637"/>
      <c r="YO112" s="637"/>
      <c r="YP112" s="637"/>
      <c r="YQ112" s="637"/>
      <c r="YR112" s="637"/>
      <c r="YS112" s="637"/>
      <c r="YT112" s="637"/>
      <c r="YU112" s="637"/>
      <c r="YV112" s="637"/>
      <c r="YW112" s="637"/>
      <c r="YX112" s="637"/>
      <c r="YY112" s="637"/>
      <c r="YZ112" s="637"/>
      <c r="ZA112" s="637"/>
      <c r="ZB112" s="637"/>
      <c r="ZC112" s="637"/>
      <c r="ZD112" s="637"/>
      <c r="ZE112" s="637"/>
      <c r="ZF112" s="637"/>
      <c r="ZG112" s="637"/>
      <c r="ZH112" s="637"/>
      <c r="ZI112" s="637"/>
      <c r="ZJ112" s="637"/>
      <c r="ZK112" s="637"/>
      <c r="ZL112" s="637"/>
      <c r="ZM112" s="637"/>
      <c r="ZN112" s="637"/>
      <c r="ZO112" s="637"/>
      <c r="ZP112" s="637"/>
      <c r="ZQ112" s="637"/>
      <c r="ZR112" s="637"/>
      <c r="ZS112" s="637"/>
      <c r="ZT112" s="637"/>
      <c r="ZU112" s="637"/>
      <c r="ZV112" s="637"/>
      <c r="ZW112" s="637"/>
      <c r="ZX112" s="637"/>
      <c r="ZY112" s="637"/>
      <c r="ZZ112" s="637"/>
      <c r="AAA112" s="637"/>
      <c r="AAB112" s="637"/>
      <c r="AAC112" s="637"/>
      <c r="AAD112" s="637"/>
      <c r="AAE112" s="637"/>
      <c r="AAF112" s="637"/>
      <c r="AAG112" s="637"/>
      <c r="AAH112" s="637"/>
      <c r="AAI112" s="637"/>
      <c r="AAJ112" s="637"/>
      <c r="AAK112" s="637"/>
      <c r="AAL112" s="637"/>
      <c r="AAM112" s="637"/>
      <c r="AAN112" s="637"/>
      <c r="AAO112" s="637"/>
      <c r="AAP112" s="637"/>
      <c r="AAQ112" s="637"/>
      <c r="AAR112" s="637"/>
      <c r="AAS112" s="637"/>
      <c r="AAT112" s="637"/>
      <c r="AAU112" s="637"/>
      <c r="AAV112" s="637"/>
      <c r="AAW112" s="637"/>
      <c r="AAX112" s="637"/>
      <c r="AAY112" s="637"/>
      <c r="AAZ112" s="637"/>
      <c r="ABA112" s="637"/>
      <c r="ABB112" s="637"/>
      <c r="ABC112" s="637"/>
      <c r="ABD112" s="637"/>
      <c r="ABE112" s="637"/>
      <c r="ABF112" s="637"/>
      <c r="ABG112" s="637"/>
      <c r="ABH112" s="637"/>
      <c r="ABI112" s="637"/>
      <c r="ABJ112" s="637"/>
      <c r="ABK112" s="637"/>
      <c r="ABL112" s="637"/>
      <c r="ABM112" s="637"/>
      <c r="ABN112" s="637"/>
      <c r="ABO112" s="637"/>
      <c r="ABP112" s="637"/>
      <c r="ABQ112" s="637"/>
      <c r="ABR112" s="637"/>
      <c r="ABS112" s="637"/>
      <c r="ABT112" s="637"/>
      <c r="ABU112" s="637"/>
      <c r="ABV112" s="637"/>
      <c r="ABW112" s="637"/>
      <c r="ABX112" s="637"/>
      <c r="ABY112" s="637"/>
      <c r="ABZ112" s="637"/>
      <c r="ACA112" s="637"/>
      <c r="ACB112" s="637"/>
      <c r="ACC112" s="637"/>
      <c r="ACD112" s="637"/>
      <c r="ACE112" s="637"/>
      <c r="ACF112" s="637"/>
      <c r="ACG112" s="637"/>
      <c r="ACH112" s="637"/>
      <c r="ACI112" s="637"/>
      <c r="ACJ112" s="637"/>
      <c r="ACK112" s="637"/>
      <c r="ACL112" s="637"/>
      <c r="ACM112" s="637"/>
      <c r="ACN112" s="637"/>
      <c r="ACO112" s="637"/>
      <c r="ACP112" s="637"/>
      <c r="ACQ112" s="637"/>
      <c r="ACR112" s="637"/>
      <c r="ACS112" s="637"/>
      <c r="ACT112" s="637"/>
      <c r="ACU112" s="637"/>
      <c r="ACV112" s="637"/>
      <c r="ACW112" s="637"/>
      <c r="ACX112" s="637"/>
      <c r="ACY112" s="637"/>
      <c r="ACZ112" s="637"/>
      <c r="ADA112" s="637"/>
      <c r="ADB112" s="637"/>
      <c r="ADC112" s="637"/>
      <c r="ADD112" s="637"/>
      <c r="ADE112" s="637"/>
      <c r="ADF112" s="637"/>
      <c r="ADG112" s="637"/>
      <c r="ADH112" s="637"/>
      <c r="ADI112" s="637"/>
      <c r="ADJ112" s="637"/>
      <c r="ADK112" s="637"/>
      <c r="ADL112" s="637"/>
      <c r="ADM112" s="637"/>
      <c r="ADN112" s="637"/>
      <c r="ADO112" s="637"/>
      <c r="ADP112" s="637"/>
      <c r="ADQ112" s="637"/>
      <c r="ADR112" s="637"/>
      <c r="ADS112" s="637"/>
      <c r="ADT112" s="637"/>
      <c r="ADU112" s="637"/>
      <c r="ADV112" s="637"/>
      <c r="ADW112" s="637"/>
      <c r="ADX112" s="637"/>
      <c r="ADY112" s="637"/>
      <c r="ADZ112" s="637"/>
      <c r="AEA112" s="637"/>
      <c r="AEB112" s="637"/>
      <c r="AEC112" s="637"/>
      <c r="AED112" s="637"/>
      <c r="AEE112" s="637"/>
      <c r="AEF112" s="637"/>
      <c r="AEG112" s="637"/>
      <c r="AEH112" s="637"/>
      <c r="AEI112" s="637"/>
      <c r="AEJ112" s="637"/>
      <c r="AEK112" s="637"/>
      <c r="AEL112" s="637"/>
      <c r="AEM112" s="637"/>
      <c r="AEN112" s="637"/>
      <c r="AEO112" s="637"/>
      <c r="AEP112" s="637"/>
      <c r="AEQ112" s="637"/>
      <c r="AER112" s="637"/>
      <c r="AES112" s="637"/>
      <c r="AET112" s="637"/>
      <c r="AEU112" s="637"/>
      <c r="AEV112" s="637"/>
      <c r="AEW112" s="637"/>
      <c r="AEX112" s="637"/>
      <c r="AEY112" s="637"/>
      <c r="AEZ112" s="637"/>
      <c r="AFA112" s="637"/>
      <c r="AFB112" s="637"/>
      <c r="AFC112" s="637"/>
      <c r="AFD112" s="637"/>
      <c r="AFE112" s="637"/>
      <c r="AFF112" s="637"/>
      <c r="AFG112" s="637"/>
      <c r="AFH112" s="637"/>
      <c r="AFI112" s="637"/>
      <c r="AFJ112" s="637"/>
      <c r="AFK112" s="637"/>
      <c r="AFL112" s="637"/>
      <c r="AFM112" s="637"/>
      <c r="AFN112" s="637"/>
      <c r="AFO112" s="637"/>
      <c r="AFP112" s="637"/>
      <c r="AFQ112" s="637"/>
      <c r="AFR112" s="637"/>
      <c r="AFS112" s="637"/>
      <c r="AFT112" s="637"/>
      <c r="AFU112" s="637"/>
      <c r="AFV112" s="637"/>
      <c r="AFW112" s="637"/>
      <c r="AFX112" s="637"/>
      <c r="AFY112" s="637"/>
      <c r="AFZ112" s="637"/>
      <c r="AGA112" s="637"/>
      <c r="AGB112" s="637"/>
      <c r="AGC112" s="637"/>
      <c r="AGD112" s="637"/>
      <c r="AGE112" s="637"/>
      <c r="AGF112" s="637"/>
      <c r="AGG112" s="637"/>
      <c r="AGH112" s="637"/>
      <c r="AGI112" s="637"/>
      <c r="AGJ112" s="637"/>
      <c r="AGK112" s="637"/>
      <c r="AGL112" s="637"/>
      <c r="AGM112" s="637"/>
      <c r="AGN112" s="637"/>
      <c r="AGO112" s="637"/>
      <c r="AGP112" s="637"/>
      <c r="AGQ112" s="637"/>
      <c r="AGR112" s="637"/>
      <c r="AGS112" s="637"/>
      <c r="AGT112" s="637"/>
      <c r="AGU112" s="637"/>
      <c r="AGV112" s="637"/>
      <c r="AGW112" s="637"/>
      <c r="AGX112" s="637"/>
      <c r="AGY112" s="637"/>
      <c r="AGZ112" s="637"/>
      <c r="AHA112" s="637"/>
      <c r="AHB112" s="637"/>
      <c r="AHC112" s="637"/>
      <c r="AHD112" s="637"/>
      <c r="AHE112" s="637"/>
      <c r="AHF112" s="637"/>
      <c r="AHG112" s="637"/>
      <c r="AHH112" s="637"/>
      <c r="AHI112" s="637"/>
      <c r="AHJ112" s="637"/>
      <c r="AHK112" s="637"/>
      <c r="AHL112" s="637"/>
      <c r="AHM112" s="637"/>
      <c r="AHN112" s="637"/>
      <c r="AHO112" s="637"/>
      <c r="AHP112" s="637"/>
      <c r="AHQ112" s="637"/>
      <c r="AHR112" s="637"/>
      <c r="AHS112" s="637"/>
      <c r="AHT112" s="637"/>
      <c r="AHU112" s="637"/>
      <c r="AHV112" s="637"/>
      <c r="AHW112" s="637"/>
      <c r="AHX112" s="637"/>
      <c r="AHY112" s="637"/>
      <c r="AHZ112" s="637"/>
      <c r="AIA112" s="637"/>
      <c r="AIB112" s="637"/>
      <c r="AIC112" s="637"/>
      <c r="AID112" s="637"/>
      <c r="AIE112" s="637"/>
      <c r="AIF112" s="637"/>
      <c r="AIG112" s="637"/>
      <c r="AIH112" s="637"/>
      <c r="AII112" s="637"/>
      <c r="AIJ112" s="637"/>
      <c r="AIK112" s="637"/>
      <c r="AIL112" s="637"/>
      <c r="AIM112" s="637"/>
      <c r="AIN112" s="637"/>
      <c r="AIO112" s="637"/>
      <c r="AIP112" s="637"/>
      <c r="AIQ112" s="637"/>
      <c r="AIR112" s="637"/>
      <c r="AIS112" s="637"/>
      <c r="AIT112" s="637"/>
      <c r="AIU112" s="637"/>
      <c r="AIV112" s="637"/>
      <c r="AIW112" s="637"/>
      <c r="AIX112" s="637"/>
      <c r="AIY112" s="637"/>
      <c r="AIZ112" s="637"/>
      <c r="AJA112" s="637"/>
      <c r="AJB112" s="637"/>
      <c r="AJC112" s="637"/>
      <c r="AJD112" s="637"/>
      <c r="AJE112" s="637"/>
      <c r="AJF112" s="637"/>
      <c r="AJG112" s="637"/>
      <c r="AJH112" s="637"/>
      <c r="AJI112" s="637"/>
      <c r="AJJ112" s="637"/>
      <c r="AJK112" s="637"/>
      <c r="AJL112" s="637"/>
      <c r="AJM112" s="637"/>
      <c r="AJN112" s="637"/>
      <c r="AJO112" s="637"/>
      <c r="AJP112" s="637"/>
      <c r="AJQ112" s="637"/>
      <c r="AJR112" s="637"/>
      <c r="AJS112" s="637"/>
      <c r="AJT112" s="637"/>
      <c r="AJU112" s="637"/>
      <c r="AJV112" s="637"/>
      <c r="AJW112" s="637"/>
      <c r="AJX112" s="637"/>
      <c r="AJY112" s="637"/>
      <c r="AJZ112" s="637"/>
      <c r="AKA112" s="637"/>
      <c r="AKB112" s="637"/>
      <c r="AKC112" s="637"/>
      <c r="AKD112" s="637"/>
      <c r="AKE112" s="637"/>
      <c r="AKF112" s="637"/>
      <c r="AKG112" s="637"/>
      <c r="AKH112" s="637"/>
      <c r="AKI112" s="637"/>
      <c r="AKJ112" s="637"/>
      <c r="AKK112" s="637"/>
      <c r="AKL112" s="637"/>
      <c r="AKM112" s="637"/>
      <c r="AKN112" s="637"/>
      <c r="AKO112" s="637"/>
      <c r="AKP112" s="637"/>
      <c r="AKQ112" s="637"/>
      <c r="AKR112" s="637"/>
      <c r="AKS112" s="637"/>
      <c r="AKT112" s="637"/>
      <c r="AKU112" s="637"/>
      <c r="AKV112" s="637"/>
      <c r="AKW112" s="637"/>
      <c r="AKX112" s="637"/>
      <c r="AKY112" s="637"/>
      <c r="AKZ112" s="637"/>
      <c r="ALA112" s="637"/>
      <c r="ALB112" s="637"/>
      <c r="ALC112" s="637"/>
      <c r="ALD112" s="637"/>
      <c r="ALE112" s="637"/>
      <c r="ALF112" s="637"/>
      <c r="ALG112" s="637"/>
      <c r="ALH112" s="637"/>
      <c r="ALI112" s="637"/>
      <c r="ALJ112" s="637"/>
      <c r="ALK112" s="637"/>
      <c r="ALL112" s="637"/>
      <c r="ALM112" s="637"/>
      <c r="ALN112" s="637"/>
      <c r="ALO112" s="637"/>
      <c r="ALP112" s="637"/>
      <c r="ALQ112" s="637"/>
      <c r="ALR112" s="637"/>
      <c r="ALS112" s="637"/>
      <c r="ALT112" s="637"/>
      <c r="ALU112" s="637"/>
      <c r="ALV112" s="637"/>
      <c r="ALW112" s="637"/>
      <c r="ALX112" s="637"/>
      <c r="ALY112" s="637"/>
      <c r="ALZ112" s="637"/>
      <c r="AMA112" s="637"/>
      <c r="AMB112" s="637"/>
      <c r="AMC112" s="637"/>
      <c r="AMD112" s="637"/>
      <c r="AME112" s="637"/>
      <c r="AMF112" s="637"/>
      <c r="AMG112" s="637"/>
      <c r="AMH112" s="637"/>
      <c r="AMI112" s="637"/>
      <c r="AMJ112" s="637"/>
    </row>
    <row r="113" spans="1:1024" s="638" customFormat="1" ht="12.75">
      <c r="A113" s="984"/>
      <c r="B113" s="985"/>
      <c r="C113" s="986"/>
      <c r="D113" s="981" t="s">
        <v>1041</v>
      </c>
      <c r="E113" s="982">
        <v>185</v>
      </c>
      <c r="F113" s="982">
        <f t="shared" si="13"/>
        <v>203</v>
      </c>
      <c r="G113" s="987">
        <v>138</v>
      </c>
      <c r="H113" s="987">
        <v>42</v>
      </c>
      <c r="I113" s="987">
        <v>23</v>
      </c>
      <c r="J113" s="987"/>
      <c r="K113" s="987"/>
      <c r="L113" s="987"/>
      <c r="M113" s="987"/>
      <c r="N113" s="987"/>
      <c r="O113" s="1013"/>
      <c r="P113" s="987"/>
      <c r="Q113" s="987"/>
      <c r="R113" s="984"/>
      <c r="S113" s="637"/>
      <c r="T113" s="637"/>
      <c r="U113" s="637"/>
      <c r="V113" s="637"/>
      <c r="W113" s="637"/>
      <c r="X113" s="637"/>
      <c r="Y113" s="637"/>
      <c r="Z113" s="637"/>
      <c r="AA113" s="637"/>
      <c r="AB113" s="637"/>
      <c r="AC113" s="637"/>
      <c r="AD113" s="637"/>
      <c r="AE113" s="637"/>
      <c r="AF113" s="637"/>
      <c r="AG113" s="637"/>
      <c r="AH113" s="637"/>
      <c r="AI113" s="637"/>
      <c r="AJ113" s="637"/>
      <c r="AK113" s="637"/>
      <c r="AL113" s="637"/>
      <c r="AM113" s="637"/>
      <c r="AN113" s="637"/>
      <c r="AO113" s="637"/>
      <c r="AP113" s="637"/>
      <c r="AQ113" s="637"/>
      <c r="AR113" s="637"/>
      <c r="AS113" s="637"/>
      <c r="AT113" s="637"/>
      <c r="AU113" s="637"/>
      <c r="AV113" s="637"/>
      <c r="AW113" s="637"/>
      <c r="AX113" s="637"/>
      <c r="AY113" s="637"/>
      <c r="AZ113" s="637"/>
      <c r="BA113" s="637"/>
      <c r="BB113" s="637"/>
      <c r="BC113" s="637"/>
      <c r="BD113" s="637"/>
      <c r="BE113" s="637"/>
      <c r="BF113" s="637"/>
      <c r="BG113" s="637"/>
      <c r="BH113" s="637"/>
      <c r="BI113" s="637"/>
      <c r="BJ113" s="637"/>
      <c r="BK113" s="637"/>
      <c r="BL113" s="637"/>
      <c r="BM113" s="637"/>
      <c r="BN113" s="637"/>
      <c r="BO113" s="637"/>
      <c r="BP113" s="637"/>
      <c r="BQ113" s="637"/>
      <c r="BR113" s="637"/>
      <c r="BS113" s="637"/>
      <c r="BT113" s="637"/>
      <c r="BU113" s="637"/>
      <c r="BV113" s="637"/>
      <c r="BW113" s="637"/>
      <c r="BX113" s="637"/>
      <c r="BY113" s="637"/>
      <c r="BZ113" s="637"/>
      <c r="CA113" s="637"/>
      <c r="CB113" s="637"/>
      <c r="CC113" s="637"/>
      <c r="CD113" s="637"/>
      <c r="CE113" s="637"/>
      <c r="CF113" s="637"/>
      <c r="CG113" s="637"/>
      <c r="CH113" s="637"/>
      <c r="CI113" s="637"/>
      <c r="CJ113" s="637"/>
      <c r="CK113" s="637"/>
      <c r="CL113" s="637"/>
      <c r="CM113" s="637"/>
      <c r="CN113" s="637"/>
      <c r="CO113" s="637"/>
      <c r="CP113" s="637"/>
      <c r="CQ113" s="637"/>
      <c r="CR113" s="637"/>
      <c r="CS113" s="637"/>
      <c r="CT113" s="637"/>
      <c r="CU113" s="637"/>
      <c r="CV113" s="637"/>
      <c r="CW113" s="637"/>
      <c r="CX113" s="637"/>
      <c r="CY113" s="637"/>
      <c r="CZ113" s="637"/>
      <c r="DA113" s="637"/>
      <c r="DB113" s="637"/>
      <c r="DC113" s="637"/>
      <c r="DD113" s="637"/>
      <c r="DE113" s="637"/>
      <c r="DF113" s="637"/>
      <c r="DG113" s="637"/>
      <c r="DH113" s="637"/>
      <c r="DI113" s="637"/>
      <c r="DJ113" s="637"/>
      <c r="DK113" s="637"/>
      <c r="DL113" s="637"/>
      <c r="DM113" s="637"/>
      <c r="DN113" s="637"/>
      <c r="DO113" s="637"/>
      <c r="DP113" s="637"/>
      <c r="DQ113" s="637"/>
      <c r="DR113" s="637"/>
      <c r="DS113" s="637"/>
      <c r="DT113" s="637"/>
      <c r="DU113" s="637"/>
      <c r="DV113" s="637"/>
      <c r="DW113" s="637"/>
      <c r="DX113" s="637"/>
      <c r="DY113" s="637"/>
      <c r="DZ113" s="637"/>
      <c r="EA113" s="637"/>
      <c r="EB113" s="637"/>
      <c r="EC113" s="637"/>
      <c r="ED113" s="637"/>
      <c r="EE113" s="637"/>
      <c r="EF113" s="637"/>
      <c r="EG113" s="637"/>
      <c r="EH113" s="637"/>
      <c r="EI113" s="637"/>
      <c r="EJ113" s="637"/>
      <c r="EK113" s="637"/>
      <c r="EL113" s="637"/>
      <c r="EM113" s="637"/>
      <c r="EN113" s="637"/>
      <c r="EO113" s="637"/>
      <c r="EP113" s="637"/>
      <c r="EQ113" s="637"/>
      <c r="ER113" s="637"/>
      <c r="ES113" s="637"/>
      <c r="ET113" s="637"/>
      <c r="EU113" s="637"/>
      <c r="EV113" s="637"/>
      <c r="EW113" s="637"/>
      <c r="EX113" s="637"/>
      <c r="EY113" s="637"/>
      <c r="EZ113" s="637"/>
      <c r="FA113" s="637"/>
      <c r="FB113" s="637"/>
      <c r="FC113" s="637"/>
      <c r="FD113" s="637"/>
      <c r="FE113" s="637"/>
      <c r="FF113" s="637"/>
      <c r="FG113" s="637"/>
      <c r="FH113" s="637"/>
      <c r="FI113" s="637"/>
      <c r="FJ113" s="637"/>
      <c r="FK113" s="637"/>
      <c r="FL113" s="637"/>
      <c r="FM113" s="637"/>
      <c r="FN113" s="637"/>
      <c r="FO113" s="637"/>
      <c r="FP113" s="637"/>
      <c r="FQ113" s="637"/>
      <c r="FR113" s="637"/>
      <c r="FS113" s="637"/>
      <c r="FT113" s="637"/>
      <c r="FU113" s="637"/>
      <c r="FV113" s="637"/>
      <c r="FW113" s="637"/>
      <c r="FX113" s="637"/>
      <c r="FY113" s="637"/>
      <c r="FZ113" s="637"/>
      <c r="GA113" s="637"/>
      <c r="GB113" s="637"/>
      <c r="GC113" s="637"/>
      <c r="GD113" s="637"/>
      <c r="GE113" s="637"/>
      <c r="GF113" s="637"/>
      <c r="GG113" s="637"/>
      <c r="GH113" s="637"/>
      <c r="GI113" s="637"/>
      <c r="GJ113" s="637"/>
      <c r="GK113" s="637"/>
      <c r="GL113" s="637"/>
      <c r="GM113" s="637"/>
      <c r="GN113" s="637"/>
      <c r="GO113" s="637"/>
      <c r="GP113" s="637"/>
      <c r="GQ113" s="637"/>
      <c r="GR113" s="637"/>
      <c r="GS113" s="637"/>
      <c r="GT113" s="637"/>
      <c r="GU113" s="637"/>
      <c r="GV113" s="637"/>
      <c r="GW113" s="637"/>
      <c r="GX113" s="637"/>
      <c r="GY113" s="637"/>
      <c r="GZ113" s="637"/>
      <c r="HA113" s="637"/>
      <c r="HB113" s="637"/>
      <c r="HC113" s="637"/>
      <c r="HD113" s="637"/>
      <c r="HE113" s="637"/>
      <c r="HF113" s="637"/>
      <c r="HG113" s="637"/>
      <c r="HH113" s="637"/>
      <c r="HI113" s="637"/>
      <c r="HJ113" s="637"/>
      <c r="HK113" s="637"/>
      <c r="HL113" s="637"/>
      <c r="HM113" s="637"/>
      <c r="HN113" s="637"/>
      <c r="HO113" s="637"/>
      <c r="HP113" s="637"/>
      <c r="HQ113" s="637"/>
      <c r="HR113" s="637"/>
      <c r="HS113" s="637"/>
      <c r="HT113" s="637"/>
      <c r="HU113" s="637"/>
      <c r="HV113" s="637"/>
      <c r="HW113" s="637"/>
      <c r="HX113" s="637"/>
      <c r="HY113" s="637"/>
      <c r="HZ113" s="637"/>
      <c r="IA113" s="637"/>
      <c r="IB113" s="637"/>
      <c r="IC113" s="637"/>
      <c r="ID113" s="637"/>
      <c r="IE113" s="637"/>
      <c r="IF113" s="637"/>
      <c r="IG113" s="637"/>
      <c r="IH113" s="637"/>
      <c r="II113" s="637"/>
      <c r="IJ113" s="637"/>
      <c r="IK113" s="637"/>
      <c r="IL113" s="637"/>
      <c r="IM113" s="637"/>
      <c r="IN113" s="637"/>
      <c r="IO113" s="637"/>
      <c r="IP113" s="637"/>
      <c r="IQ113" s="637"/>
      <c r="IR113" s="637"/>
      <c r="IS113" s="637"/>
      <c r="IT113" s="637"/>
      <c r="IU113" s="637"/>
      <c r="IV113" s="637"/>
      <c r="IW113" s="637"/>
      <c r="IX113" s="637"/>
      <c r="IY113" s="637"/>
      <c r="IZ113" s="637"/>
      <c r="JA113" s="637"/>
      <c r="JB113" s="637"/>
      <c r="JC113" s="637"/>
      <c r="JD113" s="637"/>
      <c r="JE113" s="637"/>
      <c r="JF113" s="637"/>
      <c r="JG113" s="637"/>
      <c r="JH113" s="637"/>
      <c r="JI113" s="637"/>
      <c r="JJ113" s="637"/>
      <c r="JK113" s="637"/>
      <c r="JL113" s="637"/>
      <c r="JM113" s="637"/>
      <c r="JN113" s="637"/>
      <c r="JO113" s="637"/>
      <c r="JP113" s="637"/>
      <c r="JQ113" s="637"/>
      <c r="JR113" s="637"/>
      <c r="JS113" s="637"/>
      <c r="JT113" s="637"/>
      <c r="JU113" s="637"/>
      <c r="JV113" s="637"/>
      <c r="JW113" s="637"/>
      <c r="JX113" s="637"/>
      <c r="JY113" s="637"/>
      <c r="JZ113" s="637"/>
      <c r="KA113" s="637"/>
      <c r="KB113" s="637"/>
      <c r="KC113" s="637"/>
      <c r="KD113" s="637"/>
      <c r="KE113" s="637"/>
      <c r="KF113" s="637"/>
      <c r="KG113" s="637"/>
      <c r="KH113" s="637"/>
      <c r="KI113" s="637"/>
      <c r="KJ113" s="637"/>
      <c r="KK113" s="637"/>
      <c r="KL113" s="637"/>
      <c r="KM113" s="637"/>
      <c r="KN113" s="637"/>
      <c r="KO113" s="637"/>
      <c r="KP113" s="637"/>
      <c r="KQ113" s="637"/>
      <c r="KR113" s="637"/>
      <c r="KS113" s="637"/>
      <c r="KT113" s="637"/>
      <c r="KU113" s="637"/>
      <c r="KV113" s="637"/>
      <c r="KW113" s="637"/>
      <c r="KX113" s="637"/>
      <c r="KY113" s="637"/>
      <c r="KZ113" s="637"/>
      <c r="LA113" s="637"/>
      <c r="LB113" s="637"/>
      <c r="LC113" s="637"/>
      <c r="LD113" s="637"/>
      <c r="LE113" s="637"/>
      <c r="LF113" s="637"/>
      <c r="LG113" s="637"/>
      <c r="LH113" s="637"/>
      <c r="LI113" s="637"/>
      <c r="LJ113" s="637"/>
      <c r="LK113" s="637"/>
      <c r="LL113" s="637"/>
      <c r="LM113" s="637"/>
      <c r="LN113" s="637"/>
      <c r="LO113" s="637"/>
      <c r="LP113" s="637"/>
      <c r="LQ113" s="637"/>
      <c r="LR113" s="637"/>
      <c r="LS113" s="637"/>
      <c r="LT113" s="637"/>
      <c r="LU113" s="637"/>
      <c r="LV113" s="637"/>
      <c r="LW113" s="637"/>
      <c r="LX113" s="637"/>
      <c r="LY113" s="637"/>
      <c r="LZ113" s="637"/>
      <c r="MA113" s="637"/>
      <c r="MB113" s="637"/>
      <c r="MC113" s="637"/>
      <c r="MD113" s="637"/>
      <c r="ME113" s="637"/>
      <c r="MF113" s="637"/>
      <c r="MG113" s="637"/>
      <c r="MH113" s="637"/>
      <c r="MI113" s="637"/>
      <c r="MJ113" s="637"/>
      <c r="MK113" s="637"/>
      <c r="ML113" s="637"/>
      <c r="MM113" s="637"/>
      <c r="MN113" s="637"/>
      <c r="MO113" s="637"/>
      <c r="MP113" s="637"/>
      <c r="MQ113" s="637"/>
      <c r="MR113" s="637"/>
      <c r="MS113" s="637"/>
      <c r="MT113" s="637"/>
      <c r="MU113" s="637"/>
      <c r="MV113" s="637"/>
      <c r="MW113" s="637"/>
      <c r="MX113" s="637"/>
      <c r="MY113" s="637"/>
      <c r="MZ113" s="637"/>
      <c r="NA113" s="637"/>
      <c r="NB113" s="637"/>
      <c r="NC113" s="637"/>
      <c r="ND113" s="637"/>
      <c r="NE113" s="637"/>
      <c r="NF113" s="637"/>
      <c r="NG113" s="637"/>
      <c r="NH113" s="637"/>
      <c r="NI113" s="637"/>
      <c r="NJ113" s="637"/>
      <c r="NK113" s="637"/>
      <c r="NL113" s="637"/>
      <c r="NM113" s="637"/>
      <c r="NN113" s="637"/>
      <c r="NO113" s="637"/>
      <c r="NP113" s="637"/>
      <c r="NQ113" s="637"/>
      <c r="NR113" s="637"/>
      <c r="NS113" s="637"/>
      <c r="NT113" s="637"/>
      <c r="NU113" s="637"/>
      <c r="NV113" s="637"/>
      <c r="NW113" s="637"/>
      <c r="NX113" s="637"/>
      <c r="NY113" s="637"/>
      <c r="NZ113" s="637"/>
      <c r="OA113" s="637"/>
      <c r="OB113" s="637"/>
      <c r="OC113" s="637"/>
      <c r="OD113" s="637"/>
      <c r="OE113" s="637"/>
      <c r="OF113" s="637"/>
      <c r="OG113" s="637"/>
      <c r="OH113" s="637"/>
      <c r="OI113" s="637"/>
      <c r="OJ113" s="637"/>
      <c r="OK113" s="637"/>
      <c r="OL113" s="637"/>
      <c r="OM113" s="637"/>
      <c r="ON113" s="637"/>
      <c r="OO113" s="637"/>
      <c r="OP113" s="637"/>
      <c r="OQ113" s="637"/>
      <c r="OR113" s="637"/>
      <c r="OS113" s="637"/>
      <c r="OT113" s="637"/>
      <c r="OU113" s="637"/>
      <c r="OV113" s="637"/>
      <c r="OW113" s="637"/>
      <c r="OX113" s="637"/>
      <c r="OY113" s="637"/>
      <c r="OZ113" s="637"/>
      <c r="PA113" s="637"/>
      <c r="PB113" s="637"/>
      <c r="PC113" s="637"/>
      <c r="PD113" s="637"/>
      <c r="PE113" s="637"/>
      <c r="PF113" s="637"/>
      <c r="PG113" s="637"/>
      <c r="PH113" s="637"/>
      <c r="PI113" s="637"/>
      <c r="PJ113" s="637"/>
      <c r="PK113" s="637"/>
      <c r="PL113" s="637"/>
      <c r="PM113" s="637"/>
      <c r="PN113" s="637"/>
      <c r="PO113" s="637"/>
      <c r="PP113" s="637"/>
      <c r="PQ113" s="637"/>
      <c r="PR113" s="637"/>
      <c r="PS113" s="637"/>
      <c r="PT113" s="637"/>
      <c r="PU113" s="637"/>
      <c r="PV113" s="637"/>
      <c r="PW113" s="637"/>
      <c r="PX113" s="637"/>
      <c r="PY113" s="637"/>
      <c r="PZ113" s="637"/>
      <c r="QA113" s="637"/>
      <c r="QB113" s="637"/>
      <c r="QC113" s="637"/>
      <c r="QD113" s="637"/>
      <c r="QE113" s="637"/>
      <c r="QF113" s="637"/>
      <c r="QG113" s="637"/>
      <c r="QH113" s="637"/>
      <c r="QI113" s="637"/>
      <c r="QJ113" s="637"/>
      <c r="QK113" s="637"/>
      <c r="QL113" s="637"/>
      <c r="QM113" s="637"/>
      <c r="QN113" s="637"/>
      <c r="QO113" s="637"/>
      <c r="QP113" s="637"/>
      <c r="QQ113" s="637"/>
      <c r="QR113" s="637"/>
      <c r="QS113" s="637"/>
      <c r="QT113" s="637"/>
      <c r="QU113" s="637"/>
      <c r="QV113" s="637"/>
      <c r="QW113" s="637"/>
      <c r="QX113" s="637"/>
      <c r="QY113" s="637"/>
      <c r="QZ113" s="637"/>
      <c r="RA113" s="637"/>
      <c r="RB113" s="637"/>
      <c r="RC113" s="637"/>
      <c r="RD113" s="637"/>
      <c r="RE113" s="637"/>
      <c r="RF113" s="637"/>
      <c r="RG113" s="637"/>
      <c r="RH113" s="637"/>
      <c r="RI113" s="637"/>
      <c r="RJ113" s="637"/>
      <c r="RK113" s="637"/>
      <c r="RL113" s="637"/>
      <c r="RM113" s="637"/>
      <c r="RN113" s="637"/>
      <c r="RO113" s="637"/>
      <c r="RP113" s="637"/>
      <c r="RQ113" s="637"/>
      <c r="RR113" s="637"/>
      <c r="RS113" s="637"/>
      <c r="RT113" s="637"/>
      <c r="RU113" s="637"/>
      <c r="RV113" s="637"/>
      <c r="RW113" s="637"/>
      <c r="RX113" s="637"/>
      <c r="RY113" s="637"/>
      <c r="RZ113" s="637"/>
      <c r="SA113" s="637"/>
      <c r="SB113" s="637"/>
      <c r="SC113" s="637"/>
      <c r="SD113" s="637"/>
      <c r="SE113" s="637"/>
      <c r="SF113" s="637"/>
      <c r="SG113" s="637"/>
      <c r="SH113" s="637"/>
      <c r="SI113" s="637"/>
      <c r="SJ113" s="637"/>
      <c r="SK113" s="637"/>
      <c r="SL113" s="637"/>
      <c r="SM113" s="637"/>
      <c r="SN113" s="637"/>
      <c r="SO113" s="637"/>
      <c r="SP113" s="637"/>
      <c r="SQ113" s="637"/>
      <c r="SR113" s="637"/>
      <c r="SS113" s="637"/>
      <c r="ST113" s="637"/>
      <c r="SU113" s="637"/>
      <c r="SV113" s="637"/>
      <c r="SW113" s="637"/>
      <c r="SX113" s="637"/>
      <c r="SY113" s="637"/>
      <c r="SZ113" s="637"/>
      <c r="TA113" s="637"/>
      <c r="TB113" s="637"/>
      <c r="TC113" s="637"/>
      <c r="TD113" s="637"/>
      <c r="TE113" s="637"/>
      <c r="TF113" s="637"/>
      <c r="TG113" s="637"/>
      <c r="TH113" s="637"/>
      <c r="TI113" s="637"/>
      <c r="TJ113" s="637"/>
      <c r="TK113" s="637"/>
      <c r="TL113" s="637"/>
      <c r="TM113" s="637"/>
      <c r="TN113" s="637"/>
      <c r="TO113" s="637"/>
      <c r="TP113" s="637"/>
      <c r="TQ113" s="637"/>
      <c r="TR113" s="637"/>
      <c r="TS113" s="637"/>
      <c r="TT113" s="637"/>
      <c r="TU113" s="637"/>
      <c r="TV113" s="637"/>
      <c r="TW113" s="637"/>
      <c r="TX113" s="637"/>
      <c r="TY113" s="637"/>
      <c r="TZ113" s="637"/>
      <c r="UA113" s="637"/>
      <c r="UB113" s="637"/>
      <c r="UC113" s="637"/>
      <c r="UD113" s="637"/>
      <c r="UE113" s="637"/>
      <c r="UF113" s="637"/>
      <c r="UG113" s="637"/>
      <c r="UH113" s="637"/>
      <c r="UI113" s="637"/>
      <c r="UJ113" s="637"/>
      <c r="UK113" s="637"/>
      <c r="UL113" s="637"/>
      <c r="UM113" s="637"/>
      <c r="UN113" s="637"/>
      <c r="UO113" s="637"/>
      <c r="UP113" s="637"/>
      <c r="UQ113" s="637"/>
      <c r="UR113" s="637"/>
      <c r="US113" s="637"/>
      <c r="UT113" s="637"/>
      <c r="UU113" s="637"/>
      <c r="UV113" s="637"/>
      <c r="UW113" s="637"/>
      <c r="UX113" s="637"/>
      <c r="UY113" s="637"/>
      <c r="UZ113" s="637"/>
      <c r="VA113" s="637"/>
      <c r="VB113" s="637"/>
      <c r="VC113" s="637"/>
      <c r="VD113" s="637"/>
      <c r="VE113" s="637"/>
      <c r="VF113" s="637"/>
      <c r="VG113" s="637"/>
      <c r="VH113" s="637"/>
      <c r="VI113" s="637"/>
      <c r="VJ113" s="637"/>
      <c r="VK113" s="637"/>
      <c r="VL113" s="637"/>
      <c r="VM113" s="637"/>
      <c r="VN113" s="637"/>
      <c r="VO113" s="637"/>
      <c r="VP113" s="637"/>
      <c r="VQ113" s="637"/>
      <c r="VR113" s="637"/>
      <c r="VS113" s="637"/>
      <c r="VT113" s="637"/>
      <c r="VU113" s="637"/>
      <c r="VV113" s="637"/>
      <c r="VW113" s="637"/>
      <c r="VX113" s="637"/>
      <c r="VY113" s="637"/>
      <c r="VZ113" s="637"/>
      <c r="WA113" s="637"/>
      <c r="WB113" s="637"/>
      <c r="WC113" s="637"/>
      <c r="WD113" s="637"/>
      <c r="WE113" s="637"/>
      <c r="WF113" s="637"/>
      <c r="WG113" s="637"/>
      <c r="WH113" s="637"/>
      <c r="WI113" s="637"/>
      <c r="WJ113" s="637"/>
      <c r="WK113" s="637"/>
      <c r="WL113" s="637"/>
      <c r="WM113" s="637"/>
      <c r="WN113" s="637"/>
      <c r="WO113" s="637"/>
      <c r="WP113" s="637"/>
      <c r="WQ113" s="637"/>
      <c r="WR113" s="637"/>
      <c r="WS113" s="637"/>
      <c r="WT113" s="637"/>
      <c r="WU113" s="637"/>
      <c r="WV113" s="637"/>
      <c r="WW113" s="637"/>
      <c r="WX113" s="637"/>
      <c r="WY113" s="637"/>
      <c r="WZ113" s="637"/>
      <c r="XA113" s="637"/>
      <c r="XB113" s="637"/>
      <c r="XC113" s="637"/>
      <c r="XD113" s="637"/>
      <c r="XE113" s="637"/>
      <c r="XF113" s="637"/>
      <c r="XG113" s="637"/>
      <c r="XH113" s="637"/>
      <c r="XI113" s="637"/>
      <c r="XJ113" s="637"/>
      <c r="XK113" s="637"/>
      <c r="XL113" s="637"/>
      <c r="XM113" s="637"/>
      <c r="XN113" s="637"/>
      <c r="XO113" s="637"/>
      <c r="XP113" s="637"/>
      <c r="XQ113" s="637"/>
      <c r="XR113" s="637"/>
      <c r="XS113" s="637"/>
      <c r="XT113" s="637"/>
      <c r="XU113" s="637"/>
      <c r="XV113" s="637"/>
      <c r="XW113" s="637"/>
      <c r="XX113" s="637"/>
      <c r="XY113" s="637"/>
      <c r="XZ113" s="637"/>
      <c r="YA113" s="637"/>
      <c r="YB113" s="637"/>
      <c r="YC113" s="637"/>
      <c r="YD113" s="637"/>
      <c r="YE113" s="637"/>
      <c r="YF113" s="637"/>
      <c r="YG113" s="637"/>
      <c r="YH113" s="637"/>
      <c r="YI113" s="637"/>
      <c r="YJ113" s="637"/>
      <c r="YK113" s="637"/>
      <c r="YL113" s="637"/>
      <c r="YM113" s="637"/>
      <c r="YN113" s="637"/>
      <c r="YO113" s="637"/>
      <c r="YP113" s="637"/>
      <c r="YQ113" s="637"/>
      <c r="YR113" s="637"/>
      <c r="YS113" s="637"/>
      <c r="YT113" s="637"/>
      <c r="YU113" s="637"/>
      <c r="YV113" s="637"/>
      <c r="YW113" s="637"/>
      <c r="YX113" s="637"/>
      <c r="YY113" s="637"/>
      <c r="YZ113" s="637"/>
      <c r="ZA113" s="637"/>
      <c r="ZB113" s="637"/>
      <c r="ZC113" s="637"/>
      <c r="ZD113" s="637"/>
      <c r="ZE113" s="637"/>
      <c r="ZF113" s="637"/>
      <c r="ZG113" s="637"/>
      <c r="ZH113" s="637"/>
      <c r="ZI113" s="637"/>
      <c r="ZJ113" s="637"/>
      <c r="ZK113" s="637"/>
      <c r="ZL113" s="637"/>
      <c r="ZM113" s="637"/>
      <c r="ZN113" s="637"/>
      <c r="ZO113" s="637"/>
      <c r="ZP113" s="637"/>
      <c r="ZQ113" s="637"/>
      <c r="ZR113" s="637"/>
      <c r="ZS113" s="637"/>
      <c r="ZT113" s="637"/>
      <c r="ZU113" s="637"/>
      <c r="ZV113" s="637"/>
      <c r="ZW113" s="637"/>
      <c r="ZX113" s="637"/>
      <c r="ZY113" s="637"/>
      <c r="ZZ113" s="637"/>
      <c r="AAA113" s="637"/>
      <c r="AAB113" s="637"/>
      <c r="AAC113" s="637"/>
      <c r="AAD113" s="637"/>
      <c r="AAE113" s="637"/>
      <c r="AAF113" s="637"/>
      <c r="AAG113" s="637"/>
      <c r="AAH113" s="637"/>
      <c r="AAI113" s="637"/>
      <c r="AAJ113" s="637"/>
      <c r="AAK113" s="637"/>
      <c r="AAL113" s="637"/>
      <c r="AAM113" s="637"/>
      <c r="AAN113" s="637"/>
      <c r="AAO113" s="637"/>
      <c r="AAP113" s="637"/>
      <c r="AAQ113" s="637"/>
      <c r="AAR113" s="637"/>
      <c r="AAS113" s="637"/>
      <c r="AAT113" s="637"/>
      <c r="AAU113" s="637"/>
      <c r="AAV113" s="637"/>
      <c r="AAW113" s="637"/>
      <c r="AAX113" s="637"/>
      <c r="AAY113" s="637"/>
      <c r="AAZ113" s="637"/>
      <c r="ABA113" s="637"/>
      <c r="ABB113" s="637"/>
      <c r="ABC113" s="637"/>
      <c r="ABD113" s="637"/>
      <c r="ABE113" s="637"/>
      <c r="ABF113" s="637"/>
      <c r="ABG113" s="637"/>
      <c r="ABH113" s="637"/>
      <c r="ABI113" s="637"/>
      <c r="ABJ113" s="637"/>
      <c r="ABK113" s="637"/>
      <c r="ABL113" s="637"/>
      <c r="ABM113" s="637"/>
      <c r="ABN113" s="637"/>
      <c r="ABO113" s="637"/>
      <c r="ABP113" s="637"/>
      <c r="ABQ113" s="637"/>
      <c r="ABR113" s="637"/>
      <c r="ABS113" s="637"/>
      <c r="ABT113" s="637"/>
      <c r="ABU113" s="637"/>
      <c r="ABV113" s="637"/>
      <c r="ABW113" s="637"/>
      <c r="ABX113" s="637"/>
      <c r="ABY113" s="637"/>
      <c r="ABZ113" s="637"/>
      <c r="ACA113" s="637"/>
      <c r="ACB113" s="637"/>
      <c r="ACC113" s="637"/>
      <c r="ACD113" s="637"/>
      <c r="ACE113" s="637"/>
      <c r="ACF113" s="637"/>
      <c r="ACG113" s="637"/>
      <c r="ACH113" s="637"/>
      <c r="ACI113" s="637"/>
      <c r="ACJ113" s="637"/>
      <c r="ACK113" s="637"/>
      <c r="ACL113" s="637"/>
      <c r="ACM113" s="637"/>
      <c r="ACN113" s="637"/>
      <c r="ACO113" s="637"/>
      <c r="ACP113" s="637"/>
      <c r="ACQ113" s="637"/>
      <c r="ACR113" s="637"/>
      <c r="ACS113" s="637"/>
      <c r="ACT113" s="637"/>
      <c r="ACU113" s="637"/>
      <c r="ACV113" s="637"/>
      <c r="ACW113" s="637"/>
      <c r="ACX113" s="637"/>
      <c r="ACY113" s="637"/>
      <c r="ACZ113" s="637"/>
      <c r="ADA113" s="637"/>
      <c r="ADB113" s="637"/>
      <c r="ADC113" s="637"/>
      <c r="ADD113" s="637"/>
      <c r="ADE113" s="637"/>
      <c r="ADF113" s="637"/>
      <c r="ADG113" s="637"/>
      <c r="ADH113" s="637"/>
      <c r="ADI113" s="637"/>
      <c r="ADJ113" s="637"/>
      <c r="ADK113" s="637"/>
      <c r="ADL113" s="637"/>
      <c r="ADM113" s="637"/>
      <c r="ADN113" s="637"/>
      <c r="ADO113" s="637"/>
      <c r="ADP113" s="637"/>
      <c r="ADQ113" s="637"/>
      <c r="ADR113" s="637"/>
      <c r="ADS113" s="637"/>
      <c r="ADT113" s="637"/>
      <c r="ADU113" s="637"/>
      <c r="ADV113" s="637"/>
      <c r="ADW113" s="637"/>
      <c r="ADX113" s="637"/>
      <c r="ADY113" s="637"/>
      <c r="ADZ113" s="637"/>
      <c r="AEA113" s="637"/>
      <c r="AEB113" s="637"/>
      <c r="AEC113" s="637"/>
      <c r="AED113" s="637"/>
      <c r="AEE113" s="637"/>
      <c r="AEF113" s="637"/>
      <c r="AEG113" s="637"/>
      <c r="AEH113" s="637"/>
      <c r="AEI113" s="637"/>
      <c r="AEJ113" s="637"/>
      <c r="AEK113" s="637"/>
      <c r="AEL113" s="637"/>
      <c r="AEM113" s="637"/>
      <c r="AEN113" s="637"/>
      <c r="AEO113" s="637"/>
      <c r="AEP113" s="637"/>
      <c r="AEQ113" s="637"/>
      <c r="AER113" s="637"/>
      <c r="AES113" s="637"/>
      <c r="AET113" s="637"/>
      <c r="AEU113" s="637"/>
      <c r="AEV113" s="637"/>
      <c r="AEW113" s="637"/>
      <c r="AEX113" s="637"/>
      <c r="AEY113" s="637"/>
      <c r="AEZ113" s="637"/>
      <c r="AFA113" s="637"/>
      <c r="AFB113" s="637"/>
      <c r="AFC113" s="637"/>
      <c r="AFD113" s="637"/>
      <c r="AFE113" s="637"/>
      <c r="AFF113" s="637"/>
      <c r="AFG113" s="637"/>
      <c r="AFH113" s="637"/>
      <c r="AFI113" s="637"/>
      <c r="AFJ113" s="637"/>
      <c r="AFK113" s="637"/>
      <c r="AFL113" s="637"/>
      <c r="AFM113" s="637"/>
      <c r="AFN113" s="637"/>
      <c r="AFO113" s="637"/>
      <c r="AFP113" s="637"/>
      <c r="AFQ113" s="637"/>
      <c r="AFR113" s="637"/>
      <c r="AFS113" s="637"/>
      <c r="AFT113" s="637"/>
      <c r="AFU113" s="637"/>
      <c r="AFV113" s="637"/>
      <c r="AFW113" s="637"/>
      <c r="AFX113" s="637"/>
      <c r="AFY113" s="637"/>
      <c r="AFZ113" s="637"/>
      <c r="AGA113" s="637"/>
      <c r="AGB113" s="637"/>
      <c r="AGC113" s="637"/>
      <c r="AGD113" s="637"/>
      <c r="AGE113" s="637"/>
      <c r="AGF113" s="637"/>
      <c r="AGG113" s="637"/>
      <c r="AGH113" s="637"/>
      <c r="AGI113" s="637"/>
      <c r="AGJ113" s="637"/>
      <c r="AGK113" s="637"/>
      <c r="AGL113" s="637"/>
      <c r="AGM113" s="637"/>
      <c r="AGN113" s="637"/>
      <c r="AGO113" s="637"/>
      <c r="AGP113" s="637"/>
      <c r="AGQ113" s="637"/>
      <c r="AGR113" s="637"/>
      <c r="AGS113" s="637"/>
      <c r="AGT113" s="637"/>
      <c r="AGU113" s="637"/>
      <c r="AGV113" s="637"/>
      <c r="AGW113" s="637"/>
      <c r="AGX113" s="637"/>
      <c r="AGY113" s="637"/>
      <c r="AGZ113" s="637"/>
      <c r="AHA113" s="637"/>
      <c r="AHB113" s="637"/>
      <c r="AHC113" s="637"/>
      <c r="AHD113" s="637"/>
      <c r="AHE113" s="637"/>
      <c r="AHF113" s="637"/>
      <c r="AHG113" s="637"/>
      <c r="AHH113" s="637"/>
      <c r="AHI113" s="637"/>
      <c r="AHJ113" s="637"/>
      <c r="AHK113" s="637"/>
      <c r="AHL113" s="637"/>
      <c r="AHM113" s="637"/>
      <c r="AHN113" s="637"/>
      <c r="AHO113" s="637"/>
      <c r="AHP113" s="637"/>
      <c r="AHQ113" s="637"/>
      <c r="AHR113" s="637"/>
      <c r="AHS113" s="637"/>
      <c r="AHT113" s="637"/>
      <c r="AHU113" s="637"/>
      <c r="AHV113" s="637"/>
      <c r="AHW113" s="637"/>
      <c r="AHX113" s="637"/>
      <c r="AHY113" s="637"/>
      <c r="AHZ113" s="637"/>
      <c r="AIA113" s="637"/>
      <c r="AIB113" s="637"/>
      <c r="AIC113" s="637"/>
      <c r="AID113" s="637"/>
      <c r="AIE113" s="637"/>
      <c r="AIF113" s="637"/>
      <c r="AIG113" s="637"/>
      <c r="AIH113" s="637"/>
      <c r="AII113" s="637"/>
      <c r="AIJ113" s="637"/>
      <c r="AIK113" s="637"/>
      <c r="AIL113" s="637"/>
      <c r="AIM113" s="637"/>
      <c r="AIN113" s="637"/>
      <c r="AIO113" s="637"/>
      <c r="AIP113" s="637"/>
      <c r="AIQ113" s="637"/>
      <c r="AIR113" s="637"/>
      <c r="AIS113" s="637"/>
      <c r="AIT113" s="637"/>
      <c r="AIU113" s="637"/>
      <c r="AIV113" s="637"/>
      <c r="AIW113" s="637"/>
      <c r="AIX113" s="637"/>
      <c r="AIY113" s="637"/>
      <c r="AIZ113" s="637"/>
      <c r="AJA113" s="637"/>
      <c r="AJB113" s="637"/>
      <c r="AJC113" s="637"/>
      <c r="AJD113" s="637"/>
      <c r="AJE113" s="637"/>
      <c r="AJF113" s="637"/>
      <c r="AJG113" s="637"/>
      <c r="AJH113" s="637"/>
      <c r="AJI113" s="637"/>
      <c r="AJJ113" s="637"/>
      <c r="AJK113" s="637"/>
      <c r="AJL113" s="637"/>
      <c r="AJM113" s="637"/>
      <c r="AJN113" s="637"/>
      <c r="AJO113" s="637"/>
      <c r="AJP113" s="637"/>
      <c r="AJQ113" s="637"/>
      <c r="AJR113" s="637"/>
      <c r="AJS113" s="637"/>
      <c r="AJT113" s="637"/>
      <c r="AJU113" s="637"/>
      <c r="AJV113" s="637"/>
      <c r="AJW113" s="637"/>
      <c r="AJX113" s="637"/>
      <c r="AJY113" s="637"/>
      <c r="AJZ113" s="637"/>
      <c r="AKA113" s="637"/>
      <c r="AKB113" s="637"/>
      <c r="AKC113" s="637"/>
      <c r="AKD113" s="637"/>
      <c r="AKE113" s="637"/>
      <c r="AKF113" s="637"/>
      <c r="AKG113" s="637"/>
      <c r="AKH113" s="637"/>
      <c r="AKI113" s="637"/>
      <c r="AKJ113" s="637"/>
      <c r="AKK113" s="637"/>
      <c r="AKL113" s="637"/>
      <c r="AKM113" s="637"/>
      <c r="AKN113" s="637"/>
      <c r="AKO113" s="637"/>
      <c r="AKP113" s="637"/>
      <c r="AKQ113" s="637"/>
      <c r="AKR113" s="637"/>
      <c r="AKS113" s="637"/>
      <c r="AKT113" s="637"/>
      <c r="AKU113" s="637"/>
      <c r="AKV113" s="637"/>
      <c r="AKW113" s="637"/>
      <c r="AKX113" s="637"/>
      <c r="AKY113" s="637"/>
      <c r="AKZ113" s="637"/>
      <c r="ALA113" s="637"/>
      <c r="ALB113" s="637"/>
      <c r="ALC113" s="637"/>
      <c r="ALD113" s="637"/>
      <c r="ALE113" s="637"/>
      <c r="ALF113" s="637"/>
      <c r="ALG113" s="637"/>
      <c r="ALH113" s="637"/>
      <c r="ALI113" s="637"/>
      <c r="ALJ113" s="637"/>
      <c r="ALK113" s="637"/>
      <c r="ALL113" s="637"/>
      <c r="ALM113" s="637"/>
      <c r="ALN113" s="637"/>
      <c r="ALO113" s="637"/>
      <c r="ALP113" s="637"/>
      <c r="ALQ113" s="637"/>
      <c r="ALR113" s="637"/>
      <c r="ALS113" s="637"/>
      <c r="ALT113" s="637"/>
      <c r="ALU113" s="637"/>
      <c r="ALV113" s="637"/>
      <c r="ALW113" s="637"/>
      <c r="ALX113" s="637"/>
      <c r="ALY113" s="637"/>
      <c r="ALZ113" s="637"/>
      <c r="AMA113" s="637"/>
      <c r="AMB113" s="637"/>
      <c r="AMC113" s="637"/>
      <c r="AMD113" s="637"/>
      <c r="AME113" s="637"/>
      <c r="AMF113" s="637"/>
      <c r="AMG113" s="637"/>
      <c r="AMH113" s="637"/>
      <c r="AMI113" s="637"/>
      <c r="AMJ113" s="637"/>
    </row>
    <row r="114" spans="1:1024" s="638" customFormat="1" ht="12.75" hidden="1">
      <c r="A114" s="984"/>
      <c r="B114" s="985"/>
      <c r="C114" s="986"/>
      <c r="D114" s="1014"/>
      <c r="E114" s="1015">
        <v>185</v>
      </c>
      <c r="F114" s="1016">
        <f t="shared" si="13"/>
        <v>202</v>
      </c>
      <c r="G114" s="1017">
        <v>138</v>
      </c>
      <c r="H114" s="1017">
        <v>41</v>
      </c>
      <c r="I114" s="1017">
        <v>23</v>
      </c>
      <c r="J114" s="1017"/>
      <c r="K114" s="1017"/>
      <c r="L114" s="1017"/>
      <c r="M114" s="1017"/>
      <c r="N114" s="1017"/>
      <c r="O114" s="1018"/>
      <c r="P114" s="1017"/>
      <c r="Q114" s="1017"/>
      <c r="R114" s="1019"/>
      <c r="S114" s="637"/>
      <c r="T114" s="637"/>
      <c r="U114" s="637"/>
      <c r="V114" s="637"/>
      <c r="W114" s="637"/>
      <c r="X114" s="637"/>
      <c r="Y114" s="637"/>
      <c r="Z114" s="637"/>
      <c r="AA114" s="637"/>
      <c r="AB114" s="637"/>
      <c r="AC114" s="637"/>
      <c r="AD114" s="637"/>
      <c r="AE114" s="637"/>
      <c r="AF114" s="637"/>
      <c r="AG114" s="637"/>
      <c r="AH114" s="637"/>
      <c r="AI114" s="637"/>
      <c r="AJ114" s="637"/>
      <c r="AK114" s="637"/>
      <c r="AL114" s="637"/>
      <c r="AM114" s="637"/>
      <c r="AN114" s="637"/>
      <c r="AO114" s="637"/>
      <c r="AP114" s="637"/>
      <c r="AQ114" s="637"/>
      <c r="AR114" s="637"/>
      <c r="AS114" s="637"/>
      <c r="AT114" s="637"/>
      <c r="AU114" s="637"/>
      <c r="AV114" s="637"/>
      <c r="AW114" s="637"/>
      <c r="AX114" s="637"/>
      <c r="AY114" s="637"/>
      <c r="AZ114" s="637"/>
      <c r="BA114" s="637"/>
      <c r="BB114" s="637"/>
      <c r="BC114" s="637"/>
      <c r="BD114" s="637"/>
      <c r="BE114" s="637"/>
      <c r="BF114" s="637"/>
      <c r="BG114" s="637"/>
      <c r="BH114" s="637"/>
      <c r="BI114" s="637"/>
      <c r="BJ114" s="637"/>
      <c r="BK114" s="637"/>
      <c r="BL114" s="637"/>
      <c r="BM114" s="637"/>
      <c r="BN114" s="637"/>
      <c r="BO114" s="637"/>
      <c r="BP114" s="637"/>
      <c r="BQ114" s="637"/>
      <c r="BR114" s="637"/>
      <c r="BS114" s="637"/>
      <c r="BT114" s="637"/>
      <c r="BU114" s="637"/>
      <c r="BV114" s="637"/>
      <c r="BW114" s="637"/>
      <c r="BX114" s="637"/>
      <c r="BY114" s="637"/>
      <c r="BZ114" s="637"/>
      <c r="CA114" s="637"/>
      <c r="CB114" s="637"/>
      <c r="CC114" s="637"/>
      <c r="CD114" s="637"/>
      <c r="CE114" s="637"/>
      <c r="CF114" s="637"/>
      <c r="CG114" s="637"/>
      <c r="CH114" s="637"/>
      <c r="CI114" s="637"/>
      <c r="CJ114" s="637"/>
      <c r="CK114" s="637"/>
      <c r="CL114" s="637"/>
      <c r="CM114" s="637"/>
      <c r="CN114" s="637"/>
      <c r="CO114" s="637"/>
      <c r="CP114" s="637"/>
      <c r="CQ114" s="637"/>
      <c r="CR114" s="637"/>
      <c r="CS114" s="637"/>
      <c r="CT114" s="637"/>
      <c r="CU114" s="637"/>
      <c r="CV114" s="637"/>
      <c r="CW114" s="637"/>
      <c r="CX114" s="637"/>
      <c r="CY114" s="637"/>
      <c r="CZ114" s="637"/>
      <c r="DA114" s="637"/>
      <c r="DB114" s="637"/>
      <c r="DC114" s="637"/>
      <c r="DD114" s="637"/>
      <c r="DE114" s="637"/>
      <c r="DF114" s="637"/>
      <c r="DG114" s="637"/>
      <c r="DH114" s="637"/>
      <c r="DI114" s="637"/>
      <c r="DJ114" s="637"/>
      <c r="DK114" s="637"/>
      <c r="DL114" s="637"/>
      <c r="DM114" s="637"/>
      <c r="DN114" s="637"/>
      <c r="DO114" s="637"/>
      <c r="DP114" s="637"/>
      <c r="DQ114" s="637"/>
      <c r="DR114" s="637"/>
      <c r="DS114" s="637"/>
      <c r="DT114" s="637"/>
      <c r="DU114" s="637"/>
      <c r="DV114" s="637"/>
      <c r="DW114" s="637"/>
      <c r="DX114" s="637"/>
      <c r="DY114" s="637"/>
      <c r="DZ114" s="637"/>
      <c r="EA114" s="637"/>
      <c r="EB114" s="637"/>
      <c r="EC114" s="637"/>
      <c r="ED114" s="637"/>
      <c r="EE114" s="637"/>
      <c r="EF114" s="637"/>
      <c r="EG114" s="637"/>
      <c r="EH114" s="637"/>
      <c r="EI114" s="637"/>
      <c r="EJ114" s="637"/>
      <c r="EK114" s="637"/>
      <c r="EL114" s="637"/>
      <c r="EM114" s="637"/>
      <c r="EN114" s="637"/>
      <c r="EO114" s="637"/>
      <c r="EP114" s="637"/>
      <c r="EQ114" s="637"/>
      <c r="ER114" s="637"/>
      <c r="ES114" s="637"/>
      <c r="ET114" s="637"/>
      <c r="EU114" s="637"/>
      <c r="EV114" s="637"/>
      <c r="EW114" s="637"/>
      <c r="EX114" s="637"/>
      <c r="EY114" s="637"/>
      <c r="EZ114" s="637"/>
      <c r="FA114" s="637"/>
      <c r="FB114" s="637"/>
      <c r="FC114" s="637"/>
      <c r="FD114" s="637"/>
      <c r="FE114" s="637"/>
      <c r="FF114" s="637"/>
      <c r="FG114" s="637"/>
      <c r="FH114" s="637"/>
      <c r="FI114" s="637"/>
      <c r="FJ114" s="637"/>
      <c r="FK114" s="637"/>
      <c r="FL114" s="637"/>
      <c r="FM114" s="637"/>
      <c r="FN114" s="637"/>
      <c r="FO114" s="637"/>
      <c r="FP114" s="637"/>
      <c r="FQ114" s="637"/>
      <c r="FR114" s="637"/>
      <c r="FS114" s="637"/>
      <c r="FT114" s="637"/>
      <c r="FU114" s="637"/>
      <c r="FV114" s="637"/>
      <c r="FW114" s="637"/>
      <c r="FX114" s="637"/>
      <c r="FY114" s="637"/>
      <c r="FZ114" s="637"/>
      <c r="GA114" s="637"/>
      <c r="GB114" s="637"/>
      <c r="GC114" s="637"/>
      <c r="GD114" s="637"/>
      <c r="GE114" s="637"/>
      <c r="GF114" s="637"/>
      <c r="GG114" s="637"/>
      <c r="GH114" s="637"/>
      <c r="GI114" s="637"/>
      <c r="GJ114" s="637"/>
      <c r="GK114" s="637"/>
      <c r="GL114" s="637"/>
      <c r="GM114" s="637"/>
      <c r="GN114" s="637"/>
      <c r="GO114" s="637"/>
      <c r="GP114" s="637"/>
      <c r="GQ114" s="637"/>
      <c r="GR114" s="637"/>
      <c r="GS114" s="637"/>
      <c r="GT114" s="637"/>
      <c r="GU114" s="637"/>
      <c r="GV114" s="637"/>
      <c r="GW114" s="637"/>
      <c r="GX114" s="637"/>
      <c r="GY114" s="637"/>
      <c r="GZ114" s="637"/>
      <c r="HA114" s="637"/>
      <c r="HB114" s="637"/>
      <c r="HC114" s="637"/>
      <c r="HD114" s="637"/>
      <c r="HE114" s="637"/>
      <c r="HF114" s="637"/>
      <c r="HG114" s="637"/>
      <c r="HH114" s="637"/>
      <c r="HI114" s="637"/>
      <c r="HJ114" s="637"/>
      <c r="HK114" s="637"/>
      <c r="HL114" s="637"/>
      <c r="HM114" s="637"/>
      <c r="HN114" s="637"/>
      <c r="HO114" s="637"/>
      <c r="HP114" s="637"/>
      <c r="HQ114" s="637"/>
      <c r="HR114" s="637"/>
      <c r="HS114" s="637"/>
      <c r="HT114" s="637"/>
      <c r="HU114" s="637"/>
      <c r="HV114" s="637"/>
      <c r="HW114" s="637"/>
      <c r="HX114" s="637"/>
      <c r="HY114" s="637"/>
      <c r="HZ114" s="637"/>
      <c r="IA114" s="637"/>
      <c r="IB114" s="637"/>
      <c r="IC114" s="637"/>
      <c r="ID114" s="637"/>
      <c r="IE114" s="637"/>
      <c r="IF114" s="637"/>
      <c r="IG114" s="637"/>
      <c r="IH114" s="637"/>
      <c r="II114" s="637"/>
      <c r="IJ114" s="637"/>
      <c r="IK114" s="637"/>
      <c r="IL114" s="637"/>
      <c r="IM114" s="637"/>
      <c r="IN114" s="637"/>
      <c r="IO114" s="637"/>
      <c r="IP114" s="637"/>
      <c r="IQ114" s="637"/>
      <c r="IR114" s="637"/>
      <c r="IS114" s="637"/>
      <c r="IT114" s="637"/>
      <c r="IU114" s="637"/>
      <c r="IV114" s="637"/>
      <c r="IW114" s="637"/>
      <c r="IX114" s="637"/>
      <c r="IY114" s="637"/>
      <c r="IZ114" s="637"/>
      <c r="JA114" s="637"/>
      <c r="JB114" s="637"/>
      <c r="JC114" s="637"/>
      <c r="JD114" s="637"/>
      <c r="JE114" s="637"/>
      <c r="JF114" s="637"/>
      <c r="JG114" s="637"/>
      <c r="JH114" s="637"/>
      <c r="JI114" s="637"/>
      <c r="JJ114" s="637"/>
      <c r="JK114" s="637"/>
      <c r="JL114" s="637"/>
      <c r="JM114" s="637"/>
      <c r="JN114" s="637"/>
      <c r="JO114" s="637"/>
      <c r="JP114" s="637"/>
      <c r="JQ114" s="637"/>
      <c r="JR114" s="637"/>
      <c r="JS114" s="637"/>
      <c r="JT114" s="637"/>
      <c r="JU114" s="637"/>
      <c r="JV114" s="637"/>
      <c r="JW114" s="637"/>
      <c r="JX114" s="637"/>
      <c r="JY114" s="637"/>
      <c r="JZ114" s="637"/>
      <c r="KA114" s="637"/>
      <c r="KB114" s="637"/>
      <c r="KC114" s="637"/>
      <c r="KD114" s="637"/>
      <c r="KE114" s="637"/>
      <c r="KF114" s="637"/>
      <c r="KG114" s="637"/>
      <c r="KH114" s="637"/>
      <c r="KI114" s="637"/>
      <c r="KJ114" s="637"/>
      <c r="KK114" s="637"/>
      <c r="KL114" s="637"/>
      <c r="KM114" s="637"/>
      <c r="KN114" s="637"/>
      <c r="KO114" s="637"/>
      <c r="KP114" s="637"/>
      <c r="KQ114" s="637"/>
      <c r="KR114" s="637"/>
      <c r="KS114" s="637"/>
      <c r="KT114" s="637"/>
      <c r="KU114" s="637"/>
      <c r="KV114" s="637"/>
      <c r="KW114" s="637"/>
      <c r="KX114" s="637"/>
      <c r="KY114" s="637"/>
      <c r="KZ114" s="637"/>
      <c r="LA114" s="637"/>
      <c r="LB114" s="637"/>
      <c r="LC114" s="637"/>
      <c r="LD114" s="637"/>
      <c r="LE114" s="637"/>
      <c r="LF114" s="637"/>
      <c r="LG114" s="637"/>
      <c r="LH114" s="637"/>
      <c r="LI114" s="637"/>
      <c r="LJ114" s="637"/>
      <c r="LK114" s="637"/>
      <c r="LL114" s="637"/>
      <c r="LM114" s="637"/>
      <c r="LN114" s="637"/>
      <c r="LO114" s="637"/>
      <c r="LP114" s="637"/>
      <c r="LQ114" s="637"/>
      <c r="LR114" s="637"/>
      <c r="LS114" s="637"/>
      <c r="LT114" s="637"/>
      <c r="LU114" s="637"/>
      <c r="LV114" s="637"/>
      <c r="LW114" s="637"/>
      <c r="LX114" s="637"/>
      <c r="LY114" s="637"/>
      <c r="LZ114" s="637"/>
      <c r="MA114" s="637"/>
      <c r="MB114" s="637"/>
      <c r="MC114" s="637"/>
      <c r="MD114" s="637"/>
      <c r="ME114" s="637"/>
      <c r="MF114" s="637"/>
      <c r="MG114" s="637"/>
      <c r="MH114" s="637"/>
      <c r="MI114" s="637"/>
      <c r="MJ114" s="637"/>
      <c r="MK114" s="637"/>
      <c r="ML114" s="637"/>
      <c r="MM114" s="637"/>
      <c r="MN114" s="637"/>
      <c r="MO114" s="637"/>
      <c r="MP114" s="637"/>
      <c r="MQ114" s="637"/>
      <c r="MR114" s="637"/>
      <c r="MS114" s="637"/>
      <c r="MT114" s="637"/>
      <c r="MU114" s="637"/>
      <c r="MV114" s="637"/>
      <c r="MW114" s="637"/>
      <c r="MX114" s="637"/>
      <c r="MY114" s="637"/>
      <c r="MZ114" s="637"/>
      <c r="NA114" s="637"/>
      <c r="NB114" s="637"/>
      <c r="NC114" s="637"/>
      <c r="ND114" s="637"/>
      <c r="NE114" s="637"/>
      <c r="NF114" s="637"/>
      <c r="NG114" s="637"/>
      <c r="NH114" s="637"/>
      <c r="NI114" s="637"/>
      <c r="NJ114" s="637"/>
      <c r="NK114" s="637"/>
      <c r="NL114" s="637"/>
      <c r="NM114" s="637"/>
      <c r="NN114" s="637"/>
      <c r="NO114" s="637"/>
      <c r="NP114" s="637"/>
      <c r="NQ114" s="637"/>
      <c r="NR114" s="637"/>
      <c r="NS114" s="637"/>
      <c r="NT114" s="637"/>
      <c r="NU114" s="637"/>
      <c r="NV114" s="637"/>
      <c r="NW114" s="637"/>
      <c r="NX114" s="637"/>
      <c r="NY114" s="637"/>
      <c r="NZ114" s="637"/>
      <c r="OA114" s="637"/>
      <c r="OB114" s="637"/>
      <c r="OC114" s="637"/>
      <c r="OD114" s="637"/>
      <c r="OE114" s="637"/>
      <c r="OF114" s="637"/>
      <c r="OG114" s="637"/>
      <c r="OH114" s="637"/>
      <c r="OI114" s="637"/>
      <c r="OJ114" s="637"/>
      <c r="OK114" s="637"/>
      <c r="OL114" s="637"/>
      <c r="OM114" s="637"/>
      <c r="ON114" s="637"/>
      <c r="OO114" s="637"/>
      <c r="OP114" s="637"/>
      <c r="OQ114" s="637"/>
      <c r="OR114" s="637"/>
      <c r="OS114" s="637"/>
      <c r="OT114" s="637"/>
      <c r="OU114" s="637"/>
      <c r="OV114" s="637"/>
      <c r="OW114" s="637"/>
      <c r="OX114" s="637"/>
      <c r="OY114" s="637"/>
      <c r="OZ114" s="637"/>
      <c r="PA114" s="637"/>
      <c r="PB114" s="637"/>
      <c r="PC114" s="637"/>
      <c r="PD114" s="637"/>
      <c r="PE114" s="637"/>
      <c r="PF114" s="637"/>
      <c r="PG114" s="637"/>
      <c r="PH114" s="637"/>
      <c r="PI114" s="637"/>
      <c r="PJ114" s="637"/>
      <c r="PK114" s="637"/>
      <c r="PL114" s="637"/>
      <c r="PM114" s="637"/>
      <c r="PN114" s="637"/>
      <c r="PO114" s="637"/>
      <c r="PP114" s="637"/>
      <c r="PQ114" s="637"/>
      <c r="PR114" s="637"/>
      <c r="PS114" s="637"/>
      <c r="PT114" s="637"/>
      <c r="PU114" s="637"/>
      <c r="PV114" s="637"/>
      <c r="PW114" s="637"/>
      <c r="PX114" s="637"/>
      <c r="PY114" s="637"/>
      <c r="PZ114" s="637"/>
      <c r="QA114" s="637"/>
      <c r="QB114" s="637"/>
      <c r="QC114" s="637"/>
      <c r="QD114" s="637"/>
      <c r="QE114" s="637"/>
      <c r="QF114" s="637"/>
      <c r="QG114" s="637"/>
      <c r="QH114" s="637"/>
      <c r="QI114" s="637"/>
      <c r="QJ114" s="637"/>
      <c r="QK114" s="637"/>
      <c r="QL114" s="637"/>
      <c r="QM114" s="637"/>
      <c r="QN114" s="637"/>
      <c r="QO114" s="637"/>
      <c r="QP114" s="637"/>
      <c r="QQ114" s="637"/>
      <c r="QR114" s="637"/>
      <c r="QS114" s="637"/>
      <c r="QT114" s="637"/>
      <c r="QU114" s="637"/>
      <c r="QV114" s="637"/>
      <c r="QW114" s="637"/>
      <c r="QX114" s="637"/>
      <c r="QY114" s="637"/>
      <c r="QZ114" s="637"/>
      <c r="RA114" s="637"/>
      <c r="RB114" s="637"/>
      <c r="RC114" s="637"/>
      <c r="RD114" s="637"/>
      <c r="RE114" s="637"/>
      <c r="RF114" s="637"/>
      <c r="RG114" s="637"/>
      <c r="RH114" s="637"/>
      <c r="RI114" s="637"/>
      <c r="RJ114" s="637"/>
      <c r="RK114" s="637"/>
      <c r="RL114" s="637"/>
      <c r="RM114" s="637"/>
      <c r="RN114" s="637"/>
      <c r="RO114" s="637"/>
      <c r="RP114" s="637"/>
      <c r="RQ114" s="637"/>
      <c r="RR114" s="637"/>
      <c r="RS114" s="637"/>
      <c r="RT114" s="637"/>
      <c r="RU114" s="637"/>
      <c r="RV114" s="637"/>
      <c r="RW114" s="637"/>
      <c r="RX114" s="637"/>
      <c r="RY114" s="637"/>
      <c r="RZ114" s="637"/>
      <c r="SA114" s="637"/>
      <c r="SB114" s="637"/>
      <c r="SC114" s="637"/>
      <c r="SD114" s="637"/>
      <c r="SE114" s="637"/>
      <c r="SF114" s="637"/>
      <c r="SG114" s="637"/>
      <c r="SH114" s="637"/>
      <c r="SI114" s="637"/>
      <c r="SJ114" s="637"/>
      <c r="SK114" s="637"/>
      <c r="SL114" s="637"/>
      <c r="SM114" s="637"/>
      <c r="SN114" s="637"/>
      <c r="SO114" s="637"/>
      <c r="SP114" s="637"/>
      <c r="SQ114" s="637"/>
      <c r="SR114" s="637"/>
      <c r="SS114" s="637"/>
      <c r="ST114" s="637"/>
      <c r="SU114" s="637"/>
      <c r="SV114" s="637"/>
      <c r="SW114" s="637"/>
      <c r="SX114" s="637"/>
      <c r="SY114" s="637"/>
      <c r="SZ114" s="637"/>
      <c r="TA114" s="637"/>
      <c r="TB114" s="637"/>
      <c r="TC114" s="637"/>
      <c r="TD114" s="637"/>
      <c r="TE114" s="637"/>
      <c r="TF114" s="637"/>
      <c r="TG114" s="637"/>
      <c r="TH114" s="637"/>
      <c r="TI114" s="637"/>
      <c r="TJ114" s="637"/>
      <c r="TK114" s="637"/>
      <c r="TL114" s="637"/>
      <c r="TM114" s="637"/>
      <c r="TN114" s="637"/>
      <c r="TO114" s="637"/>
      <c r="TP114" s="637"/>
      <c r="TQ114" s="637"/>
      <c r="TR114" s="637"/>
      <c r="TS114" s="637"/>
      <c r="TT114" s="637"/>
      <c r="TU114" s="637"/>
      <c r="TV114" s="637"/>
      <c r="TW114" s="637"/>
      <c r="TX114" s="637"/>
      <c r="TY114" s="637"/>
      <c r="TZ114" s="637"/>
      <c r="UA114" s="637"/>
      <c r="UB114" s="637"/>
      <c r="UC114" s="637"/>
      <c r="UD114" s="637"/>
      <c r="UE114" s="637"/>
      <c r="UF114" s="637"/>
      <c r="UG114" s="637"/>
      <c r="UH114" s="637"/>
      <c r="UI114" s="637"/>
      <c r="UJ114" s="637"/>
      <c r="UK114" s="637"/>
      <c r="UL114" s="637"/>
      <c r="UM114" s="637"/>
      <c r="UN114" s="637"/>
      <c r="UO114" s="637"/>
      <c r="UP114" s="637"/>
      <c r="UQ114" s="637"/>
      <c r="UR114" s="637"/>
      <c r="US114" s="637"/>
      <c r="UT114" s="637"/>
      <c r="UU114" s="637"/>
      <c r="UV114" s="637"/>
      <c r="UW114" s="637"/>
      <c r="UX114" s="637"/>
      <c r="UY114" s="637"/>
      <c r="UZ114" s="637"/>
      <c r="VA114" s="637"/>
      <c r="VB114" s="637"/>
      <c r="VC114" s="637"/>
      <c r="VD114" s="637"/>
      <c r="VE114" s="637"/>
      <c r="VF114" s="637"/>
      <c r="VG114" s="637"/>
      <c r="VH114" s="637"/>
      <c r="VI114" s="637"/>
      <c r="VJ114" s="637"/>
      <c r="VK114" s="637"/>
      <c r="VL114" s="637"/>
      <c r="VM114" s="637"/>
      <c r="VN114" s="637"/>
      <c r="VO114" s="637"/>
      <c r="VP114" s="637"/>
      <c r="VQ114" s="637"/>
      <c r="VR114" s="637"/>
      <c r="VS114" s="637"/>
      <c r="VT114" s="637"/>
      <c r="VU114" s="637"/>
      <c r="VV114" s="637"/>
      <c r="VW114" s="637"/>
      <c r="VX114" s="637"/>
      <c r="VY114" s="637"/>
      <c r="VZ114" s="637"/>
      <c r="WA114" s="637"/>
      <c r="WB114" s="637"/>
      <c r="WC114" s="637"/>
      <c r="WD114" s="637"/>
      <c r="WE114" s="637"/>
      <c r="WF114" s="637"/>
      <c r="WG114" s="637"/>
      <c r="WH114" s="637"/>
      <c r="WI114" s="637"/>
      <c r="WJ114" s="637"/>
      <c r="WK114" s="637"/>
      <c r="WL114" s="637"/>
      <c r="WM114" s="637"/>
      <c r="WN114" s="637"/>
      <c r="WO114" s="637"/>
      <c r="WP114" s="637"/>
      <c r="WQ114" s="637"/>
      <c r="WR114" s="637"/>
      <c r="WS114" s="637"/>
      <c r="WT114" s="637"/>
      <c r="WU114" s="637"/>
      <c r="WV114" s="637"/>
      <c r="WW114" s="637"/>
      <c r="WX114" s="637"/>
      <c r="WY114" s="637"/>
      <c r="WZ114" s="637"/>
      <c r="XA114" s="637"/>
      <c r="XB114" s="637"/>
      <c r="XC114" s="637"/>
      <c r="XD114" s="637"/>
      <c r="XE114" s="637"/>
      <c r="XF114" s="637"/>
      <c r="XG114" s="637"/>
      <c r="XH114" s="637"/>
      <c r="XI114" s="637"/>
      <c r="XJ114" s="637"/>
      <c r="XK114" s="637"/>
      <c r="XL114" s="637"/>
      <c r="XM114" s="637"/>
      <c r="XN114" s="637"/>
      <c r="XO114" s="637"/>
      <c r="XP114" s="637"/>
      <c r="XQ114" s="637"/>
      <c r="XR114" s="637"/>
      <c r="XS114" s="637"/>
      <c r="XT114" s="637"/>
      <c r="XU114" s="637"/>
      <c r="XV114" s="637"/>
      <c r="XW114" s="637"/>
      <c r="XX114" s="637"/>
      <c r="XY114" s="637"/>
      <c r="XZ114" s="637"/>
      <c r="YA114" s="637"/>
      <c r="YB114" s="637"/>
      <c r="YC114" s="637"/>
      <c r="YD114" s="637"/>
      <c r="YE114" s="637"/>
      <c r="YF114" s="637"/>
      <c r="YG114" s="637"/>
      <c r="YH114" s="637"/>
      <c r="YI114" s="637"/>
      <c r="YJ114" s="637"/>
      <c r="YK114" s="637"/>
      <c r="YL114" s="637"/>
      <c r="YM114" s="637"/>
      <c r="YN114" s="637"/>
      <c r="YO114" s="637"/>
      <c r="YP114" s="637"/>
      <c r="YQ114" s="637"/>
      <c r="YR114" s="637"/>
      <c r="YS114" s="637"/>
      <c r="YT114" s="637"/>
      <c r="YU114" s="637"/>
      <c r="YV114" s="637"/>
      <c r="YW114" s="637"/>
      <c r="YX114" s="637"/>
      <c r="YY114" s="637"/>
      <c r="YZ114" s="637"/>
      <c r="ZA114" s="637"/>
      <c r="ZB114" s="637"/>
      <c r="ZC114" s="637"/>
      <c r="ZD114" s="637"/>
      <c r="ZE114" s="637"/>
      <c r="ZF114" s="637"/>
      <c r="ZG114" s="637"/>
      <c r="ZH114" s="637"/>
      <c r="ZI114" s="637"/>
      <c r="ZJ114" s="637"/>
      <c r="ZK114" s="637"/>
      <c r="ZL114" s="637"/>
      <c r="ZM114" s="637"/>
      <c r="ZN114" s="637"/>
      <c r="ZO114" s="637"/>
      <c r="ZP114" s="637"/>
      <c r="ZQ114" s="637"/>
      <c r="ZR114" s="637"/>
      <c r="ZS114" s="637"/>
      <c r="ZT114" s="637"/>
      <c r="ZU114" s="637"/>
      <c r="ZV114" s="637"/>
      <c r="ZW114" s="637"/>
      <c r="ZX114" s="637"/>
      <c r="ZY114" s="637"/>
      <c r="ZZ114" s="637"/>
      <c r="AAA114" s="637"/>
      <c r="AAB114" s="637"/>
      <c r="AAC114" s="637"/>
      <c r="AAD114" s="637"/>
      <c r="AAE114" s="637"/>
      <c r="AAF114" s="637"/>
      <c r="AAG114" s="637"/>
      <c r="AAH114" s="637"/>
      <c r="AAI114" s="637"/>
      <c r="AAJ114" s="637"/>
      <c r="AAK114" s="637"/>
      <c r="AAL114" s="637"/>
      <c r="AAM114" s="637"/>
      <c r="AAN114" s="637"/>
      <c r="AAO114" s="637"/>
      <c r="AAP114" s="637"/>
      <c r="AAQ114" s="637"/>
      <c r="AAR114" s="637"/>
      <c r="AAS114" s="637"/>
      <c r="AAT114" s="637"/>
      <c r="AAU114" s="637"/>
      <c r="AAV114" s="637"/>
      <c r="AAW114" s="637"/>
      <c r="AAX114" s="637"/>
      <c r="AAY114" s="637"/>
      <c r="AAZ114" s="637"/>
      <c r="ABA114" s="637"/>
      <c r="ABB114" s="637"/>
      <c r="ABC114" s="637"/>
      <c r="ABD114" s="637"/>
      <c r="ABE114" s="637"/>
      <c r="ABF114" s="637"/>
      <c r="ABG114" s="637"/>
      <c r="ABH114" s="637"/>
      <c r="ABI114" s="637"/>
      <c r="ABJ114" s="637"/>
      <c r="ABK114" s="637"/>
      <c r="ABL114" s="637"/>
      <c r="ABM114" s="637"/>
      <c r="ABN114" s="637"/>
      <c r="ABO114" s="637"/>
      <c r="ABP114" s="637"/>
      <c r="ABQ114" s="637"/>
      <c r="ABR114" s="637"/>
      <c r="ABS114" s="637"/>
      <c r="ABT114" s="637"/>
      <c r="ABU114" s="637"/>
      <c r="ABV114" s="637"/>
      <c r="ABW114" s="637"/>
      <c r="ABX114" s="637"/>
      <c r="ABY114" s="637"/>
      <c r="ABZ114" s="637"/>
      <c r="ACA114" s="637"/>
      <c r="ACB114" s="637"/>
      <c r="ACC114" s="637"/>
      <c r="ACD114" s="637"/>
      <c r="ACE114" s="637"/>
      <c r="ACF114" s="637"/>
      <c r="ACG114" s="637"/>
      <c r="ACH114" s="637"/>
      <c r="ACI114" s="637"/>
      <c r="ACJ114" s="637"/>
      <c r="ACK114" s="637"/>
      <c r="ACL114" s="637"/>
      <c r="ACM114" s="637"/>
      <c r="ACN114" s="637"/>
      <c r="ACO114" s="637"/>
      <c r="ACP114" s="637"/>
      <c r="ACQ114" s="637"/>
      <c r="ACR114" s="637"/>
      <c r="ACS114" s="637"/>
      <c r="ACT114" s="637"/>
      <c r="ACU114" s="637"/>
      <c r="ACV114" s="637"/>
      <c r="ACW114" s="637"/>
      <c r="ACX114" s="637"/>
      <c r="ACY114" s="637"/>
      <c r="ACZ114" s="637"/>
      <c r="ADA114" s="637"/>
      <c r="ADB114" s="637"/>
      <c r="ADC114" s="637"/>
      <c r="ADD114" s="637"/>
      <c r="ADE114" s="637"/>
      <c r="ADF114" s="637"/>
      <c r="ADG114" s="637"/>
      <c r="ADH114" s="637"/>
      <c r="ADI114" s="637"/>
      <c r="ADJ114" s="637"/>
      <c r="ADK114" s="637"/>
      <c r="ADL114" s="637"/>
      <c r="ADM114" s="637"/>
      <c r="ADN114" s="637"/>
      <c r="ADO114" s="637"/>
      <c r="ADP114" s="637"/>
      <c r="ADQ114" s="637"/>
      <c r="ADR114" s="637"/>
      <c r="ADS114" s="637"/>
      <c r="ADT114" s="637"/>
      <c r="ADU114" s="637"/>
      <c r="ADV114" s="637"/>
      <c r="ADW114" s="637"/>
      <c r="ADX114" s="637"/>
      <c r="ADY114" s="637"/>
      <c r="ADZ114" s="637"/>
      <c r="AEA114" s="637"/>
      <c r="AEB114" s="637"/>
      <c r="AEC114" s="637"/>
      <c r="AED114" s="637"/>
      <c r="AEE114" s="637"/>
      <c r="AEF114" s="637"/>
      <c r="AEG114" s="637"/>
      <c r="AEH114" s="637"/>
      <c r="AEI114" s="637"/>
      <c r="AEJ114" s="637"/>
      <c r="AEK114" s="637"/>
      <c r="AEL114" s="637"/>
      <c r="AEM114" s="637"/>
      <c r="AEN114" s="637"/>
      <c r="AEO114" s="637"/>
      <c r="AEP114" s="637"/>
      <c r="AEQ114" s="637"/>
      <c r="AER114" s="637"/>
      <c r="AES114" s="637"/>
      <c r="AET114" s="637"/>
      <c r="AEU114" s="637"/>
      <c r="AEV114" s="637"/>
      <c r="AEW114" s="637"/>
      <c r="AEX114" s="637"/>
      <c r="AEY114" s="637"/>
      <c r="AEZ114" s="637"/>
      <c r="AFA114" s="637"/>
      <c r="AFB114" s="637"/>
      <c r="AFC114" s="637"/>
      <c r="AFD114" s="637"/>
      <c r="AFE114" s="637"/>
      <c r="AFF114" s="637"/>
      <c r="AFG114" s="637"/>
      <c r="AFH114" s="637"/>
      <c r="AFI114" s="637"/>
      <c r="AFJ114" s="637"/>
      <c r="AFK114" s="637"/>
      <c r="AFL114" s="637"/>
      <c r="AFM114" s="637"/>
      <c r="AFN114" s="637"/>
      <c r="AFO114" s="637"/>
      <c r="AFP114" s="637"/>
      <c r="AFQ114" s="637"/>
      <c r="AFR114" s="637"/>
      <c r="AFS114" s="637"/>
      <c r="AFT114" s="637"/>
      <c r="AFU114" s="637"/>
      <c r="AFV114" s="637"/>
      <c r="AFW114" s="637"/>
      <c r="AFX114" s="637"/>
      <c r="AFY114" s="637"/>
      <c r="AFZ114" s="637"/>
      <c r="AGA114" s="637"/>
      <c r="AGB114" s="637"/>
      <c r="AGC114" s="637"/>
      <c r="AGD114" s="637"/>
      <c r="AGE114" s="637"/>
      <c r="AGF114" s="637"/>
      <c r="AGG114" s="637"/>
      <c r="AGH114" s="637"/>
      <c r="AGI114" s="637"/>
      <c r="AGJ114" s="637"/>
      <c r="AGK114" s="637"/>
      <c r="AGL114" s="637"/>
      <c r="AGM114" s="637"/>
      <c r="AGN114" s="637"/>
      <c r="AGO114" s="637"/>
      <c r="AGP114" s="637"/>
      <c r="AGQ114" s="637"/>
      <c r="AGR114" s="637"/>
      <c r="AGS114" s="637"/>
      <c r="AGT114" s="637"/>
      <c r="AGU114" s="637"/>
      <c r="AGV114" s="637"/>
      <c r="AGW114" s="637"/>
      <c r="AGX114" s="637"/>
      <c r="AGY114" s="637"/>
      <c r="AGZ114" s="637"/>
      <c r="AHA114" s="637"/>
      <c r="AHB114" s="637"/>
      <c r="AHC114" s="637"/>
      <c r="AHD114" s="637"/>
      <c r="AHE114" s="637"/>
      <c r="AHF114" s="637"/>
      <c r="AHG114" s="637"/>
      <c r="AHH114" s="637"/>
      <c r="AHI114" s="637"/>
      <c r="AHJ114" s="637"/>
      <c r="AHK114" s="637"/>
      <c r="AHL114" s="637"/>
      <c r="AHM114" s="637"/>
      <c r="AHN114" s="637"/>
      <c r="AHO114" s="637"/>
      <c r="AHP114" s="637"/>
      <c r="AHQ114" s="637"/>
      <c r="AHR114" s="637"/>
      <c r="AHS114" s="637"/>
      <c r="AHT114" s="637"/>
      <c r="AHU114" s="637"/>
      <c r="AHV114" s="637"/>
      <c r="AHW114" s="637"/>
      <c r="AHX114" s="637"/>
      <c r="AHY114" s="637"/>
      <c r="AHZ114" s="637"/>
      <c r="AIA114" s="637"/>
      <c r="AIB114" s="637"/>
      <c r="AIC114" s="637"/>
      <c r="AID114" s="637"/>
      <c r="AIE114" s="637"/>
      <c r="AIF114" s="637"/>
      <c r="AIG114" s="637"/>
      <c r="AIH114" s="637"/>
      <c r="AII114" s="637"/>
      <c r="AIJ114" s="637"/>
      <c r="AIK114" s="637"/>
      <c r="AIL114" s="637"/>
      <c r="AIM114" s="637"/>
      <c r="AIN114" s="637"/>
      <c r="AIO114" s="637"/>
      <c r="AIP114" s="637"/>
      <c r="AIQ114" s="637"/>
      <c r="AIR114" s="637"/>
      <c r="AIS114" s="637"/>
      <c r="AIT114" s="637"/>
      <c r="AIU114" s="637"/>
      <c r="AIV114" s="637"/>
      <c r="AIW114" s="637"/>
      <c r="AIX114" s="637"/>
      <c r="AIY114" s="637"/>
      <c r="AIZ114" s="637"/>
      <c r="AJA114" s="637"/>
      <c r="AJB114" s="637"/>
      <c r="AJC114" s="637"/>
      <c r="AJD114" s="637"/>
      <c r="AJE114" s="637"/>
      <c r="AJF114" s="637"/>
      <c r="AJG114" s="637"/>
      <c r="AJH114" s="637"/>
      <c r="AJI114" s="637"/>
      <c r="AJJ114" s="637"/>
      <c r="AJK114" s="637"/>
      <c r="AJL114" s="637"/>
      <c r="AJM114" s="637"/>
      <c r="AJN114" s="637"/>
      <c r="AJO114" s="637"/>
      <c r="AJP114" s="637"/>
      <c r="AJQ114" s="637"/>
      <c r="AJR114" s="637"/>
      <c r="AJS114" s="637"/>
      <c r="AJT114" s="637"/>
      <c r="AJU114" s="637"/>
      <c r="AJV114" s="637"/>
      <c r="AJW114" s="637"/>
      <c r="AJX114" s="637"/>
      <c r="AJY114" s="637"/>
      <c r="AJZ114" s="637"/>
      <c r="AKA114" s="637"/>
      <c r="AKB114" s="637"/>
      <c r="AKC114" s="637"/>
      <c r="AKD114" s="637"/>
      <c r="AKE114" s="637"/>
      <c r="AKF114" s="637"/>
      <c r="AKG114" s="637"/>
      <c r="AKH114" s="637"/>
      <c r="AKI114" s="637"/>
      <c r="AKJ114" s="637"/>
      <c r="AKK114" s="637"/>
      <c r="AKL114" s="637"/>
      <c r="AKM114" s="637"/>
      <c r="AKN114" s="637"/>
      <c r="AKO114" s="637"/>
      <c r="AKP114" s="637"/>
      <c r="AKQ114" s="637"/>
      <c r="AKR114" s="637"/>
      <c r="AKS114" s="637"/>
      <c r="AKT114" s="637"/>
      <c r="AKU114" s="637"/>
      <c r="AKV114" s="637"/>
      <c r="AKW114" s="637"/>
      <c r="AKX114" s="637"/>
      <c r="AKY114" s="637"/>
      <c r="AKZ114" s="637"/>
      <c r="ALA114" s="637"/>
      <c r="ALB114" s="637"/>
      <c r="ALC114" s="637"/>
      <c r="ALD114" s="637"/>
      <c r="ALE114" s="637"/>
      <c r="ALF114" s="637"/>
      <c r="ALG114" s="637"/>
      <c r="ALH114" s="637"/>
      <c r="ALI114" s="637"/>
      <c r="ALJ114" s="637"/>
      <c r="ALK114" s="637"/>
      <c r="ALL114" s="637"/>
      <c r="ALM114" s="637"/>
      <c r="ALN114" s="637"/>
      <c r="ALO114" s="637"/>
      <c r="ALP114" s="637"/>
      <c r="ALQ114" s="637"/>
      <c r="ALR114" s="637"/>
      <c r="ALS114" s="637"/>
      <c r="ALT114" s="637"/>
      <c r="ALU114" s="637"/>
      <c r="ALV114" s="637"/>
      <c r="ALW114" s="637"/>
      <c r="ALX114" s="637"/>
      <c r="ALY114" s="637"/>
      <c r="ALZ114" s="637"/>
      <c r="AMA114" s="637"/>
      <c r="AMB114" s="637"/>
      <c r="AMC114" s="637"/>
      <c r="AMD114" s="637"/>
      <c r="AME114" s="637"/>
      <c r="AMF114" s="637"/>
      <c r="AMG114" s="637"/>
      <c r="AMH114" s="637"/>
      <c r="AMI114" s="637"/>
      <c r="AMJ114" s="637"/>
    </row>
    <row r="115" spans="1:1024" s="638" customFormat="1" ht="12.75">
      <c r="A115" s="984" t="s">
        <v>120</v>
      </c>
      <c r="B115" s="985" t="s">
        <v>137</v>
      </c>
      <c r="C115" s="986" t="s">
        <v>123</v>
      </c>
      <c r="D115" s="981" t="s">
        <v>4</v>
      </c>
      <c r="E115" s="982">
        <v>6694</v>
      </c>
      <c r="F115" s="982">
        <f t="shared" si="13"/>
        <v>0</v>
      </c>
      <c r="G115" s="987"/>
      <c r="H115" s="987"/>
      <c r="I115" s="987"/>
      <c r="J115" s="987"/>
      <c r="K115" s="987"/>
      <c r="L115" s="987"/>
      <c r="M115" s="987"/>
      <c r="N115" s="987"/>
      <c r="O115" s="987"/>
      <c r="P115" s="987"/>
      <c r="Q115" s="987"/>
      <c r="R115" s="984"/>
      <c r="S115" s="637"/>
      <c r="T115" s="637"/>
      <c r="U115" s="637"/>
      <c r="V115" s="637"/>
      <c r="W115" s="637"/>
      <c r="X115" s="637"/>
      <c r="Y115" s="637"/>
      <c r="Z115" s="637"/>
      <c r="AA115" s="637"/>
      <c r="AB115" s="637"/>
      <c r="AC115" s="637"/>
      <c r="AD115" s="637"/>
      <c r="AE115" s="637"/>
      <c r="AF115" s="637"/>
      <c r="AG115" s="637"/>
      <c r="AH115" s="637"/>
      <c r="AI115" s="637"/>
      <c r="AJ115" s="637"/>
      <c r="AK115" s="637"/>
      <c r="AL115" s="637"/>
      <c r="AM115" s="637"/>
      <c r="AN115" s="637"/>
      <c r="AO115" s="637"/>
      <c r="AP115" s="637"/>
      <c r="AQ115" s="637"/>
      <c r="AR115" s="637"/>
      <c r="AS115" s="637"/>
      <c r="AT115" s="637"/>
      <c r="AU115" s="637"/>
      <c r="AV115" s="637"/>
      <c r="AW115" s="637"/>
      <c r="AX115" s="637"/>
      <c r="AY115" s="637"/>
      <c r="AZ115" s="637"/>
      <c r="BA115" s="637"/>
      <c r="BB115" s="637"/>
      <c r="BC115" s="637"/>
      <c r="BD115" s="637"/>
      <c r="BE115" s="637"/>
      <c r="BF115" s="637"/>
      <c r="BG115" s="637"/>
      <c r="BH115" s="637"/>
      <c r="BI115" s="637"/>
      <c r="BJ115" s="637"/>
      <c r="BK115" s="637"/>
      <c r="BL115" s="637"/>
      <c r="BM115" s="637"/>
      <c r="BN115" s="637"/>
      <c r="BO115" s="637"/>
      <c r="BP115" s="637"/>
      <c r="BQ115" s="637"/>
      <c r="BR115" s="637"/>
      <c r="BS115" s="637"/>
      <c r="BT115" s="637"/>
      <c r="BU115" s="637"/>
      <c r="BV115" s="637"/>
      <c r="BW115" s="637"/>
      <c r="BX115" s="637"/>
      <c r="BY115" s="637"/>
      <c r="BZ115" s="637"/>
      <c r="CA115" s="637"/>
      <c r="CB115" s="637"/>
      <c r="CC115" s="637"/>
      <c r="CD115" s="637"/>
      <c r="CE115" s="637"/>
      <c r="CF115" s="637"/>
      <c r="CG115" s="637"/>
      <c r="CH115" s="637"/>
      <c r="CI115" s="637"/>
      <c r="CJ115" s="637"/>
      <c r="CK115" s="637"/>
      <c r="CL115" s="637"/>
      <c r="CM115" s="637"/>
      <c r="CN115" s="637"/>
      <c r="CO115" s="637"/>
      <c r="CP115" s="637"/>
      <c r="CQ115" s="637"/>
      <c r="CR115" s="637"/>
      <c r="CS115" s="637"/>
      <c r="CT115" s="637"/>
      <c r="CU115" s="637"/>
      <c r="CV115" s="637"/>
      <c r="CW115" s="637"/>
      <c r="CX115" s="637"/>
      <c r="CY115" s="637"/>
      <c r="CZ115" s="637"/>
      <c r="DA115" s="637"/>
      <c r="DB115" s="637"/>
      <c r="DC115" s="637"/>
      <c r="DD115" s="637"/>
      <c r="DE115" s="637"/>
      <c r="DF115" s="637"/>
      <c r="DG115" s="637"/>
      <c r="DH115" s="637"/>
      <c r="DI115" s="637"/>
      <c r="DJ115" s="637"/>
      <c r="DK115" s="637"/>
      <c r="DL115" s="637"/>
      <c r="DM115" s="637"/>
      <c r="DN115" s="637"/>
      <c r="DO115" s="637"/>
      <c r="DP115" s="637"/>
      <c r="DQ115" s="637"/>
      <c r="DR115" s="637"/>
      <c r="DS115" s="637"/>
      <c r="DT115" s="637"/>
      <c r="DU115" s="637"/>
      <c r="DV115" s="637"/>
      <c r="DW115" s="637"/>
      <c r="DX115" s="637"/>
      <c r="DY115" s="637"/>
      <c r="DZ115" s="637"/>
      <c r="EA115" s="637"/>
      <c r="EB115" s="637"/>
      <c r="EC115" s="637"/>
      <c r="ED115" s="637"/>
      <c r="EE115" s="637"/>
      <c r="EF115" s="637"/>
      <c r="EG115" s="637"/>
      <c r="EH115" s="637"/>
      <c r="EI115" s="637"/>
      <c r="EJ115" s="637"/>
      <c r="EK115" s="637"/>
      <c r="EL115" s="637"/>
      <c r="EM115" s="637"/>
      <c r="EN115" s="637"/>
      <c r="EO115" s="637"/>
      <c r="EP115" s="637"/>
      <c r="EQ115" s="637"/>
      <c r="ER115" s="637"/>
      <c r="ES115" s="637"/>
      <c r="ET115" s="637"/>
      <c r="EU115" s="637"/>
      <c r="EV115" s="637"/>
      <c r="EW115" s="637"/>
      <c r="EX115" s="637"/>
      <c r="EY115" s="637"/>
      <c r="EZ115" s="637"/>
      <c r="FA115" s="637"/>
      <c r="FB115" s="637"/>
      <c r="FC115" s="637"/>
      <c r="FD115" s="637"/>
      <c r="FE115" s="637"/>
      <c r="FF115" s="637"/>
      <c r="FG115" s="637"/>
      <c r="FH115" s="637"/>
      <c r="FI115" s="637"/>
      <c r="FJ115" s="637"/>
      <c r="FK115" s="637"/>
      <c r="FL115" s="637"/>
      <c r="FM115" s="637"/>
      <c r="FN115" s="637"/>
      <c r="FO115" s="637"/>
      <c r="FP115" s="637"/>
      <c r="FQ115" s="637"/>
      <c r="FR115" s="637"/>
      <c r="FS115" s="637"/>
      <c r="FT115" s="637"/>
      <c r="FU115" s="637"/>
      <c r="FV115" s="637"/>
      <c r="FW115" s="637"/>
      <c r="FX115" s="637"/>
      <c r="FY115" s="637"/>
      <c r="FZ115" s="637"/>
      <c r="GA115" s="637"/>
      <c r="GB115" s="637"/>
      <c r="GC115" s="637"/>
      <c r="GD115" s="637"/>
      <c r="GE115" s="637"/>
      <c r="GF115" s="637"/>
      <c r="GG115" s="637"/>
      <c r="GH115" s="637"/>
      <c r="GI115" s="637"/>
      <c r="GJ115" s="637"/>
      <c r="GK115" s="637"/>
      <c r="GL115" s="637"/>
      <c r="GM115" s="637"/>
      <c r="GN115" s="637"/>
      <c r="GO115" s="637"/>
      <c r="GP115" s="637"/>
      <c r="GQ115" s="637"/>
      <c r="GR115" s="637"/>
      <c r="GS115" s="637"/>
      <c r="GT115" s="637"/>
      <c r="GU115" s="637"/>
      <c r="GV115" s="637"/>
      <c r="GW115" s="637"/>
      <c r="GX115" s="637"/>
      <c r="GY115" s="637"/>
      <c r="GZ115" s="637"/>
      <c r="HA115" s="637"/>
      <c r="HB115" s="637"/>
      <c r="HC115" s="637"/>
      <c r="HD115" s="637"/>
      <c r="HE115" s="637"/>
      <c r="HF115" s="637"/>
      <c r="HG115" s="637"/>
      <c r="HH115" s="637"/>
      <c r="HI115" s="637"/>
      <c r="HJ115" s="637"/>
      <c r="HK115" s="637"/>
      <c r="HL115" s="637"/>
      <c r="HM115" s="637"/>
      <c r="HN115" s="637"/>
      <c r="HO115" s="637"/>
      <c r="HP115" s="637"/>
      <c r="HQ115" s="637"/>
      <c r="HR115" s="637"/>
      <c r="HS115" s="637"/>
      <c r="HT115" s="637"/>
      <c r="HU115" s="637"/>
      <c r="HV115" s="637"/>
      <c r="HW115" s="637"/>
      <c r="HX115" s="637"/>
      <c r="HY115" s="637"/>
      <c r="HZ115" s="637"/>
      <c r="IA115" s="637"/>
      <c r="IB115" s="637"/>
      <c r="IC115" s="637"/>
      <c r="ID115" s="637"/>
      <c r="IE115" s="637"/>
      <c r="IF115" s="637"/>
      <c r="IG115" s="637"/>
      <c r="IH115" s="637"/>
      <c r="II115" s="637"/>
      <c r="IJ115" s="637"/>
      <c r="IK115" s="637"/>
      <c r="IL115" s="637"/>
      <c r="IM115" s="637"/>
      <c r="IN115" s="637"/>
      <c r="IO115" s="637"/>
      <c r="IP115" s="637"/>
      <c r="IQ115" s="637"/>
      <c r="IR115" s="637"/>
      <c r="IS115" s="637"/>
      <c r="IT115" s="637"/>
      <c r="IU115" s="637"/>
      <c r="IV115" s="637"/>
      <c r="IW115" s="637"/>
      <c r="IX115" s="637"/>
      <c r="IY115" s="637"/>
      <c r="IZ115" s="637"/>
      <c r="JA115" s="637"/>
      <c r="JB115" s="637"/>
      <c r="JC115" s="637"/>
      <c r="JD115" s="637"/>
      <c r="JE115" s="637"/>
      <c r="JF115" s="637"/>
      <c r="JG115" s="637"/>
      <c r="JH115" s="637"/>
      <c r="JI115" s="637"/>
      <c r="JJ115" s="637"/>
      <c r="JK115" s="637"/>
      <c r="JL115" s="637"/>
      <c r="JM115" s="637"/>
      <c r="JN115" s="637"/>
      <c r="JO115" s="637"/>
      <c r="JP115" s="637"/>
      <c r="JQ115" s="637"/>
      <c r="JR115" s="637"/>
      <c r="JS115" s="637"/>
      <c r="JT115" s="637"/>
      <c r="JU115" s="637"/>
      <c r="JV115" s="637"/>
      <c r="JW115" s="637"/>
      <c r="JX115" s="637"/>
      <c r="JY115" s="637"/>
      <c r="JZ115" s="637"/>
      <c r="KA115" s="637"/>
      <c r="KB115" s="637"/>
      <c r="KC115" s="637"/>
      <c r="KD115" s="637"/>
      <c r="KE115" s="637"/>
      <c r="KF115" s="637"/>
      <c r="KG115" s="637"/>
      <c r="KH115" s="637"/>
      <c r="KI115" s="637"/>
      <c r="KJ115" s="637"/>
      <c r="KK115" s="637"/>
      <c r="KL115" s="637"/>
      <c r="KM115" s="637"/>
      <c r="KN115" s="637"/>
      <c r="KO115" s="637"/>
      <c r="KP115" s="637"/>
      <c r="KQ115" s="637"/>
      <c r="KR115" s="637"/>
      <c r="KS115" s="637"/>
      <c r="KT115" s="637"/>
      <c r="KU115" s="637"/>
      <c r="KV115" s="637"/>
      <c r="KW115" s="637"/>
      <c r="KX115" s="637"/>
      <c r="KY115" s="637"/>
      <c r="KZ115" s="637"/>
      <c r="LA115" s="637"/>
      <c r="LB115" s="637"/>
      <c r="LC115" s="637"/>
      <c r="LD115" s="637"/>
      <c r="LE115" s="637"/>
      <c r="LF115" s="637"/>
      <c r="LG115" s="637"/>
      <c r="LH115" s="637"/>
      <c r="LI115" s="637"/>
      <c r="LJ115" s="637"/>
      <c r="LK115" s="637"/>
      <c r="LL115" s="637"/>
      <c r="LM115" s="637"/>
      <c r="LN115" s="637"/>
      <c r="LO115" s="637"/>
      <c r="LP115" s="637"/>
      <c r="LQ115" s="637"/>
      <c r="LR115" s="637"/>
      <c r="LS115" s="637"/>
      <c r="LT115" s="637"/>
      <c r="LU115" s="637"/>
      <c r="LV115" s="637"/>
      <c r="LW115" s="637"/>
      <c r="LX115" s="637"/>
      <c r="LY115" s="637"/>
      <c r="LZ115" s="637"/>
      <c r="MA115" s="637"/>
      <c r="MB115" s="637"/>
      <c r="MC115" s="637"/>
      <c r="MD115" s="637"/>
      <c r="ME115" s="637"/>
      <c r="MF115" s="637"/>
      <c r="MG115" s="637"/>
      <c r="MH115" s="637"/>
      <c r="MI115" s="637"/>
      <c r="MJ115" s="637"/>
      <c r="MK115" s="637"/>
      <c r="ML115" s="637"/>
      <c r="MM115" s="637"/>
      <c r="MN115" s="637"/>
      <c r="MO115" s="637"/>
      <c r="MP115" s="637"/>
      <c r="MQ115" s="637"/>
      <c r="MR115" s="637"/>
      <c r="MS115" s="637"/>
      <c r="MT115" s="637"/>
      <c r="MU115" s="637"/>
      <c r="MV115" s="637"/>
      <c r="MW115" s="637"/>
      <c r="MX115" s="637"/>
      <c r="MY115" s="637"/>
      <c r="MZ115" s="637"/>
      <c r="NA115" s="637"/>
      <c r="NB115" s="637"/>
      <c r="NC115" s="637"/>
      <c r="ND115" s="637"/>
      <c r="NE115" s="637"/>
      <c r="NF115" s="637"/>
      <c r="NG115" s="637"/>
      <c r="NH115" s="637"/>
      <c r="NI115" s="637"/>
      <c r="NJ115" s="637"/>
      <c r="NK115" s="637"/>
      <c r="NL115" s="637"/>
      <c r="NM115" s="637"/>
      <c r="NN115" s="637"/>
      <c r="NO115" s="637"/>
      <c r="NP115" s="637"/>
      <c r="NQ115" s="637"/>
      <c r="NR115" s="637"/>
      <c r="NS115" s="637"/>
      <c r="NT115" s="637"/>
      <c r="NU115" s="637"/>
      <c r="NV115" s="637"/>
      <c r="NW115" s="637"/>
      <c r="NX115" s="637"/>
      <c r="NY115" s="637"/>
      <c r="NZ115" s="637"/>
      <c r="OA115" s="637"/>
      <c r="OB115" s="637"/>
      <c r="OC115" s="637"/>
      <c r="OD115" s="637"/>
      <c r="OE115" s="637"/>
      <c r="OF115" s="637"/>
      <c r="OG115" s="637"/>
      <c r="OH115" s="637"/>
      <c r="OI115" s="637"/>
      <c r="OJ115" s="637"/>
      <c r="OK115" s="637"/>
      <c r="OL115" s="637"/>
      <c r="OM115" s="637"/>
      <c r="ON115" s="637"/>
      <c r="OO115" s="637"/>
      <c r="OP115" s="637"/>
      <c r="OQ115" s="637"/>
      <c r="OR115" s="637"/>
      <c r="OS115" s="637"/>
      <c r="OT115" s="637"/>
      <c r="OU115" s="637"/>
      <c r="OV115" s="637"/>
      <c r="OW115" s="637"/>
      <c r="OX115" s="637"/>
      <c r="OY115" s="637"/>
      <c r="OZ115" s="637"/>
      <c r="PA115" s="637"/>
      <c r="PB115" s="637"/>
      <c r="PC115" s="637"/>
      <c r="PD115" s="637"/>
      <c r="PE115" s="637"/>
      <c r="PF115" s="637"/>
      <c r="PG115" s="637"/>
      <c r="PH115" s="637"/>
      <c r="PI115" s="637"/>
      <c r="PJ115" s="637"/>
      <c r="PK115" s="637"/>
      <c r="PL115" s="637"/>
      <c r="PM115" s="637"/>
      <c r="PN115" s="637"/>
      <c r="PO115" s="637"/>
      <c r="PP115" s="637"/>
      <c r="PQ115" s="637"/>
      <c r="PR115" s="637"/>
      <c r="PS115" s="637"/>
      <c r="PT115" s="637"/>
      <c r="PU115" s="637"/>
      <c r="PV115" s="637"/>
      <c r="PW115" s="637"/>
      <c r="PX115" s="637"/>
      <c r="PY115" s="637"/>
      <c r="PZ115" s="637"/>
      <c r="QA115" s="637"/>
      <c r="QB115" s="637"/>
      <c r="QC115" s="637"/>
      <c r="QD115" s="637"/>
      <c r="QE115" s="637"/>
      <c r="QF115" s="637"/>
      <c r="QG115" s="637"/>
      <c r="QH115" s="637"/>
      <c r="QI115" s="637"/>
      <c r="QJ115" s="637"/>
      <c r="QK115" s="637"/>
      <c r="QL115" s="637"/>
      <c r="QM115" s="637"/>
      <c r="QN115" s="637"/>
      <c r="QO115" s="637"/>
      <c r="QP115" s="637"/>
      <c r="QQ115" s="637"/>
      <c r="QR115" s="637"/>
      <c r="QS115" s="637"/>
      <c r="QT115" s="637"/>
      <c r="QU115" s="637"/>
      <c r="QV115" s="637"/>
      <c r="QW115" s="637"/>
      <c r="QX115" s="637"/>
      <c r="QY115" s="637"/>
      <c r="QZ115" s="637"/>
      <c r="RA115" s="637"/>
      <c r="RB115" s="637"/>
      <c r="RC115" s="637"/>
      <c r="RD115" s="637"/>
      <c r="RE115" s="637"/>
      <c r="RF115" s="637"/>
      <c r="RG115" s="637"/>
      <c r="RH115" s="637"/>
      <c r="RI115" s="637"/>
      <c r="RJ115" s="637"/>
      <c r="RK115" s="637"/>
      <c r="RL115" s="637"/>
      <c r="RM115" s="637"/>
      <c r="RN115" s="637"/>
      <c r="RO115" s="637"/>
      <c r="RP115" s="637"/>
      <c r="RQ115" s="637"/>
      <c r="RR115" s="637"/>
      <c r="RS115" s="637"/>
      <c r="RT115" s="637"/>
      <c r="RU115" s="637"/>
      <c r="RV115" s="637"/>
      <c r="RW115" s="637"/>
      <c r="RX115" s="637"/>
      <c r="RY115" s="637"/>
      <c r="RZ115" s="637"/>
      <c r="SA115" s="637"/>
      <c r="SB115" s="637"/>
      <c r="SC115" s="637"/>
      <c r="SD115" s="637"/>
      <c r="SE115" s="637"/>
      <c r="SF115" s="637"/>
      <c r="SG115" s="637"/>
      <c r="SH115" s="637"/>
      <c r="SI115" s="637"/>
      <c r="SJ115" s="637"/>
      <c r="SK115" s="637"/>
      <c r="SL115" s="637"/>
      <c r="SM115" s="637"/>
      <c r="SN115" s="637"/>
      <c r="SO115" s="637"/>
      <c r="SP115" s="637"/>
      <c r="SQ115" s="637"/>
      <c r="SR115" s="637"/>
      <c r="SS115" s="637"/>
      <c r="ST115" s="637"/>
      <c r="SU115" s="637"/>
      <c r="SV115" s="637"/>
      <c r="SW115" s="637"/>
      <c r="SX115" s="637"/>
      <c r="SY115" s="637"/>
      <c r="SZ115" s="637"/>
      <c r="TA115" s="637"/>
      <c r="TB115" s="637"/>
      <c r="TC115" s="637"/>
      <c r="TD115" s="637"/>
      <c r="TE115" s="637"/>
      <c r="TF115" s="637"/>
      <c r="TG115" s="637"/>
      <c r="TH115" s="637"/>
      <c r="TI115" s="637"/>
      <c r="TJ115" s="637"/>
      <c r="TK115" s="637"/>
      <c r="TL115" s="637"/>
      <c r="TM115" s="637"/>
      <c r="TN115" s="637"/>
      <c r="TO115" s="637"/>
      <c r="TP115" s="637"/>
      <c r="TQ115" s="637"/>
      <c r="TR115" s="637"/>
      <c r="TS115" s="637"/>
      <c r="TT115" s="637"/>
      <c r="TU115" s="637"/>
      <c r="TV115" s="637"/>
      <c r="TW115" s="637"/>
      <c r="TX115" s="637"/>
      <c r="TY115" s="637"/>
      <c r="TZ115" s="637"/>
      <c r="UA115" s="637"/>
      <c r="UB115" s="637"/>
      <c r="UC115" s="637"/>
      <c r="UD115" s="637"/>
      <c r="UE115" s="637"/>
      <c r="UF115" s="637"/>
      <c r="UG115" s="637"/>
      <c r="UH115" s="637"/>
      <c r="UI115" s="637"/>
      <c r="UJ115" s="637"/>
      <c r="UK115" s="637"/>
      <c r="UL115" s="637"/>
      <c r="UM115" s="637"/>
      <c r="UN115" s="637"/>
      <c r="UO115" s="637"/>
      <c r="UP115" s="637"/>
      <c r="UQ115" s="637"/>
      <c r="UR115" s="637"/>
      <c r="US115" s="637"/>
      <c r="UT115" s="637"/>
      <c r="UU115" s="637"/>
      <c r="UV115" s="637"/>
      <c r="UW115" s="637"/>
      <c r="UX115" s="637"/>
      <c r="UY115" s="637"/>
      <c r="UZ115" s="637"/>
      <c r="VA115" s="637"/>
      <c r="VB115" s="637"/>
      <c r="VC115" s="637"/>
      <c r="VD115" s="637"/>
      <c r="VE115" s="637"/>
      <c r="VF115" s="637"/>
      <c r="VG115" s="637"/>
      <c r="VH115" s="637"/>
      <c r="VI115" s="637"/>
      <c r="VJ115" s="637"/>
      <c r="VK115" s="637"/>
      <c r="VL115" s="637"/>
      <c r="VM115" s="637"/>
      <c r="VN115" s="637"/>
      <c r="VO115" s="637"/>
      <c r="VP115" s="637"/>
      <c r="VQ115" s="637"/>
      <c r="VR115" s="637"/>
      <c r="VS115" s="637"/>
      <c r="VT115" s="637"/>
      <c r="VU115" s="637"/>
      <c r="VV115" s="637"/>
      <c r="VW115" s="637"/>
      <c r="VX115" s="637"/>
      <c r="VY115" s="637"/>
      <c r="VZ115" s="637"/>
      <c r="WA115" s="637"/>
      <c r="WB115" s="637"/>
      <c r="WC115" s="637"/>
      <c r="WD115" s="637"/>
      <c r="WE115" s="637"/>
      <c r="WF115" s="637"/>
      <c r="WG115" s="637"/>
      <c r="WH115" s="637"/>
      <c r="WI115" s="637"/>
      <c r="WJ115" s="637"/>
      <c r="WK115" s="637"/>
      <c r="WL115" s="637"/>
      <c r="WM115" s="637"/>
      <c r="WN115" s="637"/>
      <c r="WO115" s="637"/>
      <c r="WP115" s="637"/>
      <c r="WQ115" s="637"/>
      <c r="WR115" s="637"/>
      <c r="WS115" s="637"/>
      <c r="WT115" s="637"/>
      <c r="WU115" s="637"/>
      <c r="WV115" s="637"/>
      <c r="WW115" s="637"/>
      <c r="WX115" s="637"/>
      <c r="WY115" s="637"/>
      <c r="WZ115" s="637"/>
      <c r="XA115" s="637"/>
      <c r="XB115" s="637"/>
      <c r="XC115" s="637"/>
      <c r="XD115" s="637"/>
      <c r="XE115" s="637"/>
      <c r="XF115" s="637"/>
      <c r="XG115" s="637"/>
      <c r="XH115" s="637"/>
      <c r="XI115" s="637"/>
      <c r="XJ115" s="637"/>
      <c r="XK115" s="637"/>
      <c r="XL115" s="637"/>
      <c r="XM115" s="637"/>
      <c r="XN115" s="637"/>
      <c r="XO115" s="637"/>
      <c r="XP115" s="637"/>
      <c r="XQ115" s="637"/>
      <c r="XR115" s="637"/>
      <c r="XS115" s="637"/>
      <c r="XT115" s="637"/>
      <c r="XU115" s="637"/>
      <c r="XV115" s="637"/>
      <c r="XW115" s="637"/>
      <c r="XX115" s="637"/>
      <c r="XY115" s="637"/>
      <c r="XZ115" s="637"/>
      <c r="YA115" s="637"/>
      <c r="YB115" s="637"/>
      <c r="YC115" s="637"/>
      <c r="YD115" s="637"/>
      <c r="YE115" s="637"/>
      <c r="YF115" s="637"/>
      <c r="YG115" s="637"/>
      <c r="YH115" s="637"/>
      <c r="YI115" s="637"/>
      <c r="YJ115" s="637"/>
      <c r="YK115" s="637"/>
      <c r="YL115" s="637"/>
      <c r="YM115" s="637"/>
      <c r="YN115" s="637"/>
      <c r="YO115" s="637"/>
      <c r="YP115" s="637"/>
      <c r="YQ115" s="637"/>
      <c r="YR115" s="637"/>
      <c r="YS115" s="637"/>
      <c r="YT115" s="637"/>
      <c r="YU115" s="637"/>
      <c r="YV115" s="637"/>
      <c r="YW115" s="637"/>
      <c r="YX115" s="637"/>
      <c r="YY115" s="637"/>
      <c r="YZ115" s="637"/>
      <c r="ZA115" s="637"/>
      <c r="ZB115" s="637"/>
      <c r="ZC115" s="637"/>
      <c r="ZD115" s="637"/>
      <c r="ZE115" s="637"/>
      <c r="ZF115" s="637"/>
      <c r="ZG115" s="637"/>
      <c r="ZH115" s="637"/>
      <c r="ZI115" s="637"/>
      <c r="ZJ115" s="637"/>
      <c r="ZK115" s="637"/>
      <c r="ZL115" s="637"/>
      <c r="ZM115" s="637"/>
      <c r="ZN115" s="637"/>
      <c r="ZO115" s="637"/>
      <c r="ZP115" s="637"/>
      <c r="ZQ115" s="637"/>
      <c r="ZR115" s="637"/>
      <c r="ZS115" s="637"/>
      <c r="ZT115" s="637"/>
      <c r="ZU115" s="637"/>
      <c r="ZV115" s="637"/>
      <c r="ZW115" s="637"/>
      <c r="ZX115" s="637"/>
      <c r="ZY115" s="637"/>
      <c r="ZZ115" s="637"/>
      <c r="AAA115" s="637"/>
      <c r="AAB115" s="637"/>
      <c r="AAC115" s="637"/>
      <c r="AAD115" s="637"/>
      <c r="AAE115" s="637"/>
      <c r="AAF115" s="637"/>
      <c r="AAG115" s="637"/>
      <c r="AAH115" s="637"/>
      <c r="AAI115" s="637"/>
      <c r="AAJ115" s="637"/>
      <c r="AAK115" s="637"/>
      <c r="AAL115" s="637"/>
      <c r="AAM115" s="637"/>
      <c r="AAN115" s="637"/>
      <c r="AAO115" s="637"/>
      <c r="AAP115" s="637"/>
      <c r="AAQ115" s="637"/>
      <c r="AAR115" s="637"/>
      <c r="AAS115" s="637"/>
      <c r="AAT115" s="637"/>
      <c r="AAU115" s="637"/>
      <c r="AAV115" s="637"/>
      <c r="AAW115" s="637"/>
      <c r="AAX115" s="637"/>
      <c r="AAY115" s="637"/>
      <c r="AAZ115" s="637"/>
      <c r="ABA115" s="637"/>
      <c r="ABB115" s="637"/>
      <c r="ABC115" s="637"/>
      <c r="ABD115" s="637"/>
      <c r="ABE115" s="637"/>
      <c r="ABF115" s="637"/>
      <c r="ABG115" s="637"/>
      <c r="ABH115" s="637"/>
      <c r="ABI115" s="637"/>
      <c r="ABJ115" s="637"/>
      <c r="ABK115" s="637"/>
      <c r="ABL115" s="637"/>
      <c r="ABM115" s="637"/>
      <c r="ABN115" s="637"/>
      <c r="ABO115" s="637"/>
      <c r="ABP115" s="637"/>
      <c r="ABQ115" s="637"/>
      <c r="ABR115" s="637"/>
      <c r="ABS115" s="637"/>
      <c r="ABT115" s="637"/>
      <c r="ABU115" s="637"/>
      <c r="ABV115" s="637"/>
      <c r="ABW115" s="637"/>
      <c r="ABX115" s="637"/>
      <c r="ABY115" s="637"/>
      <c r="ABZ115" s="637"/>
      <c r="ACA115" s="637"/>
      <c r="ACB115" s="637"/>
      <c r="ACC115" s="637"/>
      <c r="ACD115" s="637"/>
      <c r="ACE115" s="637"/>
      <c r="ACF115" s="637"/>
      <c r="ACG115" s="637"/>
      <c r="ACH115" s="637"/>
      <c r="ACI115" s="637"/>
      <c r="ACJ115" s="637"/>
      <c r="ACK115" s="637"/>
      <c r="ACL115" s="637"/>
      <c r="ACM115" s="637"/>
      <c r="ACN115" s="637"/>
      <c r="ACO115" s="637"/>
      <c r="ACP115" s="637"/>
      <c r="ACQ115" s="637"/>
      <c r="ACR115" s="637"/>
      <c r="ACS115" s="637"/>
      <c r="ACT115" s="637"/>
      <c r="ACU115" s="637"/>
      <c r="ACV115" s="637"/>
      <c r="ACW115" s="637"/>
      <c r="ACX115" s="637"/>
      <c r="ACY115" s="637"/>
      <c r="ACZ115" s="637"/>
      <c r="ADA115" s="637"/>
      <c r="ADB115" s="637"/>
      <c r="ADC115" s="637"/>
      <c r="ADD115" s="637"/>
      <c r="ADE115" s="637"/>
      <c r="ADF115" s="637"/>
      <c r="ADG115" s="637"/>
      <c r="ADH115" s="637"/>
      <c r="ADI115" s="637"/>
      <c r="ADJ115" s="637"/>
      <c r="ADK115" s="637"/>
      <c r="ADL115" s="637"/>
      <c r="ADM115" s="637"/>
      <c r="ADN115" s="637"/>
      <c r="ADO115" s="637"/>
      <c r="ADP115" s="637"/>
      <c r="ADQ115" s="637"/>
      <c r="ADR115" s="637"/>
      <c r="ADS115" s="637"/>
      <c r="ADT115" s="637"/>
      <c r="ADU115" s="637"/>
      <c r="ADV115" s="637"/>
      <c r="ADW115" s="637"/>
      <c r="ADX115" s="637"/>
      <c r="ADY115" s="637"/>
      <c r="ADZ115" s="637"/>
      <c r="AEA115" s="637"/>
      <c r="AEB115" s="637"/>
      <c r="AEC115" s="637"/>
      <c r="AED115" s="637"/>
      <c r="AEE115" s="637"/>
      <c r="AEF115" s="637"/>
      <c r="AEG115" s="637"/>
      <c r="AEH115" s="637"/>
      <c r="AEI115" s="637"/>
      <c r="AEJ115" s="637"/>
      <c r="AEK115" s="637"/>
      <c r="AEL115" s="637"/>
      <c r="AEM115" s="637"/>
      <c r="AEN115" s="637"/>
      <c r="AEO115" s="637"/>
      <c r="AEP115" s="637"/>
      <c r="AEQ115" s="637"/>
      <c r="AER115" s="637"/>
      <c r="AES115" s="637"/>
      <c r="AET115" s="637"/>
      <c r="AEU115" s="637"/>
      <c r="AEV115" s="637"/>
      <c r="AEW115" s="637"/>
      <c r="AEX115" s="637"/>
      <c r="AEY115" s="637"/>
      <c r="AEZ115" s="637"/>
      <c r="AFA115" s="637"/>
      <c r="AFB115" s="637"/>
      <c r="AFC115" s="637"/>
      <c r="AFD115" s="637"/>
      <c r="AFE115" s="637"/>
      <c r="AFF115" s="637"/>
      <c r="AFG115" s="637"/>
      <c r="AFH115" s="637"/>
      <c r="AFI115" s="637"/>
      <c r="AFJ115" s="637"/>
      <c r="AFK115" s="637"/>
      <c r="AFL115" s="637"/>
      <c r="AFM115" s="637"/>
      <c r="AFN115" s="637"/>
      <c r="AFO115" s="637"/>
      <c r="AFP115" s="637"/>
      <c r="AFQ115" s="637"/>
      <c r="AFR115" s="637"/>
      <c r="AFS115" s="637"/>
      <c r="AFT115" s="637"/>
      <c r="AFU115" s="637"/>
      <c r="AFV115" s="637"/>
      <c r="AFW115" s="637"/>
      <c r="AFX115" s="637"/>
      <c r="AFY115" s="637"/>
      <c r="AFZ115" s="637"/>
      <c r="AGA115" s="637"/>
      <c r="AGB115" s="637"/>
      <c r="AGC115" s="637"/>
      <c r="AGD115" s="637"/>
      <c r="AGE115" s="637"/>
      <c r="AGF115" s="637"/>
      <c r="AGG115" s="637"/>
      <c r="AGH115" s="637"/>
      <c r="AGI115" s="637"/>
      <c r="AGJ115" s="637"/>
      <c r="AGK115" s="637"/>
      <c r="AGL115" s="637"/>
      <c r="AGM115" s="637"/>
      <c r="AGN115" s="637"/>
      <c r="AGO115" s="637"/>
      <c r="AGP115" s="637"/>
      <c r="AGQ115" s="637"/>
      <c r="AGR115" s="637"/>
      <c r="AGS115" s="637"/>
      <c r="AGT115" s="637"/>
      <c r="AGU115" s="637"/>
      <c r="AGV115" s="637"/>
      <c r="AGW115" s="637"/>
      <c r="AGX115" s="637"/>
      <c r="AGY115" s="637"/>
      <c r="AGZ115" s="637"/>
      <c r="AHA115" s="637"/>
      <c r="AHB115" s="637"/>
      <c r="AHC115" s="637"/>
      <c r="AHD115" s="637"/>
      <c r="AHE115" s="637"/>
      <c r="AHF115" s="637"/>
      <c r="AHG115" s="637"/>
      <c r="AHH115" s="637"/>
      <c r="AHI115" s="637"/>
      <c r="AHJ115" s="637"/>
      <c r="AHK115" s="637"/>
      <c r="AHL115" s="637"/>
      <c r="AHM115" s="637"/>
      <c r="AHN115" s="637"/>
      <c r="AHO115" s="637"/>
      <c r="AHP115" s="637"/>
      <c r="AHQ115" s="637"/>
      <c r="AHR115" s="637"/>
      <c r="AHS115" s="637"/>
      <c r="AHT115" s="637"/>
      <c r="AHU115" s="637"/>
      <c r="AHV115" s="637"/>
      <c r="AHW115" s="637"/>
      <c r="AHX115" s="637"/>
      <c r="AHY115" s="637"/>
      <c r="AHZ115" s="637"/>
      <c r="AIA115" s="637"/>
      <c r="AIB115" s="637"/>
      <c r="AIC115" s="637"/>
      <c r="AID115" s="637"/>
      <c r="AIE115" s="637"/>
      <c r="AIF115" s="637"/>
      <c r="AIG115" s="637"/>
      <c r="AIH115" s="637"/>
      <c r="AII115" s="637"/>
      <c r="AIJ115" s="637"/>
      <c r="AIK115" s="637"/>
      <c r="AIL115" s="637"/>
      <c r="AIM115" s="637"/>
      <c r="AIN115" s="637"/>
      <c r="AIO115" s="637"/>
      <c r="AIP115" s="637"/>
      <c r="AIQ115" s="637"/>
      <c r="AIR115" s="637"/>
      <c r="AIS115" s="637"/>
      <c r="AIT115" s="637"/>
      <c r="AIU115" s="637"/>
      <c r="AIV115" s="637"/>
      <c r="AIW115" s="637"/>
      <c r="AIX115" s="637"/>
      <c r="AIY115" s="637"/>
      <c r="AIZ115" s="637"/>
      <c r="AJA115" s="637"/>
      <c r="AJB115" s="637"/>
      <c r="AJC115" s="637"/>
      <c r="AJD115" s="637"/>
      <c r="AJE115" s="637"/>
      <c r="AJF115" s="637"/>
      <c r="AJG115" s="637"/>
      <c r="AJH115" s="637"/>
      <c r="AJI115" s="637"/>
      <c r="AJJ115" s="637"/>
      <c r="AJK115" s="637"/>
      <c r="AJL115" s="637"/>
      <c r="AJM115" s="637"/>
      <c r="AJN115" s="637"/>
      <c r="AJO115" s="637"/>
      <c r="AJP115" s="637"/>
      <c r="AJQ115" s="637"/>
      <c r="AJR115" s="637"/>
      <c r="AJS115" s="637"/>
      <c r="AJT115" s="637"/>
      <c r="AJU115" s="637"/>
      <c r="AJV115" s="637"/>
      <c r="AJW115" s="637"/>
      <c r="AJX115" s="637"/>
      <c r="AJY115" s="637"/>
      <c r="AJZ115" s="637"/>
      <c r="AKA115" s="637"/>
      <c r="AKB115" s="637"/>
      <c r="AKC115" s="637"/>
      <c r="AKD115" s="637"/>
      <c r="AKE115" s="637"/>
      <c r="AKF115" s="637"/>
      <c r="AKG115" s="637"/>
      <c r="AKH115" s="637"/>
      <c r="AKI115" s="637"/>
      <c r="AKJ115" s="637"/>
      <c r="AKK115" s="637"/>
      <c r="AKL115" s="637"/>
      <c r="AKM115" s="637"/>
      <c r="AKN115" s="637"/>
      <c r="AKO115" s="637"/>
      <c r="AKP115" s="637"/>
      <c r="AKQ115" s="637"/>
      <c r="AKR115" s="637"/>
      <c r="AKS115" s="637"/>
      <c r="AKT115" s="637"/>
      <c r="AKU115" s="637"/>
      <c r="AKV115" s="637"/>
      <c r="AKW115" s="637"/>
      <c r="AKX115" s="637"/>
      <c r="AKY115" s="637"/>
      <c r="AKZ115" s="637"/>
      <c r="ALA115" s="637"/>
      <c r="ALB115" s="637"/>
      <c r="ALC115" s="637"/>
      <c r="ALD115" s="637"/>
      <c r="ALE115" s="637"/>
      <c r="ALF115" s="637"/>
      <c r="ALG115" s="637"/>
      <c r="ALH115" s="637"/>
      <c r="ALI115" s="637"/>
      <c r="ALJ115" s="637"/>
      <c r="ALK115" s="637"/>
      <c r="ALL115" s="637"/>
      <c r="ALM115" s="637"/>
      <c r="ALN115" s="637"/>
      <c r="ALO115" s="637"/>
      <c r="ALP115" s="637"/>
      <c r="ALQ115" s="637"/>
      <c r="ALR115" s="637"/>
      <c r="ALS115" s="637"/>
      <c r="ALT115" s="637"/>
      <c r="ALU115" s="637"/>
      <c r="ALV115" s="637"/>
      <c r="ALW115" s="637"/>
      <c r="ALX115" s="637"/>
      <c r="ALY115" s="637"/>
      <c r="ALZ115" s="637"/>
      <c r="AMA115" s="637"/>
      <c r="AMB115" s="637"/>
      <c r="AMC115" s="637"/>
      <c r="AMD115" s="637"/>
      <c r="AME115" s="637"/>
      <c r="AMF115" s="637"/>
      <c r="AMG115" s="637"/>
      <c r="AMH115" s="637"/>
      <c r="AMI115" s="637"/>
      <c r="AMJ115" s="637"/>
    </row>
    <row r="116" spans="1:1024" s="638" customFormat="1" ht="12.75">
      <c r="A116" s="984"/>
      <c r="B116" s="985"/>
      <c r="C116" s="986"/>
      <c r="D116" s="981" t="s">
        <v>861</v>
      </c>
      <c r="E116" s="982">
        <f>7484+74</f>
        <v>7558</v>
      </c>
      <c r="F116" s="982">
        <f t="shared" si="13"/>
        <v>0</v>
      </c>
      <c r="G116" s="987"/>
      <c r="H116" s="987"/>
      <c r="I116" s="987"/>
      <c r="J116" s="987"/>
      <c r="K116" s="987"/>
      <c r="L116" s="987"/>
      <c r="M116" s="987"/>
      <c r="N116" s="987"/>
      <c r="O116" s="987"/>
      <c r="P116" s="987"/>
      <c r="Q116" s="987"/>
      <c r="R116" s="984"/>
      <c r="S116" s="637"/>
      <c r="T116" s="637"/>
      <c r="U116" s="637"/>
      <c r="V116" s="637"/>
      <c r="W116" s="637"/>
      <c r="X116" s="637"/>
      <c r="Y116" s="637"/>
      <c r="Z116" s="637"/>
      <c r="AA116" s="637"/>
      <c r="AB116" s="637"/>
      <c r="AC116" s="637"/>
      <c r="AD116" s="637"/>
      <c r="AE116" s="637"/>
      <c r="AF116" s="637"/>
      <c r="AG116" s="637"/>
      <c r="AH116" s="637"/>
      <c r="AI116" s="637"/>
      <c r="AJ116" s="637"/>
      <c r="AK116" s="637"/>
      <c r="AL116" s="637"/>
      <c r="AM116" s="637"/>
      <c r="AN116" s="637"/>
      <c r="AO116" s="637"/>
      <c r="AP116" s="637"/>
      <c r="AQ116" s="637"/>
      <c r="AR116" s="637"/>
      <c r="AS116" s="637"/>
      <c r="AT116" s="637"/>
      <c r="AU116" s="637"/>
      <c r="AV116" s="637"/>
      <c r="AW116" s="637"/>
      <c r="AX116" s="637"/>
      <c r="AY116" s="637"/>
      <c r="AZ116" s="637"/>
      <c r="BA116" s="637"/>
      <c r="BB116" s="637"/>
      <c r="BC116" s="637"/>
      <c r="BD116" s="637"/>
      <c r="BE116" s="637"/>
      <c r="BF116" s="637"/>
      <c r="BG116" s="637"/>
      <c r="BH116" s="637"/>
      <c r="BI116" s="637"/>
      <c r="BJ116" s="637"/>
      <c r="BK116" s="637"/>
      <c r="BL116" s="637"/>
      <c r="BM116" s="637"/>
      <c r="BN116" s="637"/>
      <c r="BO116" s="637"/>
      <c r="BP116" s="637"/>
      <c r="BQ116" s="637"/>
      <c r="BR116" s="637"/>
      <c r="BS116" s="637"/>
      <c r="BT116" s="637"/>
      <c r="BU116" s="637"/>
      <c r="BV116" s="637"/>
      <c r="BW116" s="637"/>
      <c r="BX116" s="637"/>
      <c r="BY116" s="637"/>
      <c r="BZ116" s="637"/>
      <c r="CA116" s="637"/>
      <c r="CB116" s="637"/>
      <c r="CC116" s="637"/>
      <c r="CD116" s="637"/>
      <c r="CE116" s="637"/>
      <c r="CF116" s="637"/>
      <c r="CG116" s="637"/>
      <c r="CH116" s="637"/>
      <c r="CI116" s="637"/>
      <c r="CJ116" s="637"/>
      <c r="CK116" s="637"/>
      <c r="CL116" s="637"/>
      <c r="CM116" s="637"/>
      <c r="CN116" s="637"/>
      <c r="CO116" s="637"/>
      <c r="CP116" s="637"/>
      <c r="CQ116" s="637"/>
      <c r="CR116" s="637"/>
      <c r="CS116" s="637"/>
      <c r="CT116" s="637"/>
      <c r="CU116" s="637"/>
      <c r="CV116" s="637"/>
      <c r="CW116" s="637"/>
      <c r="CX116" s="637"/>
      <c r="CY116" s="637"/>
      <c r="CZ116" s="637"/>
      <c r="DA116" s="637"/>
      <c r="DB116" s="637"/>
      <c r="DC116" s="637"/>
      <c r="DD116" s="637"/>
      <c r="DE116" s="637"/>
      <c r="DF116" s="637"/>
      <c r="DG116" s="637"/>
      <c r="DH116" s="637"/>
      <c r="DI116" s="637"/>
      <c r="DJ116" s="637"/>
      <c r="DK116" s="637"/>
      <c r="DL116" s="637"/>
      <c r="DM116" s="637"/>
      <c r="DN116" s="637"/>
      <c r="DO116" s="637"/>
      <c r="DP116" s="637"/>
      <c r="DQ116" s="637"/>
      <c r="DR116" s="637"/>
      <c r="DS116" s="637"/>
      <c r="DT116" s="637"/>
      <c r="DU116" s="637"/>
      <c r="DV116" s="637"/>
      <c r="DW116" s="637"/>
      <c r="DX116" s="637"/>
      <c r="DY116" s="637"/>
      <c r="DZ116" s="637"/>
      <c r="EA116" s="637"/>
      <c r="EB116" s="637"/>
      <c r="EC116" s="637"/>
      <c r="ED116" s="637"/>
      <c r="EE116" s="637"/>
      <c r="EF116" s="637"/>
      <c r="EG116" s="637"/>
      <c r="EH116" s="637"/>
      <c r="EI116" s="637"/>
      <c r="EJ116" s="637"/>
      <c r="EK116" s="637"/>
      <c r="EL116" s="637"/>
      <c r="EM116" s="637"/>
      <c r="EN116" s="637"/>
      <c r="EO116" s="637"/>
      <c r="EP116" s="637"/>
      <c r="EQ116" s="637"/>
      <c r="ER116" s="637"/>
      <c r="ES116" s="637"/>
      <c r="ET116" s="637"/>
      <c r="EU116" s="637"/>
      <c r="EV116" s="637"/>
      <c r="EW116" s="637"/>
      <c r="EX116" s="637"/>
      <c r="EY116" s="637"/>
      <c r="EZ116" s="637"/>
      <c r="FA116" s="637"/>
      <c r="FB116" s="637"/>
      <c r="FC116" s="637"/>
      <c r="FD116" s="637"/>
      <c r="FE116" s="637"/>
      <c r="FF116" s="637"/>
      <c r="FG116" s="637"/>
      <c r="FH116" s="637"/>
      <c r="FI116" s="637"/>
      <c r="FJ116" s="637"/>
      <c r="FK116" s="637"/>
      <c r="FL116" s="637"/>
      <c r="FM116" s="637"/>
      <c r="FN116" s="637"/>
      <c r="FO116" s="637"/>
      <c r="FP116" s="637"/>
      <c r="FQ116" s="637"/>
      <c r="FR116" s="637"/>
      <c r="FS116" s="637"/>
      <c r="FT116" s="637"/>
      <c r="FU116" s="637"/>
      <c r="FV116" s="637"/>
      <c r="FW116" s="637"/>
      <c r="FX116" s="637"/>
      <c r="FY116" s="637"/>
      <c r="FZ116" s="637"/>
      <c r="GA116" s="637"/>
      <c r="GB116" s="637"/>
      <c r="GC116" s="637"/>
      <c r="GD116" s="637"/>
      <c r="GE116" s="637"/>
      <c r="GF116" s="637"/>
      <c r="GG116" s="637"/>
      <c r="GH116" s="637"/>
      <c r="GI116" s="637"/>
      <c r="GJ116" s="637"/>
      <c r="GK116" s="637"/>
      <c r="GL116" s="637"/>
      <c r="GM116" s="637"/>
      <c r="GN116" s="637"/>
      <c r="GO116" s="637"/>
      <c r="GP116" s="637"/>
      <c r="GQ116" s="637"/>
      <c r="GR116" s="637"/>
      <c r="GS116" s="637"/>
      <c r="GT116" s="637"/>
      <c r="GU116" s="637"/>
      <c r="GV116" s="637"/>
      <c r="GW116" s="637"/>
      <c r="GX116" s="637"/>
      <c r="GY116" s="637"/>
      <c r="GZ116" s="637"/>
      <c r="HA116" s="637"/>
      <c r="HB116" s="637"/>
      <c r="HC116" s="637"/>
      <c r="HD116" s="637"/>
      <c r="HE116" s="637"/>
      <c r="HF116" s="637"/>
      <c r="HG116" s="637"/>
      <c r="HH116" s="637"/>
      <c r="HI116" s="637"/>
      <c r="HJ116" s="637"/>
      <c r="HK116" s="637"/>
      <c r="HL116" s="637"/>
      <c r="HM116" s="637"/>
      <c r="HN116" s="637"/>
      <c r="HO116" s="637"/>
      <c r="HP116" s="637"/>
      <c r="HQ116" s="637"/>
      <c r="HR116" s="637"/>
      <c r="HS116" s="637"/>
      <c r="HT116" s="637"/>
      <c r="HU116" s="637"/>
      <c r="HV116" s="637"/>
      <c r="HW116" s="637"/>
      <c r="HX116" s="637"/>
      <c r="HY116" s="637"/>
      <c r="HZ116" s="637"/>
      <c r="IA116" s="637"/>
      <c r="IB116" s="637"/>
      <c r="IC116" s="637"/>
      <c r="ID116" s="637"/>
      <c r="IE116" s="637"/>
      <c r="IF116" s="637"/>
      <c r="IG116" s="637"/>
      <c r="IH116" s="637"/>
      <c r="II116" s="637"/>
      <c r="IJ116" s="637"/>
      <c r="IK116" s="637"/>
      <c r="IL116" s="637"/>
      <c r="IM116" s="637"/>
      <c r="IN116" s="637"/>
      <c r="IO116" s="637"/>
      <c r="IP116" s="637"/>
      <c r="IQ116" s="637"/>
      <c r="IR116" s="637"/>
      <c r="IS116" s="637"/>
      <c r="IT116" s="637"/>
      <c r="IU116" s="637"/>
      <c r="IV116" s="637"/>
      <c r="IW116" s="637"/>
      <c r="IX116" s="637"/>
      <c r="IY116" s="637"/>
      <c r="IZ116" s="637"/>
      <c r="JA116" s="637"/>
      <c r="JB116" s="637"/>
      <c r="JC116" s="637"/>
      <c r="JD116" s="637"/>
      <c r="JE116" s="637"/>
      <c r="JF116" s="637"/>
      <c r="JG116" s="637"/>
      <c r="JH116" s="637"/>
      <c r="JI116" s="637"/>
      <c r="JJ116" s="637"/>
      <c r="JK116" s="637"/>
      <c r="JL116" s="637"/>
      <c r="JM116" s="637"/>
      <c r="JN116" s="637"/>
      <c r="JO116" s="637"/>
      <c r="JP116" s="637"/>
      <c r="JQ116" s="637"/>
      <c r="JR116" s="637"/>
      <c r="JS116" s="637"/>
      <c r="JT116" s="637"/>
      <c r="JU116" s="637"/>
      <c r="JV116" s="637"/>
      <c r="JW116" s="637"/>
      <c r="JX116" s="637"/>
      <c r="JY116" s="637"/>
      <c r="JZ116" s="637"/>
      <c r="KA116" s="637"/>
      <c r="KB116" s="637"/>
      <c r="KC116" s="637"/>
      <c r="KD116" s="637"/>
      <c r="KE116" s="637"/>
      <c r="KF116" s="637"/>
      <c r="KG116" s="637"/>
      <c r="KH116" s="637"/>
      <c r="KI116" s="637"/>
      <c r="KJ116" s="637"/>
      <c r="KK116" s="637"/>
      <c r="KL116" s="637"/>
      <c r="KM116" s="637"/>
      <c r="KN116" s="637"/>
      <c r="KO116" s="637"/>
      <c r="KP116" s="637"/>
      <c r="KQ116" s="637"/>
      <c r="KR116" s="637"/>
      <c r="KS116" s="637"/>
      <c r="KT116" s="637"/>
      <c r="KU116" s="637"/>
      <c r="KV116" s="637"/>
      <c r="KW116" s="637"/>
      <c r="KX116" s="637"/>
      <c r="KY116" s="637"/>
      <c r="KZ116" s="637"/>
      <c r="LA116" s="637"/>
      <c r="LB116" s="637"/>
      <c r="LC116" s="637"/>
      <c r="LD116" s="637"/>
      <c r="LE116" s="637"/>
      <c r="LF116" s="637"/>
      <c r="LG116" s="637"/>
      <c r="LH116" s="637"/>
      <c r="LI116" s="637"/>
      <c r="LJ116" s="637"/>
      <c r="LK116" s="637"/>
      <c r="LL116" s="637"/>
      <c r="LM116" s="637"/>
      <c r="LN116" s="637"/>
      <c r="LO116" s="637"/>
      <c r="LP116" s="637"/>
      <c r="LQ116" s="637"/>
      <c r="LR116" s="637"/>
      <c r="LS116" s="637"/>
      <c r="LT116" s="637"/>
      <c r="LU116" s="637"/>
      <c r="LV116" s="637"/>
      <c r="LW116" s="637"/>
      <c r="LX116" s="637"/>
      <c r="LY116" s="637"/>
      <c r="LZ116" s="637"/>
      <c r="MA116" s="637"/>
      <c r="MB116" s="637"/>
      <c r="MC116" s="637"/>
      <c r="MD116" s="637"/>
      <c r="ME116" s="637"/>
      <c r="MF116" s="637"/>
      <c r="MG116" s="637"/>
      <c r="MH116" s="637"/>
      <c r="MI116" s="637"/>
      <c r="MJ116" s="637"/>
      <c r="MK116" s="637"/>
      <c r="ML116" s="637"/>
      <c r="MM116" s="637"/>
      <c r="MN116" s="637"/>
      <c r="MO116" s="637"/>
      <c r="MP116" s="637"/>
      <c r="MQ116" s="637"/>
      <c r="MR116" s="637"/>
      <c r="MS116" s="637"/>
      <c r="MT116" s="637"/>
      <c r="MU116" s="637"/>
      <c r="MV116" s="637"/>
      <c r="MW116" s="637"/>
      <c r="MX116" s="637"/>
      <c r="MY116" s="637"/>
      <c r="MZ116" s="637"/>
      <c r="NA116" s="637"/>
      <c r="NB116" s="637"/>
      <c r="NC116" s="637"/>
      <c r="ND116" s="637"/>
      <c r="NE116" s="637"/>
      <c r="NF116" s="637"/>
      <c r="NG116" s="637"/>
      <c r="NH116" s="637"/>
      <c r="NI116" s="637"/>
      <c r="NJ116" s="637"/>
      <c r="NK116" s="637"/>
      <c r="NL116" s="637"/>
      <c r="NM116" s="637"/>
      <c r="NN116" s="637"/>
      <c r="NO116" s="637"/>
      <c r="NP116" s="637"/>
      <c r="NQ116" s="637"/>
      <c r="NR116" s="637"/>
      <c r="NS116" s="637"/>
      <c r="NT116" s="637"/>
      <c r="NU116" s="637"/>
      <c r="NV116" s="637"/>
      <c r="NW116" s="637"/>
      <c r="NX116" s="637"/>
      <c r="NY116" s="637"/>
      <c r="NZ116" s="637"/>
      <c r="OA116" s="637"/>
      <c r="OB116" s="637"/>
      <c r="OC116" s="637"/>
      <c r="OD116" s="637"/>
      <c r="OE116" s="637"/>
      <c r="OF116" s="637"/>
      <c r="OG116" s="637"/>
      <c r="OH116" s="637"/>
      <c r="OI116" s="637"/>
      <c r="OJ116" s="637"/>
      <c r="OK116" s="637"/>
      <c r="OL116" s="637"/>
      <c r="OM116" s="637"/>
      <c r="ON116" s="637"/>
      <c r="OO116" s="637"/>
      <c r="OP116" s="637"/>
      <c r="OQ116" s="637"/>
      <c r="OR116" s="637"/>
      <c r="OS116" s="637"/>
      <c r="OT116" s="637"/>
      <c r="OU116" s="637"/>
      <c r="OV116" s="637"/>
      <c r="OW116" s="637"/>
      <c r="OX116" s="637"/>
      <c r="OY116" s="637"/>
      <c r="OZ116" s="637"/>
      <c r="PA116" s="637"/>
      <c r="PB116" s="637"/>
      <c r="PC116" s="637"/>
      <c r="PD116" s="637"/>
      <c r="PE116" s="637"/>
      <c r="PF116" s="637"/>
      <c r="PG116" s="637"/>
      <c r="PH116" s="637"/>
      <c r="PI116" s="637"/>
      <c r="PJ116" s="637"/>
      <c r="PK116" s="637"/>
      <c r="PL116" s="637"/>
      <c r="PM116" s="637"/>
      <c r="PN116" s="637"/>
      <c r="PO116" s="637"/>
      <c r="PP116" s="637"/>
      <c r="PQ116" s="637"/>
      <c r="PR116" s="637"/>
      <c r="PS116" s="637"/>
      <c r="PT116" s="637"/>
      <c r="PU116" s="637"/>
      <c r="PV116" s="637"/>
      <c r="PW116" s="637"/>
      <c r="PX116" s="637"/>
      <c r="PY116" s="637"/>
      <c r="PZ116" s="637"/>
      <c r="QA116" s="637"/>
      <c r="QB116" s="637"/>
      <c r="QC116" s="637"/>
      <c r="QD116" s="637"/>
      <c r="QE116" s="637"/>
      <c r="QF116" s="637"/>
      <c r="QG116" s="637"/>
      <c r="QH116" s="637"/>
      <c r="QI116" s="637"/>
      <c r="QJ116" s="637"/>
      <c r="QK116" s="637"/>
      <c r="QL116" s="637"/>
      <c r="QM116" s="637"/>
      <c r="QN116" s="637"/>
      <c r="QO116" s="637"/>
      <c r="QP116" s="637"/>
      <c r="QQ116" s="637"/>
      <c r="QR116" s="637"/>
      <c r="QS116" s="637"/>
      <c r="QT116" s="637"/>
      <c r="QU116" s="637"/>
      <c r="QV116" s="637"/>
      <c r="QW116" s="637"/>
      <c r="QX116" s="637"/>
      <c r="QY116" s="637"/>
      <c r="QZ116" s="637"/>
      <c r="RA116" s="637"/>
      <c r="RB116" s="637"/>
      <c r="RC116" s="637"/>
      <c r="RD116" s="637"/>
      <c r="RE116" s="637"/>
      <c r="RF116" s="637"/>
      <c r="RG116" s="637"/>
      <c r="RH116" s="637"/>
      <c r="RI116" s="637"/>
      <c r="RJ116" s="637"/>
      <c r="RK116" s="637"/>
      <c r="RL116" s="637"/>
      <c r="RM116" s="637"/>
      <c r="RN116" s="637"/>
      <c r="RO116" s="637"/>
      <c r="RP116" s="637"/>
      <c r="RQ116" s="637"/>
      <c r="RR116" s="637"/>
      <c r="RS116" s="637"/>
      <c r="RT116" s="637"/>
      <c r="RU116" s="637"/>
      <c r="RV116" s="637"/>
      <c r="RW116" s="637"/>
      <c r="RX116" s="637"/>
      <c r="RY116" s="637"/>
      <c r="RZ116" s="637"/>
      <c r="SA116" s="637"/>
      <c r="SB116" s="637"/>
      <c r="SC116" s="637"/>
      <c r="SD116" s="637"/>
      <c r="SE116" s="637"/>
      <c r="SF116" s="637"/>
      <c r="SG116" s="637"/>
      <c r="SH116" s="637"/>
      <c r="SI116" s="637"/>
      <c r="SJ116" s="637"/>
      <c r="SK116" s="637"/>
      <c r="SL116" s="637"/>
      <c r="SM116" s="637"/>
      <c r="SN116" s="637"/>
      <c r="SO116" s="637"/>
      <c r="SP116" s="637"/>
      <c r="SQ116" s="637"/>
      <c r="SR116" s="637"/>
      <c r="SS116" s="637"/>
      <c r="ST116" s="637"/>
      <c r="SU116" s="637"/>
      <c r="SV116" s="637"/>
      <c r="SW116" s="637"/>
      <c r="SX116" s="637"/>
      <c r="SY116" s="637"/>
      <c r="SZ116" s="637"/>
      <c r="TA116" s="637"/>
      <c r="TB116" s="637"/>
      <c r="TC116" s="637"/>
      <c r="TD116" s="637"/>
      <c r="TE116" s="637"/>
      <c r="TF116" s="637"/>
      <c r="TG116" s="637"/>
      <c r="TH116" s="637"/>
      <c r="TI116" s="637"/>
      <c r="TJ116" s="637"/>
      <c r="TK116" s="637"/>
      <c r="TL116" s="637"/>
      <c r="TM116" s="637"/>
      <c r="TN116" s="637"/>
      <c r="TO116" s="637"/>
      <c r="TP116" s="637"/>
      <c r="TQ116" s="637"/>
      <c r="TR116" s="637"/>
      <c r="TS116" s="637"/>
      <c r="TT116" s="637"/>
      <c r="TU116" s="637"/>
      <c r="TV116" s="637"/>
      <c r="TW116" s="637"/>
      <c r="TX116" s="637"/>
      <c r="TY116" s="637"/>
      <c r="TZ116" s="637"/>
      <c r="UA116" s="637"/>
      <c r="UB116" s="637"/>
      <c r="UC116" s="637"/>
      <c r="UD116" s="637"/>
      <c r="UE116" s="637"/>
      <c r="UF116" s="637"/>
      <c r="UG116" s="637"/>
      <c r="UH116" s="637"/>
      <c r="UI116" s="637"/>
      <c r="UJ116" s="637"/>
      <c r="UK116" s="637"/>
      <c r="UL116" s="637"/>
      <c r="UM116" s="637"/>
      <c r="UN116" s="637"/>
      <c r="UO116" s="637"/>
      <c r="UP116" s="637"/>
      <c r="UQ116" s="637"/>
      <c r="UR116" s="637"/>
      <c r="US116" s="637"/>
      <c r="UT116" s="637"/>
      <c r="UU116" s="637"/>
      <c r="UV116" s="637"/>
      <c r="UW116" s="637"/>
      <c r="UX116" s="637"/>
      <c r="UY116" s="637"/>
      <c r="UZ116" s="637"/>
      <c r="VA116" s="637"/>
      <c r="VB116" s="637"/>
      <c r="VC116" s="637"/>
      <c r="VD116" s="637"/>
      <c r="VE116" s="637"/>
      <c r="VF116" s="637"/>
      <c r="VG116" s="637"/>
      <c r="VH116" s="637"/>
      <c r="VI116" s="637"/>
      <c r="VJ116" s="637"/>
      <c r="VK116" s="637"/>
      <c r="VL116" s="637"/>
      <c r="VM116" s="637"/>
      <c r="VN116" s="637"/>
      <c r="VO116" s="637"/>
      <c r="VP116" s="637"/>
      <c r="VQ116" s="637"/>
      <c r="VR116" s="637"/>
      <c r="VS116" s="637"/>
      <c r="VT116" s="637"/>
      <c r="VU116" s="637"/>
      <c r="VV116" s="637"/>
      <c r="VW116" s="637"/>
      <c r="VX116" s="637"/>
      <c r="VY116" s="637"/>
      <c r="VZ116" s="637"/>
      <c r="WA116" s="637"/>
      <c r="WB116" s="637"/>
      <c r="WC116" s="637"/>
      <c r="WD116" s="637"/>
      <c r="WE116" s="637"/>
      <c r="WF116" s="637"/>
      <c r="WG116" s="637"/>
      <c r="WH116" s="637"/>
      <c r="WI116" s="637"/>
      <c r="WJ116" s="637"/>
      <c r="WK116" s="637"/>
      <c r="WL116" s="637"/>
      <c r="WM116" s="637"/>
      <c r="WN116" s="637"/>
      <c r="WO116" s="637"/>
      <c r="WP116" s="637"/>
      <c r="WQ116" s="637"/>
      <c r="WR116" s="637"/>
      <c r="WS116" s="637"/>
      <c r="WT116" s="637"/>
      <c r="WU116" s="637"/>
      <c r="WV116" s="637"/>
      <c r="WW116" s="637"/>
      <c r="WX116" s="637"/>
      <c r="WY116" s="637"/>
      <c r="WZ116" s="637"/>
      <c r="XA116" s="637"/>
      <c r="XB116" s="637"/>
      <c r="XC116" s="637"/>
      <c r="XD116" s="637"/>
      <c r="XE116" s="637"/>
      <c r="XF116" s="637"/>
      <c r="XG116" s="637"/>
      <c r="XH116" s="637"/>
      <c r="XI116" s="637"/>
      <c r="XJ116" s="637"/>
      <c r="XK116" s="637"/>
      <c r="XL116" s="637"/>
      <c r="XM116" s="637"/>
      <c r="XN116" s="637"/>
      <c r="XO116" s="637"/>
      <c r="XP116" s="637"/>
      <c r="XQ116" s="637"/>
      <c r="XR116" s="637"/>
      <c r="XS116" s="637"/>
      <c r="XT116" s="637"/>
      <c r="XU116" s="637"/>
      <c r="XV116" s="637"/>
      <c r="XW116" s="637"/>
      <c r="XX116" s="637"/>
      <c r="XY116" s="637"/>
      <c r="XZ116" s="637"/>
      <c r="YA116" s="637"/>
      <c r="YB116" s="637"/>
      <c r="YC116" s="637"/>
      <c r="YD116" s="637"/>
      <c r="YE116" s="637"/>
      <c r="YF116" s="637"/>
      <c r="YG116" s="637"/>
      <c r="YH116" s="637"/>
      <c r="YI116" s="637"/>
      <c r="YJ116" s="637"/>
      <c r="YK116" s="637"/>
      <c r="YL116" s="637"/>
      <c r="YM116" s="637"/>
      <c r="YN116" s="637"/>
      <c r="YO116" s="637"/>
      <c r="YP116" s="637"/>
      <c r="YQ116" s="637"/>
      <c r="YR116" s="637"/>
      <c r="YS116" s="637"/>
      <c r="YT116" s="637"/>
      <c r="YU116" s="637"/>
      <c r="YV116" s="637"/>
      <c r="YW116" s="637"/>
      <c r="YX116" s="637"/>
      <c r="YY116" s="637"/>
      <c r="YZ116" s="637"/>
      <c r="ZA116" s="637"/>
      <c r="ZB116" s="637"/>
      <c r="ZC116" s="637"/>
      <c r="ZD116" s="637"/>
      <c r="ZE116" s="637"/>
      <c r="ZF116" s="637"/>
      <c r="ZG116" s="637"/>
      <c r="ZH116" s="637"/>
      <c r="ZI116" s="637"/>
      <c r="ZJ116" s="637"/>
      <c r="ZK116" s="637"/>
      <c r="ZL116" s="637"/>
      <c r="ZM116" s="637"/>
      <c r="ZN116" s="637"/>
      <c r="ZO116" s="637"/>
      <c r="ZP116" s="637"/>
      <c r="ZQ116" s="637"/>
      <c r="ZR116" s="637"/>
      <c r="ZS116" s="637"/>
      <c r="ZT116" s="637"/>
      <c r="ZU116" s="637"/>
      <c r="ZV116" s="637"/>
      <c r="ZW116" s="637"/>
      <c r="ZX116" s="637"/>
      <c r="ZY116" s="637"/>
      <c r="ZZ116" s="637"/>
      <c r="AAA116" s="637"/>
      <c r="AAB116" s="637"/>
      <c r="AAC116" s="637"/>
      <c r="AAD116" s="637"/>
      <c r="AAE116" s="637"/>
      <c r="AAF116" s="637"/>
      <c r="AAG116" s="637"/>
      <c r="AAH116" s="637"/>
      <c r="AAI116" s="637"/>
      <c r="AAJ116" s="637"/>
      <c r="AAK116" s="637"/>
      <c r="AAL116" s="637"/>
      <c r="AAM116" s="637"/>
      <c r="AAN116" s="637"/>
      <c r="AAO116" s="637"/>
      <c r="AAP116" s="637"/>
      <c r="AAQ116" s="637"/>
      <c r="AAR116" s="637"/>
      <c r="AAS116" s="637"/>
      <c r="AAT116" s="637"/>
      <c r="AAU116" s="637"/>
      <c r="AAV116" s="637"/>
      <c r="AAW116" s="637"/>
      <c r="AAX116" s="637"/>
      <c r="AAY116" s="637"/>
      <c r="AAZ116" s="637"/>
      <c r="ABA116" s="637"/>
      <c r="ABB116" s="637"/>
      <c r="ABC116" s="637"/>
      <c r="ABD116" s="637"/>
      <c r="ABE116" s="637"/>
      <c r="ABF116" s="637"/>
      <c r="ABG116" s="637"/>
      <c r="ABH116" s="637"/>
      <c r="ABI116" s="637"/>
      <c r="ABJ116" s="637"/>
      <c r="ABK116" s="637"/>
      <c r="ABL116" s="637"/>
      <c r="ABM116" s="637"/>
      <c r="ABN116" s="637"/>
      <c r="ABO116" s="637"/>
      <c r="ABP116" s="637"/>
      <c r="ABQ116" s="637"/>
      <c r="ABR116" s="637"/>
      <c r="ABS116" s="637"/>
      <c r="ABT116" s="637"/>
      <c r="ABU116" s="637"/>
      <c r="ABV116" s="637"/>
      <c r="ABW116" s="637"/>
      <c r="ABX116" s="637"/>
      <c r="ABY116" s="637"/>
      <c r="ABZ116" s="637"/>
      <c r="ACA116" s="637"/>
      <c r="ACB116" s="637"/>
      <c r="ACC116" s="637"/>
      <c r="ACD116" s="637"/>
      <c r="ACE116" s="637"/>
      <c r="ACF116" s="637"/>
      <c r="ACG116" s="637"/>
      <c r="ACH116" s="637"/>
      <c r="ACI116" s="637"/>
      <c r="ACJ116" s="637"/>
      <c r="ACK116" s="637"/>
      <c r="ACL116" s="637"/>
      <c r="ACM116" s="637"/>
      <c r="ACN116" s="637"/>
      <c r="ACO116" s="637"/>
      <c r="ACP116" s="637"/>
      <c r="ACQ116" s="637"/>
      <c r="ACR116" s="637"/>
      <c r="ACS116" s="637"/>
      <c r="ACT116" s="637"/>
      <c r="ACU116" s="637"/>
      <c r="ACV116" s="637"/>
      <c r="ACW116" s="637"/>
      <c r="ACX116" s="637"/>
      <c r="ACY116" s="637"/>
      <c r="ACZ116" s="637"/>
      <c r="ADA116" s="637"/>
      <c r="ADB116" s="637"/>
      <c r="ADC116" s="637"/>
      <c r="ADD116" s="637"/>
      <c r="ADE116" s="637"/>
      <c r="ADF116" s="637"/>
      <c r="ADG116" s="637"/>
      <c r="ADH116" s="637"/>
      <c r="ADI116" s="637"/>
      <c r="ADJ116" s="637"/>
      <c r="ADK116" s="637"/>
      <c r="ADL116" s="637"/>
      <c r="ADM116" s="637"/>
      <c r="ADN116" s="637"/>
      <c r="ADO116" s="637"/>
      <c r="ADP116" s="637"/>
      <c r="ADQ116" s="637"/>
      <c r="ADR116" s="637"/>
      <c r="ADS116" s="637"/>
      <c r="ADT116" s="637"/>
      <c r="ADU116" s="637"/>
      <c r="ADV116" s="637"/>
      <c r="ADW116" s="637"/>
      <c r="ADX116" s="637"/>
      <c r="ADY116" s="637"/>
      <c r="ADZ116" s="637"/>
      <c r="AEA116" s="637"/>
      <c r="AEB116" s="637"/>
      <c r="AEC116" s="637"/>
      <c r="AED116" s="637"/>
      <c r="AEE116" s="637"/>
      <c r="AEF116" s="637"/>
      <c r="AEG116" s="637"/>
      <c r="AEH116" s="637"/>
      <c r="AEI116" s="637"/>
      <c r="AEJ116" s="637"/>
      <c r="AEK116" s="637"/>
      <c r="AEL116" s="637"/>
      <c r="AEM116" s="637"/>
      <c r="AEN116" s="637"/>
      <c r="AEO116" s="637"/>
      <c r="AEP116" s="637"/>
      <c r="AEQ116" s="637"/>
      <c r="AER116" s="637"/>
      <c r="AES116" s="637"/>
      <c r="AET116" s="637"/>
      <c r="AEU116" s="637"/>
      <c r="AEV116" s="637"/>
      <c r="AEW116" s="637"/>
      <c r="AEX116" s="637"/>
      <c r="AEY116" s="637"/>
      <c r="AEZ116" s="637"/>
      <c r="AFA116" s="637"/>
      <c r="AFB116" s="637"/>
      <c r="AFC116" s="637"/>
      <c r="AFD116" s="637"/>
      <c r="AFE116" s="637"/>
      <c r="AFF116" s="637"/>
      <c r="AFG116" s="637"/>
      <c r="AFH116" s="637"/>
      <c r="AFI116" s="637"/>
      <c r="AFJ116" s="637"/>
      <c r="AFK116" s="637"/>
      <c r="AFL116" s="637"/>
      <c r="AFM116" s="637"/>
      <c r="AFN116" s="637"/>
      <c r="AFO116" s="637"/>
      <c r="AFP116" s="637"/>
      <c r="AFQ116" s="637"/>
      <c r="AFR116" s="637"/>
      <c r="AFS116" s="637"/>
      <c r="AFT116" s="637"/>
      <c r="AFU116" s="637"/>
      <c r="AFV116" s="637"/>
      <c r="AFW116" s="637"/>
      <c r="AFX116" s="637"/>
      <c r="AFY116" s="637"/>
      <c r="AFZ116" s="637"/>
      <c r="AGA116" s="637"/>
      <c r="AGB116" s="637"/>
      <c r="AGC116" s="637"/>
      <c r="AGD116" s="637"/>
      <c r="AGE116" s="637"/>
      <c r="AGF116" s="637"/>
      <c r="AGG116" s="637"/>
      <c r="AGH116" s="637"/>
      <c r="AGI116" s="637"/>
      <c r="AGJ116" s="637"/>
      <c r="AGK116" s="637"/>
      <c r="AGL116" s="637"/>
      <c r="AGM116" s="637"/>
      <c r="AGN116" s="637"/>
      <c r="AGO116" s="637"/>
      <c r="AGP116" s="637"/>
      <c r="AGQ116" s="637"/>
      <c r="AGR116" s="637"/>
      <c r="AGS116" s="637"/>
      <c r="AGT116" s="637"/>
      <c r="AGU116" s="637"/>
      <c r="AGV116" s="637"/>
      <c r="AGW116" s="637"/>
      <c r="AGX116" s="637"/>
      <c r="AGY116" s="637"/>
      <c r="AGZ116" s="637"/>
      <c r="AHA116" s="637"/>
      <c r="AHB116" s="637"/>
      <c r="AHC116" s="637"/>
      <c r="AHD116" s="637"/>
      <c r="AHE116" s="637"/>
      <c r="AHF116" s="637"/>
      <c r="AHG116" s="637"/>
      <c r="AHH116" s="637"/>
      <c r="AHI116" s="637"/>
      <c r="AHJ116" s="637"/>
      <c r="AHK116" s="637"/>
      <c r="AHL116" s="637"/>
      <c r="AHM116" s="637"/>
      <c r="AHN116" s="637"/>
      <c r="AHO116" s="637"/>
      <c r="AHP116" s="637"/>
      <c r="AHQ116" s="637"/>
      <c r="AHR116" s="637"/>
      <c r="AHS116" s="637"/>
      <c r="AHT116" s="637"/>
      <c r="AHU116" s="637"/>
      <c r="AHV116" s="637"/>
      <c r="AHW116" s="637"/>
      <c r="AHX116" s="637"/>
      <c r="AHY116" s="637"/>
      <c r="AHZ116" s="637"/>
      <c r="AIA116" s="637"/>
      <c r="AIB116" s="637"/>
      <c r="AIC116" s="637"/>
      <c r="AID116" s="637"/>
      <c r="AIE116" s="637"/>
      <c r="AIF116" s="637"/>
      <c r="AIG116" s="637"/>
      <c r="AIH116" s="637"/>
      <c r="AII116" s="637"/>
      <c r="AIJ116" s="637"/>
      <c r="AIK116" s="637"/>
      <c r="AIL116" s="637"/>
      <c r="AIM116" s="637"/>
      <c r="AIN116" s="637"/>
      <c r="AIO116" s="637"/>
      <c r="AIP116" s="637"/>
      <c r="AIQ116" s="637"/>
      <c r="AIR116" s="637"/>
      <c r="AIS116" s="637"/>
      <c r="AIT116" s="637"/>
      <c r="AIU116" s="637"/>
      <c r="AIV116" s="637"/>
      <c r="AIW116" s="637"/>
      <c r="AIX116" s="637"/>
      <c r="AIY116" s="637"/>
      <c r="AIZ116" s="637"/>
      <c r="AJA116" s="637"/>
      <c r="AJB116" s="637"/>
      <c r="AJC116" s="637"/>
      <c r="AJD116" s="637"/>
      <c r="AJE116" s="637"/>
      <c r="AJF116" s="637"/>
      <c r="AJG116" s="637"/>
      <c r="AJH116" s="637"/>
      <c r="AJI116" s="637"/>
      <c r="AJJ116" s="637"/>
      <c r="AJK116" s="637"/>
      <c r="AJL116" s="637"/>
      <c r="AJM116" s="637"/>
      <c r="AJN116" s="637"/>
      <c r="AJO116" s="637"/>
      <c r="AJP116" s="637"/>
      <c r="AJQ116" s="637"/>
      <c r="AJR116" s="637"/>
      <c r="AJS116" s="637"/>
      <c r="AJT116" s="637"/>
      <c r="AJU116" s="637"/>
      <c r="AJV116" s="637"/>
      <c r="AJW116" s="637"/>
      <c r="AJX116" s="637"/>
      <c r="AJY116" s="637"/>
      <c r="AJZ116" s="637"/>
      <c r="AKA116" s="637"/>
      <c r="AKB116" s="637"/>
      <c r="AKC116" s="637"/>
      <c r="AKD116" s="637"/>
      <c r="AKE116" s="637"/>
      <c r="AKF116" s="637"/>
      <c r="AKG116" s="637"/>
      <c r="AKH116" s="637"/>
      <c r="AKI116" s="637"/>
      <c r="AKJ116" s="637"/>
      <c r="AKK116" s="637"/>
      <c r="AKL116" s="637"/>
      <c r="AKM116" s="637"/>
      <c r="AKN116" s="637"/>
      <c r="AKO116" s="637"/>
      <c r="AKP116" s="637"/>
      <c r="AKQ116" s="637"/>
      <c r="AKR116" s="637"/>
      <c r="AKS116" s="637"/>
      <c r="AKT116" s="637"/>
      <c r="AKU116" s="637"/>
      <c r="AKV116" s="637"/>
      <c r="AKW116" s="637"/>
      <c r="AKX116" s="637"/>
      <c r="AKY116" s="637"/>
      <c r="AKZ116" s="637"/>
      <c r="ALA116" s="637"/>
      <c r="ALB116" s="637"/>
      <c r="ALC116" s="637"/>
      <c r="ALD116" s="637"/>
      <c r="ALE116" s="637"/>
      <c r="ALF116" s="637"/>
      <c r="ALG116" s="637"/>
      <c r="ALH116" s="637"/>
      <c r="ALI116" s="637"/>
      <c r="ALJ116" s="637"/>
      <c r="ALK116" s="637"/>
      <c r="ALL116" s="637"/>
      <c r="ALM116" s="637"/>
      <c r="ALN116" s="637"/>
      <c r="ALO116" s="637"/>
      <c r="ALP116" s="637"/>
      <c r="ALQ116" s="637"/>
      <c r="ALR116" s="637"/>
      <c r="ALS116" s="637"/>
      <c r="ALT116" s="637"/>
      <c r="ALU116" s="637"/>
      <c r="ALV116" s="637"/>
      <c r="ALW116" s="637"/>
      <c r="ALX116" s="637"/>
      <c r="ALY116" s="637"/>
      <c r="ALZ116" s="637"/>
      <c r="AMA116" s="637"/>
      <c r="AMB116" s="637"/>
      <c r="AMC116" s="637"/>
      <c r="AMD116" s="637"/>
      <c r="AME116" s="637"/>
      <c r="AMF116" s="637"/>
      <c r="AMG116" s="637"/>
      <c r="AMH116" s="637"/>
      <c r="AMI116" s="637"/>
      <c r="AMJ116" s="637"/>
    </row>
    <row r="117" spans="1:1024" s="638" customFormat="1" ht="12.75">
      <c r="A117" s="984"/>
      <c r="B117" s="985"/>
      <c r="C117" s="986"/>
      <c r="D117" s="981" t="s">
        <v>1041</v>
      </c>
      <c r="E117" s="982">
        <f>7484+74+50+360</f>
        <v>7968</v>
      </c>
      <c r="F117" s="982"/>
      <c r="G117" s="987"/>
      <c r="H117" s="987"/>
      <c r="I117" s="987"/>
      <c r="J117" s="987"/>
      <c r="K117" s="987"/>
      <c r="L117" s="987"/>
      <c r="M117" s="987"/>
      <c r="N117" s="987"/>
      <c r="O117" s="987"/>
      <c r="P117" s="987"/>
      <c r="Q117" s="987"/>
      <c r="R117" s="984"/>
      <c r="S117" s="637"/>
      <c r="T117" s="637"/>
      <c r="U117" s="637"/>
      <c r="V117" s="637"/>
      <c r="W117" s="637"/>
      <c r="X117" s="637"/>
      <c r="Y117" s="637"/>
      <c r="Z117" s="637"/>
      <c r="AA117" s="637"/>
      <c r="AB117" s="637"/>
      <c r="AC117" s="637"/>
      <c r="AD117" s="637"/>
      <c r="AE117" s="637"/>
      <c r="AF117" s="637"/>
      <c r="AG117" s="637"/>
      <c r="AH117" s="637"/>
      <c r="AI117" s="637"/>
      <c r="AJ117" s="637"/>
      <c r="AK117" s="637"/>
      <c r="AL117" s="637"/>
      <c r="AM117" s="637"/>
      <c r="AN117" s="637"/>
      <c r="AO117" s="637"/>
      <c r="AP117" s="637"/>
      <c r="AQ117" s="637"/>
      <c r="AR117" s="637"/>
      <c r="AS117" s="637"/>
      <c r="AT117" s="637"/>
      <c r="AU117" s="637"/>
      <c r="AV117" s="637"/>
      <c r="AW117" s="637"/>
      <c r="AX117" s="637"/>
      <c r="AY117" s="637"/>
      <c r="AZ117" s="637"/>
      <c r="BA117" s="637"/>
      <c r="BB117" s="637"/>
      <c r="BC117" s="637"/>
      <c r="BD117" s="637"/>
      <c r="BE117" s="637"/>
      <c r="BF117" s="637"/>
      <c r="BG117" s="637"/>
      <c r="BH117" s="637"/>
      <c r="BI117" s="637"/>
      <c r="BJ117" s="637"/>
      <c r="BK117" s="637"/>
      <c r="BL117" s="637"/>
      <c r="BM117" s="637"/>
      <c r="BN117" s="637"/>
      <c r="BO117" s="637"/>
      <c r="BP117" s="637"/>
      <c r="BQ117" s="637"/>
      <c r="BR117" s="637"/>
      <c r="BS117" s="637"/>
      <c r="BT117" s="637"/>
      <c r="BU117" s="637"/>
      <c r="BV117" s="637"/>
      <c r="BW117" s="637"/>
      <c r="BX117" s="637"/>
      <c r="BY117" s="637"/>
      <c r="BZ117" s="637"/>
      <c r="CA117" s="637"/>
      <c r="CB117" s="637"/>
      <c r="CC117" s="637"/>
      <c r="CD117" s="637"/>
      <c r="CE117" s="637"/>
      <c r="CF117" s="637"/>
      <c r="CG117" s="637"/>
      <c r="CH117" s="637"/>
      <c r="CI117" s="637"/>
      <c r="CJ117" s="637"/>
      <c r="CK117" s="637"/>
      <c r="CL117" s="637"/>
      <c r="CM117" s="637"/>
      <c r="CN117" s="637"/>
      <c r="CO117" s="637"/>
      <c r="CP117" s="637"/>
      <c r="CQ117" s="637"/>
      <c r="CR117" s="637"/>
      <c r="CS117" s="637"/>
      <c r="CT117" s="637"/>
      <c r="CU117" s="637"/>
      <c r="CV117" s="637"/>
      <c r="CW117" s="637"/>
      <c r="CX117" s="637"/>
      <c r="CY117" s="637"/>
      <c r="CZ117" s="637"/>
      <c r="DA117" s="637"/>
      <c r="DB117" s="637"/>
      <c r="DC117" s="637"/>
      <c r="DD117" s="637"/>
      <c r="DE117" s="637"/>
      <c r="DF117" s="637"/>
      <c r="DG117" s="637"/>
      <c r="DH117" s="637"/>
      <c r="DI117" s="637"/>
      <c r="DJ117" s="637"/>
      <c r="DK117" s="637"/>
      <c r="DL117" s="637"/>
      <c r="DM117" s="637"/>
      <c r="DN117" s="637"/>
      <c r="DO117" s="637"/>
      <c r="DP117" s="637"/>
      <c r="DQ117" s="637"/>
      <c r="DR117" s="637"/>
      <c r="DS117" s="637"/>
      <c r="DT117" s="637"/>
      <c r="DU117" s="637"/>
      <c r="DV117" s="637"/>
      <c r="DW117" s="637"/>
      <c r="DX117" s="637"/>
      <c r="DY117" s="637"/>
      <c r="DZ117" s="637"/>
      <c r="EA117" s="637"/>
      <c r="EB117" s="637"/>
      <c r="EC117" s="637"/>
      <c r="ED117" s="637"/>
      <c r="EE117" s="637"/>
      <c r="EF117" s="637"/>
      <c r="EG117" s="637"/>
      <c r="EH117" s="637"/>
      <c r="EI117" s="637"/>
      <c r="EJ117" s="637"/>
      <c r="EK117" s="637"/>
      <c r="EL117" s="637"/>
      <c r="EM117" s="637"/>
      <c r="EN117" s="637"/>
      <c r="EO117" s="637"/>
      <c r="EP117" s="637"/>
      <c r="EQ117" s="637"/>
      <c r="ER117" s="637"/>
      <c r="ES117" s="637"/>
      <c r="ET117" s="637"/>
      <c r="EU117" s="637"/>
      <c r="EV117" s="637"/>
      <c r="EW117" s="637"/>
      <c r="EX117" s="637"/>
      <c r="EY117" s="637"/>
      <c r="EZ117" s="637"/>
      <c r="FA117" s="637"/>
      <c r="FB117" s="637"/>
      <c r="FC117" s="637"/>
      <c r="FD117" s="637"/>
      <c r="FE117" s="637"/>
      <c r="FF117" s="637"/>
      <c r="FG117" s="637"/>
      <c r="FH117" s="637"/>
      <c r="FI117" s="637"/>
      <c r="FJ117" s="637"/>
      <c r="FK117" s="637"/>
      <c r="FL117" s="637"/>
      <c r="FM117" s="637"/>
      <c r="FN117" s="637"/>
      <c r="FO117" s="637"/>
      <c r="FP117" s="637"/>
      <c r="FQ117" s="637"/>
      <c r="FR117" s="637"/>
      <c r="FS117" s="637"/>
      <c r="FT117" s="637"/>
      <c r="FU117" s="637"/>
      <c r="FV117" s="637"/>
      <c r="FW117" s="637"/>
      <c r="FX117" s="637"/>
      <c r="FY117" s="637"/>
      <c r="FZ117" s="637"/>
      <c r="GA117" s="637"/>
      <c r="GB117" s="637"/>
      <c r="GC117" s="637"/>
      <c r="GD117" s="637"/>
      <c r="GE117" s="637"/>
      <c r="GF117" s="637"/>
      <c r="GG117" s="637"/>
      <c r="GH117" s="637"/>
      <c r="GI117" s="637"/>
      <c r="GJ117" s="637"/>
      <c r="GK117" s="637"/>
      <c r="GL117" s="637"/>
      <c r="GM117" s="637"/>
      <c r="GN117" s="637"/>
      <c r="GO117" s="637"/>
      <c r="GP117" s="637"/>
      <c r="GQ117" s="637"/>
      <c r="GR117" s="637"/>
      <c r="GS117" s="637"/>
      <c r="GT117" s="637"/>
      <c r="GU117" s="637"/>
      <c r="GV117" s="637"/>
      <c r="GW117" s="637"/>
      <c r="GX117" s="637"/>
      <c r="GY117" s="637"/>
      <c r="GZ117" s="637"/>
      <c r="HA117" s="637"/>
      <c r="HB117" s="637"/>
      <c r="HC117" s="637"/>
      <c r="HD117" s="637"/>
      <c r="HE117" s="637"/>
      <c r="HF117" s="637"/>
      <c r="HG117" s="637"/>
      <c r="HH117" s="637"/>
      <c r="HI117" s="637"/>
      <c r="HJ117" s="637"/>
      <c r="HK117" s="637"/>
      <c r="HL117" s="637"/>
      <c r="HM117" s="637"/>
      <c r="HN117" s="637"/>
      <c r="HO117" s="637"/>
      <c r="HP117" s="637"/>
      <c r="HQ117" s="637"/>
      <c r="HR117" s="637"/>
      <c r="HS117" s="637"/>
      <c r="HT117" s="637"/>
      <c r="HU117" s="637"/>
      <c r="HV117" s="637"/>
      <c r="HW117" s="637"/>
      <c r="HX117" s="637"/>
      <c r="HY117" s="637"/>
      <c r="HZ117" s="637"/>
      <c r="IA117" s="637"/>
      <c r="IB117" s="637"/>
      <c r="IC117" s="637"/>
      <c r="ID117" s="637"/>
      <c r="IE117" s="637"/>
      <c r="IF117" s="637"/>
      <c r="IG117" s="637"/>
      <c r="IH117" s="637"/>
      <c r="II117" s="637"/>
      <c r="IJ117" s="637"/>
      <c r="IK117" s="637"/>
      <c r="IL117" s="637"/>
      <c r="IM117" s="637"/>
      <c r="IN117" s="637"/>
      <c r="IO117" s="637"/>
      <c r="IP117" s="637"/>
      <c r="IQ117" s="637"/>
      <c r="IR117" s="637"/>
      <c r="IS117" s="637"/>
      <c r="IT117" s="637"/>
      <c r="IU117" s="637"/>
      <c r="IV117" s="637"/>
      <c r="IW117" s="637"/>
      <c r="IX117" s="637"/>
      <c r="IY117" s="637"/>
      <c r="IZ117" s="637"/>
      <c r="JA117" s="637"/>
      <c r="JB117" s="637"/>
      <c r="JC117" s="637"/>
      <c r="JD117" s="637"/>
      <c r="JE117" s="637"/>
      <c r="JF117" s="637"/>
      <c r="JG117" s="637"/>
      <c r="JH117" s="637"/>
      <c r="JI117" s="637"/>
      <c r="JJ117" s="637"/>
      <c r="JK117" s="637"/>
      <c r="JL117" s="637"/>
      <c r="JM117" s="637"/>
      <c r="JN117" s="637"/>
      <c r="JO117" s="637"/>
      <c r="JP117" s="637"/>
      <c r="JQ117" s="637"/>
      <c r="JR117" s="637"/>
      <c r="JS117" s="637"/>
      <c r="JT117" s="637"/>
      <c r="JU117" s="637"/>
      <c r="JV117" s="637"/>
      <c r="JW117" s="637"/>
      <c r="JX117" s="637"/>
      <c r="JY117" s="637"/>
      <c r="JZ117" s="637"/>
      <c r="KA117" s="637"/>
      <c r="KB117" s="637"/>
      <c r="KC117" s="637"/>
      <c r="KD117" s="637"/>
      <c r="KE117" s="637"/>
      <c r="KF117" s="637"/>
      <c r="KG117" s="637"/>
      <c r="KH117" s="637"/>
      <c r="KI117" s="637"/>
      <c r="KJ117" s="637"/>
      <c r="KK117" s="637"/>
      <c r="KL117" s="637"/>
      <c r="KM117" s="637"/>
      <c r="KN117" s="637"/>
      <c r="KO117" s="637"/>
      <c r="KP117" s="637"/>
      <c r="KQ117" s="637"/>
      <c r="KR117" s="637"/>
      <c r="KS117" s="637"/>
      <c r="KT117" s="637"/>
      <c r="KU117" s="637"/>
      <c r="KV117" s="637"/>
      <c r="KW117" s="637"/>
      <c r="KX117" s="637"/>
      <c r="KY117" s="637"/>
      <c r="KZ117" s="637"/>
      <c r="LA117" s="637"/>
      <c r="LB117" s="637"/>
      <c r="LC117" s="637"/>
      <c r="LD117" s="637"/>
      <c r="LE117" s="637"/>
      <c r="LF117" s="637"/>
      <c r="LG117" s="637"/>
      <c r="LH117" s="637"/>
      <c r="LI117" s="637"/>
      <c r="LJ117" s="637"/>
      <c r="LK117" s="637"/>
      <c r="LL117" s="637"/>
      <c r="LM117" s="637"/>
      <c r="LN117" s="637"/>
      <c r="LO117" s="637"/>
      <c r="LP117" s="637"/>
      <c r="LQ117" s="637"/>
      <c r="LR117" s="637"/>
      <c r="LS117" s="637"/>
      <c r="LT117" s="637"/>
      <c r="LU117" s="637"/>
      <c r="LV117" s="637"/>
      <c r="LW117" s="637"/>
      <c r="LX117" s="637"/>
      <c r="LY117" s="637"/>
      <c r="LZ117" s="637"/>
      <c r="MA117" s="637"/>
      <c r="MB117" s="637"/>
      <c r="MC117" s="637"/>
      <c r="MD117" s="637"/>
      <c r="ME117" s="637"/>
      <c r="MF117" s="637"/>
      <c r="MG117" s="637"/>
      <c r="MH117" s="637"/>
      <c r="MI117" s="637"/>
      <c r="MJ117" s="637"/>
      <c r="MK117" s="637"/>
      <c r="ML117" s="637"/>
      <c r="MM117" s="637"/>
      <c r="MN117" s="637"/>
      <c r="MO117" s="637"/>
      <c r="MP117" s="637"/>
      <c r="MQ117" s="637"/>
      <c r="MR117" s="637"/>
      <c r="MS117" s="637"/>
      <c r="MT117" s="637"/>
      <c r="MU117" s="637"/>
      <c r="MV117" s="637"/>
      <c r="MW117" s="637"/>
      <c r="MX117" s="637"/>
      <c r="MY117" s="637"/>
      <c r="MZ117" s="637"/>
      <c r="NA117" s="637"/>
      <c r="NB117" s="637"/>
      <c r="NC117" s="637"/>
      <c r="ND117" s="637"/>
      <c r="NE117" s="637"/>
      <c r="NF117" s="637"/>
      <c r="NG117" s="637"/>
      <c r="NH117" s="637"/>
      <c r="NI117" s="637"/>
      <c r="NJ117" s="637"/>
      <c r="NK117" s="637"/>
      <c r="NL117" s="637"/>
      <c r="NM117" s="637"/>
      <c r="NN117" s="637"/>
      <c r="NO117" s="637"/>
      <c r="NP117" s="637"/>
      <c r="NQ117" s="637"/>
      <c r="NR117" s="637"/>
      <c r="NS117" s="637"/>
      <c r="NT117" s="637"/>
      <c r="NU117" s="637"/>
      <c r="NV117" s="637"/>
      <c r="NW117" s="637"/>
      <c r="NX117" s="637"/>
      <c r="NY117" s="637"/>
      <c r="NZ117" s="637"/>
      <c r="OA117" s="637"/>
      <c r="OB117" s="637"/>
      <c r="OC117" s="637"/>
      <c r="OD117" s="637"/>
      <c r="OE117" s="637"/>
      <c r="OF117" s="637"/>
      <c r="OG117" s="637"/>
      <c r="OH117" s="637"/>
      <c r="OI117" s="637"/>
      <c r="OJ117" s="637"/>
      <c r="OK117" s="637"/>
      <c r="OL117" s="637"/>
      <c r="OM117" s="637"/>
      <c r="ON117" s="637"/>
      <c r="OO117" s="637"/>
      <c r="OP117" s="637"/>
      <c r="OQ117" s="637"/>
      <c r="OR117" s="637"/>
      <c r="OS117" s="637"/>
      <c r="OT117" s="637"/>
      <c r="OU117" s="637"/>
      <c r="OV117" s="637"/>
      <c r="OW117" s="637"/>
      <c r="OX117" s="637"/>
      <c r="OY117" s="637"/>
      <c r="OZ117" s="637"/>
      <c r="PA117" s="637"/>
      <c r="PB117" s="637"/>
      <c r="PC117" s="637"/>
      <c r="PD117" s="637"/>
      <c r="PE117" s="637"/>
      <c r="PF117" s="637"/>
      <c r="PG117" s="637"/>
      <c r="PH117" s="637"/>
      <c r="PI117" s="637"/>
      <c r="PJ117" s="637"/>
      <c r="PK117" s="637"/>
      <c r="PL117" s="637"/>
      <c r="PM117" s="637"/>
      <c r="PN117" s="637"/>
      <c r="PO117" s="637"/>
      <c r="PP117" s="637"/>
      <c r="PQ117" s="637"/>
      <c r="PR117" s="637"/>
      <c r="PS117" s="637"/>
      <c r="PT117" s="637"/>
      <c r="PU117" s="637"/>
      <c r="PV117" s="637"/>
      <c r="PW117" s="637"/>
      <c r="PX117" s="637"/>
      <c r="PY117" s="637"/>
      <c r="PZ117" s="637"/>
      <c r="QA117" s="637"/>
      <c r="QB117" s="637"/>
      <c r="QC117" s="637"/>
      <c r="QD117" s="637"/>
      <c r="QE117" s="637"/>
      <c r="QF117" s="637"/>
      <c r="QG117" s="637"/>
      <c r="QH117" s="637"/>
      <c r="QI117" s="637"/>
      <c r="QJ117" s="637"/>
      <c r="QK117" s="637"/>
      <c r="QL117" s="637"/>
      <c r="QM117" s="637"/>
      <c r="QN117" s="637"/>
      <c r="QO117" s="637"/>
      <c r="QP117" s="637"/>
      <c r="QQ117" s="637"/>
      <c r="QR117" s="637"/>
      <c r="QS117" s="637"/>
      <c r="QT117" s="637"/>
      <c r="QU117" s="637"/>
      <c r="QV117" s="637"/>
      <c r="QW117" s="637"/>
      <c r="QX117" s="637"/>
      <c r="QY117" s="637"/>
      <c r="QZ117" s="637"/>
      <c r="RA117" s="637"/>
      <c r="RB117" s="637"/>
      <c r="RC117" s="637"/>
      <c r="RD117" s="637"/>
      <c r="RE117" s="637"/>
      <c r="RF117" s="637"/>
      <c r="RG117" s="637"/>
      <c r="RH117" s="637"/>
      <c r="RI117" s="637"/>
      <c r="RJ117" s="637"/>
      <c r="RK117" s="637"/>
      <c r="RL117" s="637"/>
      <c r="RM117" s="637"/>
      <c r="RN117" s="637"/>
      <c r="RO117" s="637"/>
      <c r="RP117" s="637"/>
      <c r="RQ117" s="637"/>
      <c r="RR117" s="637"/>
      <c r="RS117" s="637"/>
      <c r="RT117" s="637"/>
      <c r="RU117" s="637"/>
      <c r="RV117" s="637"/>
      <c r="RW117" s="637"/>
      <c r="RX117" s="637"/>
      <c r="RY117" s="637"/>
      <c r="RZ117" s="637"/>
      <c r="SA117" s="637"/>
      <c r="SB117" s="637"/>
      <c r="SC117" s="637"/>
      <c r="SD117" s="637"/>
      <c r="SE117" s="637"/>
      <c r="SF117" s="637"/>
      <c r="SG117" s="637"/>
      <c r="SH117" s="637"/>
      <c r="SI117" s="637"/>
      <c r="SJ117" s="637"/>
      <c r="SK117" s="637"/>
      <c r="SL117" s="637"/>
      <c r="SM117" s="637"/>
      <c r="SN117" s="637"/>
      <c r="SO117" s="637"/>
      <c r="SP117" s="637"/>
      <c r="SQ117" s="637"/>
      <c r="SR117" s="637"/>
      <c r="SS117" s="637"/>
      <c r="ST117" s="637"/>
      <c r="SU117" s="637"/>
      <c r="SV117" s="637"/>
      <c r="SW117" s="637"/>
      <c r="SX117" s="637"/>
      <c r="SY117" s="637"/>
      <c r="SZ117" s="637"/>
      <c r="TA117" s="637"/>
      <c r="TB117" s="637"/>
      <c r="TC117" s="637"/>
      <c r="TD117" s="637"/>
      <c r="TE117" s="637"/>
      <c r="TF117" s="637"/>
      <c r="TG117" s="637"/>
      <c r="TH117" s="637"/>
      <c r="TI117" s="637"/>
      <c r="TJ117" s="637"/>
      <c r="TK117" s="637"/>
      <c r="TL117" s="637"/>
      <c r="TM117" s="637"/>
      <c r="TN117" s="637"/>
      <c r="TO117" s="637"/>
      <c r="TP117" s="637"/>
      <c r="TQ117" s="637"/>
      <c r="TR117" s="637"/>
      <c r="TS117" s="637"/>
      <c r="TT117" s="637"/>
      <c r="TU117" s="637"/>
      <c r="TV117" s="637"/>
      <c r="TW117" s="637"/>
      <c r="TX117" s="637"/>
      <c r="TY117" s="637"/>
      <c r="TZ117" s="637"/>
      <c r="UA117" s="637"/>
      <c r="UB117" s="637"/>
      <c r="UC117" s="637"/>
      <c r="UD117" s="637"/>
      <c r="UE117" s="637"/>
      <c r="UF117" s="637"/>
      <c r="UG117" s="637"/>
      <c r="UH117" s="637"/>
      <c r="UI117" s="637"/>
      <c r="UJ117" s="637"/>
      <c r="UK117" s="637"/>
      <c r="UL117" s="637"/>
      <c r="UM117" s="637"/>
      <c r="UN117" s="637"/>
      <c r="UO117" s="637"/>
      <c r="UP117" s="637"/>
      <c r="UQ117" s="637"/>
      <c r="UR117" s="637"/>
      <c r="US117" s="637"/>
      <c r="UT117" s="637"/>
      <c r="UU117" s="637"/>
      <c r="UV117" s="637"/>
      <c r="UW117" s="637"/>
      <c r="UX117" s="637"/>
      <c r="UY117" s="637"/>
      <c r="UZ117" s="637"/>
      <c r="VA117" s="637"/>
      <c r="VB117" s="637"/>
      <c r="VC117" s="637"/>
      <c r="VD117" s="637"/>
      <c r="VE117" s="637"/>
      <c r="VF117" s="637"/>
      <c r="VG117" s="637"/>
      <c r="VH117" s="637"/>
      <c r="VI117" s="637"/>
      <c r="VJ117" s="637"/>
      <c r="VK117" s="637"/>
      <c r="VL117" s="637"/>
      <c r="VM117" s="637"/>
      <c r="VN117" s="637"/>
      <c r="VO117" s="637"/>
      <c r="VP117" s="637"/>
      <c r="VQ117" s="637"/>
      <c r="VR117" s="637"/>
      <c r="VS117" s="637"/>
      <c r="VT117" s="637"/>
      <c r="VU117" s="637"/>
      <c r="VV117" s="637"/>
      <c r="VW117" s="637"/>
      <c r="VX117" s="637"/>
      <c r="VY117" s="637"/>
      <c r="VZ117" s="637"/>
      <c r="WA117" s="637"/>
      <c r="WB117" s="637"/>
      <c r="WC117" s="637"/>
      <c r="WD117" s="637"/>
      <c r="WE117" s="637"/>
      <c r="WF117" s="637"/>
      <c r="WG117" s="637"/>
      <c r="WH117" s="637"/>
      <c r="WI117" s="637"/>
      <c r="WJ117" s="637"/>
      <c r="WK117" s="637"/>
      <c r="WL117" s="637"/>
      <c r="WM117" s="637"/>
      <c r="WN117" s="637"/>
      <c r="WO117" s="637"/>
      <c r="WP117" s="637"/>
      <c r="WQ117" s="637"/>
      <c r="WR117" s="637"/>
      <c r="WS117" s="637"/>
      <c r="WT117" s="637"/>
      <c r="WU117" s="637"/>
      <c r="WV117" s="637"/>
      <c r="WW117" s="637"/>
      <c r="WX117" s="637"/>
      <c r="WY117" s="637"/>
      <c r="WZ117" s="637"/>
      <c r="XA117" s="637"/>
      <c r="XB117" s="637"/>
      <c r="XC117" s="637"/>
      <c r="XD117" s="637"/>
      <c r="XE117" s="637"/>
      <c r="XF117" s="637"/>
      <c r="XG117" s="637"/>
      <c r="XH117" s="637"/>
      <c r="XI117" s="637"/>
      <c r="XJ117" s="637"/>
      <c r="XK117" s="637"/>
      <c r="XL117" s="637"/>
      <c r="XM117" s="637"/>
      <c r="XN117" s="637"/>
      <c r="XO117" s="637"/>
      <c r="XP117" s="637"/>
      <c r="XQ117" s="637"/>
      <c r="XR117" s="637"/>
      <c r="XS117" s="637"/>
      <c r="XT117" s="637"/>
      <c r="XU117" s="637"/>
      <c r="XV117" s="637"/>
      <c r="XW117" s="637"/>
      <c r="XX117" s="637"/>
      <c r="XY117" s="637"/>
      <c r="XZ117" s="637"/>
      <c r="YA117" s="637"/>
      <c r="YB117" s="637"/>
      <c r="YC117" s="637"/>
      <c r="YD117" s="637"/>
      <c r="YE117" s="637"/>
      <c r="YF117" s="637"/>
      <c r="YG117" s="637"/>
      <c r="YH117" s="637"/>
      <c r="YI117" s="637"/>
      <c r="YJ117" s="637"/>
      <c r="YK117" s="637"/>
      <c r="YL117" s="637"/>
      <c r="YM117" s="637"/>
      <c r="YN117" s="637"/>
      <c r="YO117" s="637"/>
      <c r="YP117" s="637"/>
      <c r="YQ117" s="637"/>
      <c r="YR117" s="637"/>
      <c r="YS117" s="637"/>
      <c r="YT117" s="637"/>
      <c r="YU117" s="637"/>
      <c r="YV117" s="637"/>
      <c r="YW117" s="637"/>
      <c r="YX117" s="637"/>
      <c r="YY117" s="637"/>
      <c r="YZ117" s="637"/>
      <c r="ZA117" s="637"/>
      <c r="ZB117" s="637"/>
      <c r="ZC117" s="637"/>
      <c r="ZD117" s="637"/>
      <c r="ZE117" s="637"/>
      <c r="ZF117" s="637"/>
      <c r="ZG117" s="637"/>
      <c r="ZH117" s="637"/>
      <c r="ZI117" s="637"/>
      <c r="ZJ117" s="637"/>
      <c r="ZK117" s="637"/>
      <c r="ZL117" s="637"/>
      <c r="ZM117" s="637"/>
      <c r="ZN117" s="637"/>
      <c r="ZO117" s="637"/>
      <c r="ZP117" s="637"/>
      <c r="ZQ117" s="637"/>
      <c r="ZR117" s="637"/>
      <c r="ZS117" s="637"/>
      <c r="ZT117" s="637"/>
      <c r="ZU117" s="637"/>
      <c r="ZV117" s="637"/>
      <c r="ZW117" s="637"/>
      <c r="ZX117" s="637"/>
      <c r="ZY117" s="637"/>
      <c r="ZZ117" s="637"/>
      <c r="AAA117" s="637"/>
      <c r="AAB117" s="637"/>
      <c r="AAC117" s="637"/>
      <c r="AAD117" s="637"/>
      <c r="AAE117" s="637"/>
      <c r="AAF117" s="637"/>
      <c r="AAG117" s="637"/>
      <c r="AAH117" s="637"/>
      <c r="AAI117" s="637"/>
      <c r="AAJ117" s="637"/>
      <c r="AAK117" s="637"/>
      <c r="AAL117" s="637"/>
      <c r="AAM117" s="637"/>
      <c r="AAN117" s="637"/>
      <c r="AAO117" s="637"/>
      <c r="AAP117" s="637"/>
      <c r="AAQ117" s="637"/>
      <c r="AAR117" s="637"/>
      <c r="AAS117" s="637"/>
      <c r="AAT117" s="637"/>
      <c r="AAU117" s="637"/>
      <c r="AAV117" s="637"/>
      <c r="AAW117" s="637"/>
      <c r="AAX117" s="637"/>
      <c r="AAY117" s="637"/>
      <c r="AAZ117" s="637"/>
      <c r="ABA117" s="637"/>
      <c r="ABB117" s="637"/>
      <c r="ABC117" s="637"/>
      <c r="ABD117" s="637"/>
      <c r="ABE117" s="637"/>
      <c r="ABF117" s="637"/>
      <c r="ABG117" s="637"/>
      <c r="ABH117" s="637"/>
      <c r="ABI117" s="637"/>
      <c r="ABJ117" s="637"/>
      <c r="ABK117" s="637"/>
      <c r="ABL117" s="637"/>
      <c r="ABM117" s="637"/>
      <c r="ABN117" s="637"/>
      <c r="ABO117" s="637"/>
      <c r="ABP117" s="637"/>
      <c r="ABQ117" s="637"/>
      <c r="ABR117" s="637"/>
      <c r="ABS117" s="637"/>
      <c r="ABT117" s="637"/>
      <c r="ABU117" s="637"/>
      <c r="ABV117" s="637"/>
      <c r="ABW117" s="637"/>
      <c r="ABX117" s="637"/>
      <c r="ABY117" s="637"/>
      <c r="ABZ117" s="637"/>
      <c r="ACA117" s="637"/>
      <c r="ACB117" s="637"/>
      <c r="ACC117" s="637"/>
      <c r="ACD117" s="637"/>
      <c r="ACE117" s="637"/>
      <c r="ACF117" s="637"/>
      <c r="ACG117" s="637"/>
      <c r="ACH117" s="637"/>
      <c r="ACI117" s="637"/>
      <c r="ACJ117" s="637"/>
      <c r="ACK117" s="637"/>
      <c r="ACL117" s="637"/>
      <c r="ACM117" s="637"/>
      <c r="ACN117" s="637"/>
      <c r="ACO117" s="637"/>
      <c r="ACP117" s="637"/>
      <c r="ACQ117" s="637"/>
      <c r="ACR117" s="637"/>
      <c r="ACS117" s="637"/>
      <c r="ACT117" s="637"/>
      <c r="ACU117" s="637"/>
      <c r="ACV117" s="637"/>
      <c r="ACW117" s="637"/>
      <c r="ACX117" s="637"/>
      <c r="ACY117" s="637"/>
      <c r="ACZ117" s="637"/>
      <c r="ADA117" s="637"/>
      <c r="ADB117" s="637"/>
      <c r="ADC117" s="637"/>
      <c r="ADD117" s="637"/>
      <c r="ADE117" s="637"/>
      <c r="ADF117" s="637"/>
      <c r="ADG117" s="637"/>
      <c r="ADH117" s="637"/>
      <c r="ADI117" s="637"/>
      <c r="ADJ117" s="637"/>
      <c r="ADK117" s="637"/>
      <c r="ADL117" s="637"/>
      <c r="ADM117" s="637"/>
      <c r="ADN117" s="637"/>
      <c r="ADO117" s="637"/>
      <c r="ADP117" s="637"/>
      <c r="ADQ117" s="637"/>
      <c r="ADR117" s="637"/>
      <c r="ADS117" s="637"/>
      <c r="ADT117" s="637"/>
      <c r="ADU117" s="637"/>
      <c r="ADV117" s="637"/>
      <c r="ADW117" s="637"/>
      <c r="ADX117" s="637"/>
      <c r="ADY117" s="637"/>
      <c r="ADZ117" s="637"/>
      <c r="AEA117" s="637"/>
      <c r="AEB117" s="637"/>
      <c r="AEC117" s="637"/>
      <c r="AED117" s="637"/>
      <c r="AEE117" s="637"/>
      <c r="AEF117" s="637"/>
      <c r="AEG117" s="637"/>
      <c r="AEH117" s="637"/>
      <c r="AEI117" s="637"/>
      <c r="AEJ117" s="637"/>
      <c r="AEK117" s="637"/>
      <c r="AEL117" s="637"/>
      <c r="AEM117" s="637"/>
      <c r="AEN117" s="637"/>
      <c r="AEO117" s="637"/>
      <c r="AEP117" s="637"/>
      <c r="AEQ117" s="637"/>
      <c r="AER117" s="637"/>
      <c r="AES117" s="637"/>
      <c r="AET117" s="637"/>
      <c r="AEU117" s="637"/>
      <c r="AEV117" s="637"/>
      <c r="AEW117" s="637"/>
      <c r="AEX117" s="637"/>
      <c r="AEY117" s="637"/>
      <c r="AEZ117" s="637"/>
      <c r="AFA117" s="637"/>
      <c r="AFB117" s="637"/>
      <c r="AFC117" s="637"/>
      <c r="AFD117" s="637"/>
      <c r="AFE117" s="637"/>
      <c r="AFF117" s="637"/>
      <c r="AFG117" s="637"/>
      <c r="AFH117" s="637"/>
      <c r="AFI117" s="637"/>
      <c r="AFJ117" s="637"/>
      <c r="AFK117" s="637"/>
      <c r="AFL117" s="637"/>
      <c r="AFM117" s="637"/>
      <c r="AFN117" s="637"/>
      <c r="AFO117" s="637"/>
      <c r="AFP117" s="637"/>
      <c r="AFQ117" s="637"/>
      <c r="AFR117" s="637"/>
      <c r="AFS117" s="637"/>
      <c r="AFT117" s="637"/>
      <c r="AFU117" s="637"/>
      <c r="AFV117" s="637"/>
      <c r="AFW117" s="637"/>
      <c r="AFX117" s="637"/>
      <c r="AFY117" s="637"/>
      <c r="AFZ117" s="637"/>
      <c r="AGA117" s="637"/>
      <c r="AGB117" s="637"/>
      <c r="AGC117" s="637"/>
      <c r="AGD117" s="637"/>
      <c r="AGE117" s="637"/>
      <c r="AGF117" s="637"/>
      <c r="AGG117" s="637"/>
      <c r="AGH117" s="637"/>
      <c r="AGI117" s="637"/>
      <c r="AGJ117" s="637"/>
      <c r="AGK117" s="637"/>
      <c r="AGL117" s="637"/>
      <c r="AGM117" s="637"/>
      <c r="AGN117" s="637"/>
      <c r="AGO117" s="637"/>
      <c r="AGP117" s="637"/>
      <c r="AGQ117" s="637"/>
      <c r="AGR117" s="637"/>
      <c r="AGS117" s="637"/>
      <c r="AGT117" s="637"/>
      <c r="AGU117" s="637"/>
      <c r="AGV117" s="637"/>
      <c r="AGW117" s="637"/>
      <c r="AGX117" s="637"/>
      <c r="AGY117" s="637"/>
      <c r="AGZ117" s="637"/>
      <c r="AHA117" s="637"/>
      <c r="AHB117" s="637"/>
      <c r="AHC117" s="637"/>
      <c r="AHD117" s="637"/>
      <c r="AHE117" s="637"/>
      <c r="AHF117" s="637"/>
      <c r="AHG117" s="637"/>
      <c r="AHH117" s="637"/>
      <c r="AHI117" s="637"/>
      <c r="AHJ117" s="637"/>
      <c r="AHK117" s="637"/>
      <c r="AHL117" s="637"/>
      <c r="AHM117" s="637"/>
      <c r="AHN117" s="637"/>
      <c r="AHO117" s="637"/>
      <c r="AHP117" s="637"/>
      <c r="AHQ117" s="637"/>
      <c r="AHR117" s="637"/>
      <c r="AHS117" s="637"/>
      <c r="AHT117" s="637"/>
      <c r="AHU117" s="637"/>
      <c r="AHV117" s="637"/>
      <c r="AHW117" s="637"/>
      <c r="AHX117" s="637"/>
      <c r="AHY117" s="637"/>
      <c r="AHZ117" s="637"/>
      <c r="AIA117" s="637"/>
      <c r="AIB117" s="637"/>
      <c r="AIC117" s="637"/>
      <c r="AID117" s="637"/>
      <c r="AIE117" s="637"/>
      <c r="AIF117" s="637"/>
      <c r="AIG117" s="637"/>
      <c r="AIH117" s="637"/>
      <c r="AII117" s="637"/>
      <c r="AIJ117" s="637"/>
      <c r="AIK117" s="637"/>
      <c r="AIL117" s="637"/>
      <c r="AIM117" s="637"/>
      <c r="AIN117" s="637"/>
      <c r="AIO117" s="637"/>
      <c r="AIP117" s="637"/>
      <c r="AIQ117" s="637"/>
      <c r="AIR117" s="637"/>
      <c r="AIS117" s="637"/>
      <c r="AIT117" s="637"/>
      <c r="AIU117" s="637"/>
      <c r="AIV117" s="637"/>
      <c r="AIW117" s="637"/>
      <c r="AIX117" s="637"/>
      <c r="AIY117" s="637"/>
      <c r="AIZ117" s="637"/>
      <c r="AJA117" s="637"/>
      <c r="AJB117" s="637"/>
      <c r="AJC117" s="637"/>
      <c r="AJD117" s="637"/>
      <c r="AJE117" s="637"/>
      <c r="AJF117" s="637"/>
      <c r="AJG117" s="637"/>
      <c r="AJH117" s="637"/>
      <c r="AJI117" s="637"/>
      <c r="AJJ117" s="637"/>
      <c r="AJK117" s="637"/>
      <c r="AJL117" s="637"/>
      <c r="AJM117" s="637"/>
      <c r="AJN117" s="637"/>
      <c r="AJO117" s="637"/>
      <c r="AJP117" s="637"/>
      <c r="AJQ117" s="637"/>
      <c r="AJR117" s="637"/>
      <c r="AJS117" s="637"/>
      <c r="AJT117" s="637"/>
      <c r="AJU117" s="637"/>
      <c r="AJV117" s="637"/>
      <c r="AJW117" s="637"/>
      <c r="AJX117" s="637"/>
      <c r="AJY117" s="637"/>
      <c r="AJZ117" s="637"/>
      <c r="AKA117" s="637"/>
      <c r="AKB117" s="637"/>
      <c r="AKC117" s="637"/>
      <c r="AKD117" s="637"/>
      <c r="AKE117" s="637"/>
      <c r="AKF117" s="637"/>
      <c r="AKG117" s="637"/>
      <c r="AKH117" s="637"/>
      <c r="AKI117" s="637"/>
      <c r="AKJ117" s="637"/>
      <c r="AKK117" s="637"/>
      <c r="AKL117" s="637"/>
      <c r="AKM117" s="637"/>
      <c r="AKN117" s="637"/>
      <c r="AKO117" s="637"/>
      <c r="AKP117" s="637"/>
      <c r="AKQ117" s="637"/>
      <c r="AKR117" s="637"/>
      <c r="AKS117" s="637"/>
      <c r="AKT117" s="637"/>
      <c r="AKU117" s="637"/>
      <c r="AKV117" s="637"/>
      <c r="AKW117" s="637"/>
      <c r="AKX117" s="637"/>
      <c r="AKY117" s="637"/>
      <c r="AKZ117" s="637"/>
      <c r="ALA117" s="637"/>
      <c r="ALB117" s="637"/>
      <c r="ALC117" s="637"/>
      <c r="ALD117" s="637"/>
      <c r="ALE117" s="637"/>
      <c r="ALF117" s="637"/>
      <c r="ALG117" s="637"/>
      <c r="ALH117" s="637"/>
      <c r="ALI117" s="637"/>
      <c r="ALJ117" s="637"/>
      <c r="ALK117" s="637"/>
      <c r="ALL117" s="637"/>
      <c r="ALM117" s="637"/>
      <c r="ALN117" s="637"/>
      <c r="ALO117" s="637"/>
      <c r="ALP117" s="637"/>
      <c r="ALQ117" s="637"/>
      <c r="ALR117" s="637"/>
      <c r="ALS117" s="637"/>
      <c r="ALT117" s="637"/>
      <c r="ALU117" s="637"/>
      <c r="ALV117" s="637"/>
      <c r="ALW117" s="637"/>
      <c r="ALX117" s="637"/>
      <c r="ALY117" s="637"/>
      <c r="ALZ117" s="637"/>
      <c r="AMA117" s="637"/>
      <c r="AMB117" s="637"/>
      <c r="AMC117" s="637"/>
      <c r="AMD117" s="637"/>
      <c r="AME117" s="637"/>
      <c r="AMF117" s="637"/>
      <c r="AMG117" s="637"/>
      <c r="AMH117" s="637"/>
      <c r="AMI117" s="637"/>
      <c r="AMJ117" s="637"/>
    </row>
    <row r="118" spans="1:1024" s="638" customFormat="1" ht="12.75" hidden="1">
      <c r="A118" s="984"/>
      <c r="B118" s="985"/>
      <c r="C118" s="986"/>
      <c r="D118" s="1014"/>
      <c r="E118" s="1015">
        <v>7709</v>
      </c>
      <c r="F118" s="1015"/>
      <c r="G118" s="1017"/>
      <c r="H118" s="1017"/>
      <c r="I118" s="1017"/>
      <c r="J118" s="1017"/>
      <c r="K118" s="1017"/>
      <c r="L118" s="1017"/>
      <c r="M118" s="1017"/>
      <c r="N118" s="1017"/>
      <c r="O118" s="1017"/>
      <c r="P118" s="1017"/>
      <c r="Q118" s="1017"/>
      <c r="R118" s="1019"/>
      <c r="S118" s="637"/>
      <c r="T118" s="637"/>
      <c r="U118" s="637"/>
      <c r="V118" s="637"/>
      <c r="W118" s="637"/>
      <c r="X118" s="637"/>
      <c r="Y118" s="637"/>
      <c r="Z118" s="637"/>
      <c r="AA118" s="637"/>
      <c r="AB118" s="637"/>
      <c r="AC118" s="637"/>
      <c r="AD118" s="637"/>
      <c r="AE118" s="637"/>
      <c r="AF118" s="637"/>
      <c r="AG118" s="637"/>
      <c r="AH118" s="637"/>
      <c r="AI118" s="637"/>
      <c r="AJ118" s="637"/>
      <c r="AK118" s="637"/>
      <c r="AL118" s="637"/>
      <c r="AM118" s="637"/>
      <c r="AN118" s="637"/>
      <c r="AO118" s="637"/>
      <c r="AP118" s="637"/>
      <c r="AQ118" s="637"/>
      <c r="AR118" s="637"/>
      <c r="AS118" s="637"/>
      <c r="AT118" s="637"/>
      <c r="AU118" s="637"/>
      <c r="AV118" s="637"/>
      <c r="AW118" s="637"/>
      <c r="AX118" s="637"/>
      <c r="AY118" s="637"/>
      <c r="AZ118" s="637"/>
      <c r="BA118" s="637"/>
      <c r="BB118" s="637"/>
      <c r="BC118" s="637"/>
      <c r="BD118" s="637"/>
      <c r="BE118" s="637"/>
      <c r="BF118" s="637"/>
      <c r="BG118" s="637"/>
      <c r="BH118" s="637"/>
      <c r="BI118" s="637"/>
      <c r="BJ118" s="637"/>
      <c r="BK118" s="637"/>
      <c r="BL118" s="637"/>
      <c r="BM118" s="637"/>
      <c r="BN118" s="637"/>
      <c r="BO118" s="637"/>
      <c r="BP118" s="637"/>
      <c r="BQ118" s="637"/>
      <c r="BR118" s="637"/>
      <c r="BS118" s="637"/>
      <c r="BT118" s="637"/>
      <c r="BU118" s="637"/>
      <c r="BV118" s="637"/>
      <c r="BW118" s="637"/>
      <c r="BX118" s="637"/>
      <c r="BY118" s="637"/>
      <c r="BZ118" s="637"/>
      <c r="CA118" s="637"/>
      <c r="CB118" s="637"/>
      <c r="CC118" s="637"/>
      <c r="CD118" s="637"/>
      <c r="CE118" s="637"/>
      <c r="CF118" s="637"/>
      <c r="CG118" s="637"/>
      <c r="CH118" s="637"/>
      <c r="CI118" s="637"/>
      <c r="CJ118" s="637"/>
      <c r="CK118" s="637"/>
      <c r="CL118" s="637"/>
      <c r="CM118" s="637"/>
      <c r="CN118" s="637"/>
      <c r="CO118" s="637"/>
      <c r="CP118" s="637"/>
      <c r="CQ118" s="637"/>
      <c r="CR118" s="637"/>
      <c r="CS118" s="637"/>
      <c r="CT118" s="637"/>
      <c r="CU118" s="637"/>
      <c r="CV118" s="637"/>
      <c r="CW118" s="637"/>
      <c r="CX118" s="637"/>
      <c r="CY118" s="637"/>
      <c r="CZ118" s="637"/>
      <c r="DA118" s="637"/>
      <c r="DB118" s="637"/>
      <c r="DC118" s="637"/>
      <c r="DD118" s="637"/>
      <c r="DE118" s="637"/>
      <c r="DF118" s="637"/>
      <c r="DG118" s="637"/>
      <c r="DH118" s="637"/>
      <c r="DI118" s="637"/>
      <c r="DJ118" s="637"/>
      <c r="DK118" s="637"/>
      <c r="DL118" s="637"/>
      <c r="DM118" s="637"/>
      <c r="DN118" s="637"/>
      <c r="DO118" s="637"/>
      <c r="DP118" s="637"/>
      <c r="DQ118" s="637"/>
      <c r="DR118" s="637"/>
      <c r="DS118" s="637"/>
      <c r="DT118" s="637"/>
      <c r="DU118" s="637"/>
      <c r="DV118" s="637"/>
      <c r="DW118" s="637"/>
      <c r="DX118" s="637"/>
      <c r="DY118" s="637"/>
      <c r="DZ118" s="637"/>
      <c r="EA118" s="637"/>
      <c r="EB118" s="637"/>
      <c r="EC118" s="637"/>
      <c r="ED118" s="637"/>
      <c r="EE118" s="637"/>
      <c r="EF118" s="637"/>
      <c r="EG118" s="637"/>
      <c r="EH118" s="637"/>
      <c r="EI118" s="637"/>
      <c r="EJ118" s="637"/>
      <c r="EK118" s="637"/>
      <c r="EL118" s="637"/>
      <c r="EM118" s="637"/>
      <c r="EN118" s="637"/>
      <c r="EO118" s="637"/>
      <c r="EP118" s="637"/>
      <c r="EQ118" s="637"/>
      <c r="ER118" s="637"/>
      <c r="ES118" s="637"/>
      <c r="ET118" s="637"/>
      <c r="EU118" s="637"/>
      <c r="EV118" s="637"/>
      <c r="EW118" s="637"/>
      <c r="EX118" s="637"/>
      <c r="EY118" s="637"/>
      <c r="EZ118" s="637"/>
      <c r="FA118" s="637"/>
      <c r="FB118" s="637"/>
      <c r="FC118" s="637"/>
      <c r="FD118" s="637"/>
      <c r="FE118" s="637"/>
      <c r="FF118" s="637"/>
      <c r="FG118" s="637"/>
      <c r="FH118" s="637"/>
      <c r="FI118" s="637"/>
      <c r="FJ118" s="637"/>
      <c r="FK118" s="637"/>
      <c r="FL118" s="637"/>
      <c r="FM118" s="637"/>
      <c r="FN118" s="637"/>
      <c r="FO118" s="637"/>
      <c r="FP118" s="637"/>
      <c r="FQ118" s="637"/>
      <c r="FR118" s="637"/>
      <c r="FS118" s="637"/>
      <c r="FT118" s="637"/>
      <c r="FU118" s="637"/>
      <c r="FV118" s="637"/>
      <c r="FW118" s="637"/>
      <c r="FX118" s="637"/>
      <c r="FY118" s="637"/>
      <c r="FZ118" s="637"/>
      <c r="GA118" s="637"/>
      <c r="GB118" s="637"/>
      <c r="GC118" s="637"/>
      <c r="GD118" s="637"/>
      <c r="GE118" s="637"/>
      <c r="GF118" s="637"/>
      <c r="GG118" s="637"/>
      <c r="GH118" s="637"/>
      <c r="GI118" s="637"/>
      <c r="GJ118" s="637"/>
      <c r="GK118" s="637"/>
      <c r="GL118" s="637"/>
      <c r="GM118" s="637"/>
      <c r="GN118" s="637"/>
      <c r="GO118" s="637"/>
      <c r="GP118" s="637"/>
      <c r="GQ118" s="637"/>
      <c r="GR118" s="637"/>
      <c r="GS118" s="637"/>
      <c r="GT118" s="637"/>
      <c r="GU118" s="637"/>
      <c r="GV118" s="637"/>
      <c r="GW118" s="637"/>
      <c r="GX118" s="637"/>
      <c r="GY118" s="637"/>
      <c r="GZ118" s="637"/>
      <c r="HA118" s="637"/>
      <c r="HB118" s="637"/>
      <c r="HC118" s="637"/>
      <c r="HD118" s="637"/>
      <c r="HE118" s="637"/>
      <c r="HF118" s="637"/>
      <c r="HG118" s="637"/>
      <c r="HH118" s="637"/>
      <c r="HI118" s="637"/>
      <c r="HJ118" s="637"/>
      <c r="HK118" s="637"/>
      <c r="HL118" s="637"/>
      <c r="HM118" s="637"/>
      <c r="HN118" s="637"/>
      <c r="HO118" s="637"/>
      <c r="HP118" s="637"/>
      <c r="HQ118" s="637"/>
      <c r="HR118" s="637"/>
      <c r="HS118" s="637"/>
      <c r="HT118" s="637"/>
      <c r="HU118" s="637"/>
      <c r="HV118" s="637"/>
      <c r="HW118" s="637"/>
      <c r="HX118" s="637"/>
      <c r="HY118" s="637"/>
      <c r="HZ118" s="637"/>
      <c r="IA118" s="637"/>
      <c r="IB118" s="637"/>
      <c r="IC118" s="637"/>
      <c r="ID118" s="637"/>
      <c r="IE118" s="637"/>
      <c r="IF118" s="637"/>
      <c r="IG118" s="637"/>
      <c r="IH118" s="637"/>
      <c r="II118" s="637"/>
      <c r="IJ118" s="637"/>
      <c r="IK118" s="637"/>
      <c r="IL118" s="637"/>
      <c r="IM118" s="637"/>
      <c r="IN118" s="637"/>
      <c r="IO118" s="637"/>
      <c r="IP118" s="637"/>
      <c r="IQ118" s="637"/>
      <c r="IR118" s="637"/>
      <c r="IS118" s="637"/>
      <c r="IT118" s="637"/>
      <c r="IU118" s="637"/>
      <c r="IV118" s="637"/>
      <c r="IW118" s="637"/>
      <c r="IX118" s="637"/>
      <c r="IY118" s="637"/>
      <c r="IZ118" s="637"/>
      <c r="JA118" s="637"/>
      <c r="JB118" s="637"/>
      <c r="JC118" s="637"/>
      <c r="JD118" s="637"/>
      <c r="JE118" s="637"/>
      <c r="JF118" s="637"/>
      <c r="JG118" s="637"/>
      <c r="JH118" s="637"/>
      <c r="JI118" s="637"/>
      <c r="JJ118" s="637"/>
      <c r="JK118" s="637"/>
      <c r="JL118" s="637"/>
      <c r="JM118" s="637"/>
      <c r="JN118" s="637"/>
      <c r="JO118" s="637"/>
      <c r="JP118" s="637"/>
      <c r="JQ118" s="637"/>
      <c r="JR118" s="637"/>
      <c r="JS118" s="637"/>
      <c r="JT118" s="637"/>
      <c r="JU118" s="637"/>
      <c r="JV118" s="637"/>
      <c r="JW118" s="637"/>
      <c r="JX118" s="637"/>
      <c r="JY118" s="637"/>
      <c r="JZ118" s="637"/>
      <c r="KA118" s="637"/>
      <c r="KB118" s="637"/>
      <c r="KC118" s="637"/>
      <c r="KD118" s="637"/>
      <c r="KE118" s="637"/>
      <c r="KF118" s="637"/>
      <c r="KG118" s="637"/>
      <c r="KH118" s="637"/>
      <c r="KI118" s="637"/>
      <c r="KJ118" s="637"/>
      <c r="KK118" s="637"/>
      <c r="KL118" s="637"/>
      <c r="KM118" s="637"/>
      <c r="KN118" s="637"/>
      <c r="KO118" s="637"/>
      <c r="KP118" s="637"/>
      <c r="KQ118" s="637"/>
      <c r="KR118" s="637"/>
      <c r="KS118" s="637"/>
      <c r="KT118" s="637"/>
      <c r="KU118" s="637"/>
      <c r="KV118" s="637"/>
      <c r="KW118" s="637"/>
      <c r="KX118" s="637"/>
      <c r="KY118" s="637"/>
      <c r="KZ118" s="637"/>
      <c r="LA118" s="637"/>
      <c r="LB118" s="637"/>
      <c r="LC118" s="637"/>
      <c r="LD118" s="637"/>
      <c r="LE118" s="637"/>
      <c r="LF118" s="637"/>
      <c r="LG118" s="637"/>
      <c r="LH118" s="637"/>
      <c r="LI118" s="637"/>
      <c r="LJ118" s="637"/>
      <c r="LK118" s="637"/>
      <c r="LL118" s="637"/>
      <c r="LM118" s="637"/>
      <c r="LN118" s="637"/>
      <c r="LO118" s="637"/>
      <c r="LP118" s="637"/>
      <c r="LQ118" s="637"/>
      <c r="LR118" s="637"/>
      <c r="LS118" s="637"/>
      <c r="LT118" s="637"/>
      <c r="LU118" s="637"/>
      <c r="LV118" s="637"/>
      <c r="LW118" s="637"/>
      <c r="LX118" s="637"/>
      <c r="LY118" s="637"/>
      <c r="LZ118" s="637"/>
      <c r="MA118" s="637"/>
      <c r="MB118" s="637"/>
      <c r="MC118" s="637"/>
      <c r="MD118" s="637"/>
      <c r="ME118" s="637"/>
      <c r="MF118" s="637"/>
      <c r="MG118" s="637"/>
      <c r="MH118" s="637"/>
      <c r="MI118" s="637"/>
      <c r="MJ118" s="637"/>
      <c r="MK118" s="637"/>
      <c r="ML118" s="637"/>
      <c r="MM118" s="637"/>
      <c r="MN118" s="637"/>
      <c r="MO118" s="637"/>
      <c r="MP118" s="637"/>
      <c r="MQ118" s="637"/>
      <c r="MR118" s="637"/>
      <c r="MS118" s="637"/>
      <c r="MT118" s="637"/>
      <c r="MU118" s="637"/>
      <c r="MV118" s="637"/>
      <c r="MW118" s="637"/>
      <c r="MX118" s="637"/>
      <c r="MY118" s="637"/>
      <c r="MZ118" s="637"/>
      <c r="NA118" s="637"/>
      <c r="NB118" s="637"/>
      <c r="NC118" s="637"/>
      <c r="ND118" s="637"/>
      <c r="NE118" s="637"/>
      <c r="NF118" s="637"/>
      <c r="NG118" s="637"/>
      <c r="NH118" s="637"/>
      <c r="NI118" s="637"/>
      <c r="NJ118" s="637"/>
      <c r="NK118" s="637"/>
      <c r="NL118" s="637"/>
      <c r="NM118" s="637"/>
      <c r="NN118" s="637"/>
      <c r="NO118" s="637"/>
      <c r="NP118" s="637"/>
      <c r="NQ118" s="637"/>
      <c r="NR118" s="637"/>
      <c r="NS118" s="637"/>
      <c r="NT118" s="637"/>
      <c r="NU118" s="637"/>
      <c r="NV118" s="637"/>
      <c r="NW118" s="637"/>
      <c r="NX118" s="637"/>
      <c r="NY118" s="637"/>
      <c r="NZ118" s="637"/>
      <c r="OA118" s="637"/>
      <c r="OB118" s="637"/>
      <c r="OC118" s="637"/>
      <c r="OD118" s="637"/>
      <c r="OE118" s="637"/>
      <c r="OF118" s="637"/>
      <c r="OG118" s="637"/>
      <c r="OH118" s="637"/>
      <c r="OI118" s="637"/>
      <c r="OJ118" s="637"/>
      <c r="OK118" s="637"/>
      <c r="OL118" s="637"/>
      <c r="OM118" s="637"/>
      <c r="ON118" s="637"/>
      <c r="OO118" s="637"/>
      <c r="OP118" s="637"/>
      <c r="OQ118" s="637"/>
      <c r="OR118" s="637"/>
      <c r="OS118" s="637"/>
      <c r="OT118" s="637"/>
      <c r="OU118" s="637"/>
      <c r="OV118" s="637"/>
      <c r="OW118" s="637"/>
      <c r="OX118" s="637"/>
      <c r="OY118" s="637"/>
      <c r="OZ118" s="637"/>
      <c r="PA118" s="637"/>
      <c r="PB118" s="637"/>
      <c r="PC118" s="637"/>
      <c r="PD118" s="637"/>
      <c r="PE118" s="637"/>
      <c r="PF118" s="637"/>
      <c r="PG118" s="637"/>
      <c r="PH118" s="637"/>
      <c r="PI118" s="637"/>
      <c r="PJ118" s="637"/>
      <c r="PK118" s="637"/>
      <c r="PL118" s="637"/>
      <c r="PM118" s="637"/>
      <c r="PN118" s="637"/>
      <c r="PO118" s="637"/>
      <c r="PP118" s="637"/>
      <c r="PQ118" s="637"/>
      <c r="PR118" s="637"/>
      <c r="PS118" s="637"/>
      <c r="PT118" s="637"/>
      <c r="PU118" s="637"/>
      <c r="PV118" s="637"/>
      <c r="PW118" s="637"/>
      <c r="PX118" s="637"/>
      <c r="PY118" s="637"/>
      <c r="PZ118" s="637"/>
      <c r="QA118" s="637"/>
      <c r="QB118" s="637"/>
      <c r="QC118" s="637"/>
      <c r="QD118" s="637"/>
      <c r="QE118" s="637"/>
      <c r="QF118" s="637"/>
      <c r="QG118" s="637"/>
      <c r="QH118" s="637"/>
      <c r="QI118" s="637"/>
      <c r="QJ118" s="637"/>
      <c r="QK118" s="637"/>
      <c r="QL118" s="637"/>
      <c r="QM118" s="637"/>
      <c r="QN118" s="637"/>
      <c r="QO118" s="637"/>
      <c r="QP118" s="637"/>
      <c r="QQ118" s="637"/>
      <c r="QR118" s="637"/>
      <c r="QS118" s="637"/>
      <c r="QT118" s="637"/>
      <c r="QU118" s="637"/>
      <c r="QV118" s="637"/>
      <c r="QW118" s="637"/>
      <c r="QX118" s="637"/>
      <c r="QY118" s="637"/>
      <c r="QZ118" s="637"/>
      <c r="RA118" s="637"/>
      <c r="RB118" s="637"/>
      <c r="RC118" s="637"/>
      <c r="RD118" s="637"/>
      <c r="RE118" s="637"/>
      <c r="RF118" s="637"/>
      <c r="RG118" s="637"/>
      <c r="RH118" s="637"/>
      <c r="RI118" s="637"/>
      <c r="RJ118" s="637"/>
      <c r="RK118" s="637"/>
      <c r="RL118" s="637"/>
      <c r="RM118" s="637"/>
      <c r="RN118" s="637"/>
      <c r="RO118" s="637"/>
      <c r="RP118" s="637"/>
      <c r="RQ118" s="637"/>
      <c r="RR118" s="637"/>
      <c r="RS118" s="637"/>
      <c r="RT118" s="637"/>
      <c r="RU118" s="637"/>
      <c r="RV118" s="637"/>
      <c r="RW118" s="637"/>
      <c r="RX118" s="637"/>
      <c r="RY118" s="637"/>
      <c r="RZ118" s="637"/>
      <c r="SA118" s="637"/>
      <c r="SB118" s="637"/>
      <c r="SC118" s="637"/>
      <c r="SD118" s="637"/>
      <c r="SE118" s="637"/>
      <c r="SF118" s="637"/>
      <c r="SG118" s="637"/>
      <c r="SH118" s="637"/>
      <c r="SI118" s="637"/>
      <c r="SJ118" s="637"/>
      <c r="SK118" s="637"/>
      <c r="SL118" s="637"/>
      <c r="SM118" s="637"/>
      <c r="SN118" s="637"/>
      <c r="SO118" s="637"/>
      <c r="SP118" s="637"/>
      <c r="SQ118" s="637"/>
      <c r="SR118" s="637"/>
      <c r="SS118" s="637"/>
      <c r="ST118" s="637"/>
      <c r="SU118" s="637"/>
      <c r="SV118" s="637"/>
      <c r="SW118" s="637"/>
      <c r="SX118" s="637"/>
      <c r="SY118" s="637"/>
      <c r="SZ118" s="637"/>
      <c r="TA118" s="637"/>
      <c r="TB118" s="637"/>
      <c r="TC118" s="637"/>
      <c r="TD118" s="637"/>
      <c r="TE118" s="637"/>
      <c r="TF118" s="637"/>
      <c r="TG118" s="637"/>
      <c r="TH118" s="637"/>
      <c r="TI118" s="637"/>
      <c r="TJ118" s="637"/>
      <c r="TK118" s="637"/>
      <c r="TL118" s="637"/>
      <c r="TM118" s="637"/>
      <c r="TN118" s="637"/>
      <c r="TO118" s="637"/>
      <c r="TP118" s="637"/>
      <c r="TQ118" s="637"/>
      <c r="TR118" s="637"/>
      <c r="TS118" s="637"/>
      <c r="TT118" s="637"/>
      <c r="TU118" s="637"/>
      <c r="TV118" s="637"/>
      <c r="TW118" s="637"/>
      <c r="TX118" s="637"/>
      <c r="TY118" s="637"/>
      <c r="TZ118" s="637"/>
      <c r="UA118" s="637"/>
      <c r="UB118" s="637"/>
      <c r="UC118" s="637"/>
      <c r="UD118" s="637"/>
      <c r="UE118" s="637"/>
      <c r="UF118" s="637"/>
      <c r="UG118" s="637"/>
      <c r="UH118" s="637"/>
      <c r="UI118" s="637"/>
      <c r="UJ118" s="637"/>
      <c r="UK118" s="637"/>
      <c r="UL118" s="637"/>
      <c r="UM118" s="637"/>
      <c r="UN118" s="637"/>
      <c r="UO118" s="637"/>
      <c r="UP118" s="637"/>
      <c r="UQ118" s="637"/>
      <c r="UR118" s="637"/>
      <c r="US118" s="637"/>
      <c r="UT118" s="637"/>
      <c r="UU118" s="637"/>
      <c r="UV118" s="637"/>
      <c r="UW118" s="637"/>
      <c r="UX118" s="637"/>
      <c r="UY118" s="637"/>
      <c r="UZ118" s="637"/>
      <c r="VA118" s="637"/>
      <c r="VB118" s="637"/>
      <c r="VC118" s="637"/>
      <c r="VD118" s="637"/>
      <c r="VE118" s="637"/>
      <c r="VF118" s="637"/>
      <c r="VG118" s="637"/>
      <c r="VH118" s="637"/>
      <c r="VI118" s="637"/>
      <c r="VJ118" s="637"/>
      <c r="VK118" s="637"/>
      <c r="VL118" s="637"/>
      <c r="VM118" s="637"/>
      <c r="VN118" s="637"/>
      <c r="VO118" s="637"/>
      <c r="VP118" s="637"/>
      <c r="VQ118" s="637"/>
      <c r="VR118" s="637"/>
      <c r="VS118" s="637"/>
      <c r="VT118" s="637"/>
      <c r="VU118" s="637"/>
      <c r="VV118" s="637"/>
      <c r="VW118" s="637"/>
      <c r="VX118" s="637"/>
      <c r="VY118" s="637"/>
      <c r="VZ118" s="637"/>
      <c r="WA118" s="637"/>
      <c r="WB118" s="637"/>
      <c r="WC118" s="637"/>
      <c r="WD118" s="637"/>
      <c r="WE118" s="637"/>
      <c r="WF118" s="637"/>
      <c r="WG118" s="637"/>
      <c r="WH118" s="637"/>
      <c r="WI118" s="637"/>
      <c r="WJ118" s="637"/>
      <c r="WK118" s="637"/>
      <c r="WL118" s="637"/>
      <c r="WM118" s="637"/>
      <c r="WN118" s="637"/>
      <c r="WO118" s="637"/>
      <c r="WP118" s="637"/>
      <c r="WQ118" s="637"/>
      <c r="WR118" s="637"/>
      <c r="WS118" s="637"/>
      <c r="WT118" s="637"/>
      <c r="WU118" s="637"/>
      <c r="WV118" s="637"/>
      <c r="WW118" s="637"/>
      <c r="WX118" s="637"/>
      <c r="WY118" s="637"/>
      <c r="WZ118" s="637"/>
      <c r="XA118" s="637"/>
      <c r="XB118" s="637"/>
      <c r="XC118" s="637"/>
      <c r="XD118" s="637"/>
      <c r="XE118" s="637"/>
      <c r="XF118" s="637"/>
      <c r="XG118" s="637"/>
      <c r="XH118" s="637"/>
      <c r="XI118" s="637"/>
      <c r="XJ118" s="637"/>
      <c r="XK118" s="637"/>
      <c r="XL118" s="637"/>
      <c r="XM118" s="637"/>
      <c r="XN118" s="637"/>
      <c r="XO118" s="637"/>
      <c r="XP118" s="637"/>
      <c r="XQ118" s="637"/>
      <c r="XR118" s="637"/>
      <c r="XS118" s="637"/>
      <c r="XT118" s="637"/>
      <c r="XU118" s="637"/>
      <c r="XV118" s="637"/>
      <c r="XW118" s="637"/>
      <c r="XX118" s="637"/>
      <c r="XY118" s="637"/>
      <c r="XZ118" s="637"/>
      <c r="YA118" s="637"/>
      <c r="YB118" s="637"/>
      <c r="YC118" s="637"/>
      <c r="YD118" s="637"/>
      <c r="YE118" s="637"/>
      <c r="YF118" s="637"/>
      <c r="YG118" s="637"/>
      <c r="YH118" s="637"/>
      <c r="YI118" s="637"/>
      <c r="YJ118" s="637"/>
      <c r="YK118" s="637"/>
      <c r="YL118" s="637"/>
      <c r="YM118" s="637"/>
      <c r="YN118" s="637"/>
      <c r="YO118" s="637"/>
      <c r="YP118" s="637"/>
      <c r="YQ118" s="637"/>
      <c r="YR118" s="637"/>
      <c r="YS118" s="637"/>
      <c r="YT118" s="637"/>
      <c r="YU118" s="637"/>
      <c r="YV118" s="637"/>
      <c r="YW118" s="637"/>
      <c r="YX118" s="637"/>
      <c r="YY118" s="637"/>
      <c r="YZ118" s="637"/>
      <c r="ZA118" s="637"/>
      <c r="ZB118" s="637"/>
      <c r="ZC118" s="637"/>
      <c r="ZD118" s="637"/>
      <c r="ZE118" s="637"/>
      <c r="ZF118" s="637"/>
      <c r="ZG118" s="637"/>
      <c r="ZH118" s="637"/>
      <c r="ZI118" s="637"/>
      <c r="ZJ118" s="637"/>
      <c r="ZK118" s="637"/>
      <c r="ZL118" s="637"/>
      <c r="ZM118" s="637"/>
      <c r="ZN118" s="637"/>
      <c r="ZO118" s="637"/>
      <c r="ZP118" s="637"/>
      <c r="ZQ118" s="637"/>
      <c r="ZR118" s="637"/>
      <c r="ZS118" s="637"/>
      <c r="ZT118" s="637"/>
      <c r="ZU118" s="637"/>
      <c r="ZV118" s="637"/>
      <c r="ZW118" s="637"/>
      <c r="ZX118" s="637"/>
      <c r="ZY118" s="637"/>
      <c r="ZZ118" s="637"/>
      <c r="AAA118" s="637"/>
      <c r="AAB118" s="637"/>
      <c r="AAC118" s="637"/>
      <c r="AAD118" s="637"/>
      <c r="AAE118" s="637"/>
      <c r="AAF118" s="637"/>
      <c r="AAG118" s="637"/>
      <c r="AAH118" s="637"/>
      <c r="AAI118" s="637"/>
      <c r="AAJ118" s="637"/>
      <c r="AAK118" s="637"/>
      <c r="AAL118" s="637"/>
      <c r="AAM118" s="637"/>
      <c r="AAN118" s="637"/>
      <c r="AAO118" s="637"/>
      <c r="AAP118" s="637"/>
      <c r="AAQ118" s="637"/>
      <c r="AAR118" s="637"/>
      <c r="AAS118" s="637"/>
      <c r="AAT118" s="637"/>
      <c r="AAU118" s="637"/>
      <c r="AAV118" s="637"/>
      <c r="AAW118" s="637"/>
      <c r="AAX118" s="637"/>
      <c r="AAY118" s="637"/>
      <c r="AAZ118" s="637"/>
      <c r="ABA118" s="637"/>
      <c r="ABB118" s="637"/>
      <c r="ABC118" s="637"/>
      <c r="ABD118" s="637"/>
      <c r="ABE118" s="637"/>
      <c r="ABF118" s="637"/>
      <c r="ABG118" s="637"/>
      <c r="ABH118" s="637"/>
      <c r="ABI118" s="637"/>
      <c r="ABJ118" s="637"/>
      <c r="ABK118" s="637"/>
      <c r="ABL118" s="637"/>
      <c r="ABM118" s="637"/>
      <c r="ABN118" s="637"/>
      <c r="ABO118" s="637"/>
      <c r="ABP118" s="637"/>
      <c r="ABQ118" s="637"/>
      <c r="ABR118" s="637"/>
      <c r="ABS118" s="637"/>
      <c r="ABT118" s="637"/>
      <c r="ABU118" s="637"/>
      <c r="ABV118" s="637"/>
      <c r="ABW118" s="637"/>
      <c r="ABX118" s="637"/>
      <c r="ABY118" s="637"/>
      <c r="ABZ118" s="637"/>
      <c r="ACA118" s="637"/>
      <c r="ACB118" s="637"/>
      <c r="ACC118" s="637"/>
      <c r="ACD118" s="637"/>
      <c r="ACE118" s="637"/>
      <c r="ACF118" s="637"/>
      <c r="ACG118" s="637"/>
      <c r="ACH118" s="637"/>
      <c r="ACI118" s="637"/>
      <c r="ACJ118" s="637"/>
      <c r="ACK118" s="637"/>
      <c r="ACL118" s="637"/>
      <c r="ACM118" s="637"/>
      <c r="ACN118" s="637"/>
      <c r="ACO118" s="637"/>
      <c r="ACP118" s="637"/>
      <c r="ACQ118" s="637"/>
      <c r="ACR118" s="637"/>
      <c r="ACS118" s="637"/>
      <c r="ACT118" s="637"/>
      <c r="ACU118" s="637"/>
      <c r="ACV118" s="637"/>
      <c r="ACW118" s="637"/>
      <c r="ACX118" s="637"/>
      <c r="ACY118" s="637"/>
      <c r="ACZ118" s="637"/>
      <c r="ADA118" s="637"/>
      <c r="ADB118" s="637"/>
      <c r="ADC118" s="637"/>
      <c r="ADD118" s="637"/>
      <c r="ADE118" s="637"/>
      <c r="ADF118" s="637"/>
      <c r="ADG118" s="637"/>
      <c r="ADH118" s="637"/>
      <c r="ADI118" s="637"/>
      <c r="ADJ118" s="637"/>
      <c r="ADK118" s="637"/>
      <c r="ADL118" s="637"/>
      <c r="ADM118" s="637"/>
      <c r="ADN118" s="637"/>
      <c r="ADO118" s="637"/>
      <c r="ADP118" s="637"/>
      <c r="ADQ118" s="637"/>
      <c r="ADR118" s="637"/>
      <c r="ADS118" s="637"/>
      <c r="ADT118" s="637"/>
      <c r="ADU118" s="637"/>
      <c r="ADV118" s="637"/>
      <c r="ADW118" s="637"/>
      <c r="ADX118" s="637"/>
      <c r="ADY118" s="637"/>
      <c r="ADZ118" s="637"/>
      <c r="AEA118" s="637"/>
      <c r="AEB118" s="637"/>
      <c r="AEC118" s="637"/>
      <c r="AED118" s="637"/>
      <c r="AEE118" s="637"/>
      <c r="AEF118" s="637"/>
      <c r="AEG118" s="637"/>
      <c r="AEH118" s="637"/>
      <c r="AEI118" s="637"/>
      <c r="AEJ118" s="637"/>
      <c r="AEK118" s="637"/>
      <c r="AEL118" s="637"/>
      <c r="AEM118" s="637"/>
      <c r="AEN118" s="637"/>
      <c r="AEO118" s="637"/>
      <c r="AEP118" s="637"/>
      <c r="AEQ118" s="637"/>
      <c r="AER118" s="637"/>
      <c r="AES118" s="637"/>
      <c r="AET118" s="637"/>
      <c r="AEU118" s="637"/>
      <c r="AEV118" s="637"/>
      <c r="AEW118" s="637"/>
      <c r="AEX118" s="637"/>
      <c r="AEY118" s="637"/>
      <c r="AEZ118" s="637"/>
      <c r="AFA118" s="637"/>
      <c r="AFB118" s="637"/>
      <c r="AFC118" s="637"/>
      <c r="AFD118" s="637"/>
      <c r="AFE118" s="637"/>
      <c r="AFF118" s="637"/>
      <c r="AFG118" s="637"/>
      <c r="AFH118" s="637"/>
      <c r="AFI118" s="637"/>
      <c r="AFJ118" s="637"/>
      <c r="AFK118" s="637"/>
      <c r="AFL118" s="637"/>
      <c r="AFM118" s="637"/>
      <c r="AFN118" s="637"/>
      <c r="AFO118" s="637"/>
      <c r="AFP118" s="637"/>
      <c r="AFQ118" s="637"/>
      <c r="AFR118" s="637"/>
      <c r="AFS118" s="637"/>
      <c r="AFT118" s="637"/>
      <c r="AFU118" s="637"/>
      <c r="AFV118" s="637"/>
      <c r="AFW118" s="637"/>
      <c r="AFX118" s="637"/>
      <c r="AFY118" s="637"/>
      <c r="AFZ118" s="637"/>
      <c r="AGA118" s="637"/>
      <c r="AGB118" s="637"/>
      <c r="AGC118" s="637"/>
      <c r="AGD118" s="637"/>
      <c r="AGE118" s="637"/>
      <c r="AGF118" s="637"/>
      <c r="AGG118" s="637"/>
      <c r="AGH118" s="637"/>
      <c r="AGI118" s="637"/>
      <c r="AGJ118" s="637"/>
      <c r="AGK118" s="637"/>
      <c r="AGL118" s="637"/>
      <c r="AGM118" s="637"/>
      <c r="AGN118" s="637"/>
      <c r="AGO118" s="637"/>
      <c r="AGP118" s="637"/>
      <c r="AGQ118" s="637"/>
      <c r="AGR118" s="637"/>
      <c r="AGS118" s="637"/>
      <c r="AGT118" s="637"/>
      <c r="AGU118" s="637"/>
      <c r="AGV118" s="637"/>
      <c r="AGW118" s="637"/>
      <c r="AGX118" s="637"/>
      <c r="AGY118" s="637"/>
      <c r="AGZ118" s="637"/>
      <c r="AHA118" s="637"/>
      <c r="AHB118" s="637"/>
      <c r="AHC118" s="637"/>
      <c r="AHD118" s="637"/>
      <c r="AHE118" s="637"/>
      <c r="AHF118" s="637"/>
      <c r="AHG118" s="637"/>
      <c r="AHH118" s="637"/>
      <c r="AHI118" s="637"/>
      <c r="AHJ118" s="637"/>
      <c r="AHK118" s="637"/>
      <c r="AHL118" s="637"/>
      <c r="AHM118" s="637"/>
      <c r="AHN118" s="637"/>
      <c r="AHO118" s="637"/>
      <c r="AHP118" s="637"/>
      <c r="AHQ118" s="637"/>
      <c r="AHR118" s="637"/>
      <c r="AHS118" s="637"/>
      <c r="AHT118" s="637"/>
      <c r="AHU118" s="637"/>
      <c r="AHV118" s="637"/>
      <c r="AHW118" s="637"/>
      <c r="AHX118" s="637"/>
      <c r="AHY118" s="637"/>
      <c r="AHZ118" s="637"/>
      <c r="AIA118" s="637"/>
      <c r="AIB118" s="637"/>
      <c r="AIC118" s="637"/>
      <c r="AID118" s="637"/>
      <c r="AIE118" s="637"/>
      <c r="AIF118" s="637"/>
      <c r="AIG118" s="637"/>
      <c r="AIH118" s="637"/>
      <c r="AII118" s="637"/>
      <c r="AIJ118" s="637"/>
      <c r="AIK118" s="637"/>
      <c r="AIL118" s="637"/>
      <c r="AIM118" s="637"/>
      <c r="AIN118" s="637"/>
      <c r="AIO118" s="637"/>
      <c r="AIP118" s="637"/>
      <c r="AIQ118" s="637"/>
      <c r="AIR118" s="637"/>
      <c r="AIS118" s="637"/>
      <c r="AIT118" s="637"/>
      <c r="AIU118" s="637"/>
      <c r="AIV118" s="637"/>
      <c r="AIW118" s="637"/>
      <c r="AIX118" s="637"/>
      <c r="AIY118" s="637"/>
      <c r="AIZ118" s="637"/>
      <c r="AJA118" s="637"/>
      <c r="AJB118" s="637"/>
      <c r="AJC118" s="637"/>
      <c r="AJD118" s="637"/>
      <c r="AJE118" s="637"/>
      <c r="AJF118" s="637"/>
      <c r="AJG118" s="637"/>
      <c r="AJH118" s="637"/>
      <c r="AJI118" s="637"/>
      <c r="AJJ118" s="637"/>
      <c r="AJK118" s="637"/>
      <c r="AJL118" s="637"/>
      <c r="AJM118" s="637"/>
      <c r="AJN118" s="637"/>
      <c r="AJO118" s="637"/>
      <c r="AJP118" s="637"/>
      <c r="AJQ118" s="637"/>
      <c r="AJR118" s="637"/>
      <c r="AJS118" s="637"/>
      <c r="AJT118" s="637"/>
      <c r="AJU118" s="637"/>
      <c r="AJV118" s="637"/>
      <c r="AJW118" s="637"/>
      <c r="AJX118" s="637"/>
      <c r="AJY118" s="637"/>
      <c r="AJZ118" s="637"/>
      <c r="AKA118" s="637"/>
      <c r="AKB118" s="637"/>
      <c r="AKC118" s="637"/>
      <c r="AKD118" s="637"/>
      <c r="AKE118" s="637"/>
      <c r="AKF118" s="637"/>
      <c r="AKG118" s="637"/>
      <c r="AKH118" s="637"/>
      <c r="AKI118" s="637"/>
      <c r="AKJ118" s="637"/>
      <c r="AKK118" s="637"/>
      <c r="AKL118" s="637"/>
      <c r="AKM118" s="637"/>
      <c r="AKN118" s="637"/>
      <c r="AKO118" s="637"/>
      <c r="AKP118" s="637"/>
      <c r="AKQ118" s="637"/>
      <c r="AKR118" s="637"/>
      <c r="AKS118" s="637"/>
      <c r="AKT118" s="637"/>
      <c r="AKU118" s="637"/>
      <c r="AKV118" s="637"/>
      <c r="AKW118" s="637"/>
      <c r="AKX118" s="637"/>
      <c r="AKY118" s="637"/>
      <c r="AKZ118" s="637"/>
      <c r="ALA118" s="637"/>
      <c r="ALB118" s="637"/>
      <c r="ALC118" s="637"/>
      <c r="ALD118" s="637"/>
      <c r="ALE118" s="637"/>
      <c r="ALF118" s="637"/>
      <c r="ALG118" s="637"/>
      <c r="ALH118" s="637"/>
      <c r="ALI118" s="637"/>
      <c r="ALJ118" s="637"/>
      <c r="ALK118" s="637"/>
      <c r="ALL118" s="637"/>
      <c r="ALM118" s="637"/>
      <c r="ALN118" s="637"/>
      <c r="ALO118" s="637"/>
      <c r="ALP118" s="637"/>
      <c r="ALQ118" s="637"/>
      <c r="ALR118" s="637"/>
      <c r="ALS118" s="637"/>
      <c r="ALT118" s="637"/>
      <c r="ALU118" s="637"/>
      <c r="ALV118" s="637"/>
      <c r="ALW118" s="637"/>
      <c r="ALX118" s="637"/>
      <c r="ALY118" s="637"/>
      <c r="ALZ118" s="637"/>
      <c r="AMA118" s="637"/>
      <c r="AMB118" s="637"/>
      <c r="AMC118" s="637"/>
      <c r="AMD118" s="637"/>
      <c r="AME118" s="637"/>
      <c r="AMF118" s="637"/>
      <c r="AMG118" s="637"/>
      <c r="AMH118" s="637"/>
      <c r="AMI118" s="637"/>
      <c r="AMJ118" s="637"/>
    </row>
    <row r="119" spans="1:1024" s="638" customFormat="1" ht="12.75">
      <c r="A119" s="1094" t="s">
        <v>158</v>
      </c>
      <c r="B119" s="1094"/>
      <c r="C119" s="1094"/>
      <c r="D119" s="981" t="s">
        <v>4</v>
      </c>
      <c r="E119" s="982">
        <f aca="true" t="shared" si="14" ref="E119:R121">E107+E111+E115</f>
        <v>11066</v>
      </c>
      <c r="F119" s="982">
        <f t="shared" si="14"/>
        <v>11066</v>
      </c>
      <c r="G119" s="982">
        <f t="shared" si="14"/>
        <v>7403</v>
      </c>
      <c r="H119" s="982">
        <f t="shared" si="14"/>
        <v>1810</v>
      </c>
      <c r="I119" s="982">
        <f t="shared" si="14"/>
        <v>1726</v>
      </c>
      <c r="J119" s="982">
        <f t="shared" si="14"/>
        <v>0</v>
      </c>
      <c r="K119" s="982">
        <f t="shared" si="14"/>
        <v>0</v>
      </c>
      <c r="L119" s="982">
        <f t="shared" si="14"/>
        <v>0</v>
      </c>
      <c r="M119" s="982">
        <f t="shared" si="14"/>
        <v>0</v>
      </c>
      <c r="N119" s="982">
        <f t="shared" si="14"/>
        <v>127</v>
      </c>
      <c r="O119" s="982">
        <f t="shared" si="14"/>
        <v>0</v>
      </c>
      <c r="P119" s="982">
        <f t="shared" si="14"/>
        <v>0</v>
      </c>
      <c r="Q119" s="982">
        <f t="shared" si="14"/>
        <v>0</v>
      </c>
      <c r="R119" s="982">
        <f t="shared" si="14"/>
        <v>0</v>
      </c>
      <c r="S119" s="637"/>
      <c r="T119" s="637"/>
      <c r="U119" s="637"/>
      <c r="V119" s="637"/>
      <c r="W119" s="637"/>
      <c r="X119" s="637"/>
      <c r="Y119" s="637"/>
      <c r="Z119" s="637"/>
      <c r="AA119" s="637"/>
      <c r="AB119" s="637"/>
      <c r="AC119" s="637"/>
      <c r="AD119" s="637"/>
      <c r="AE119" s="637"/>
      <c r="AF119" s="637"/>
      <c r="AG119" s="637"/>
      <c r="AH119" s="637"/>
      <c r="AI119" s="637"/>
      <c r="AJ119" s="637"/>
      <c r="AK119" s="637"/>
      <c r="AL119" s="637"/>
      <c r="AM119" s="637"/>
      <c r="AN119" s="637"/>
      <c r="AO119" s="637"/>
      <c r="AP119" s="637"/>
      <c r="AQ119" s="637"/>
      <c r="AR119" s="637"/>
      <c r="AS119" s="637"/>
      <c r="AT119" s="637"/>
      <c r="AU119" s="637"/>
      <c r="AV119" s="637"/>
      <c r="AW119" s="637"/>
      <c r="AX119" s="637"/>
      <c r="AY119" s="637"/>
      <c r="AZ119" s="637"/>
      <c r="BA119" s="637"/>
      <c r="BB119" s="637"/>
      <c r="BC119" s="637"/>
      <c r="BD119" s="637"/>
      <c r="BE119" s="637"/>
      <c r="BF119" s="637"/>
      <c r="BG119" s="637"/>
      <c r="BH119" s="637"/>
      <c r="BI119" s="637"/>
      <c r="BJ119" s="637"/>
      <c r="BK119" s="637"/>
      <c r="BL119" s="637"/>
      <c r="BM119" s="637"/>
      <c r="BN119" s="637"/>
      <c r="BO119" s="637"/>
      <c r="BP119" s="637"/>
      <c r="BQ119" s="637"/>
      <c r="BR119" s="637"/>
      <c r="BS119" s="637"/>
      <c r="BT119" s="637"/>
      <c r="BU119" s="637"/>
      <c r="BV119" s="637"/>
      <c r="BW119" s="637"/>
      <c r="BX119" s="637"/>
      <c r="BY119" s="637"/>
      <c r="BZ119" s="637"/>
      <c r="CA119" s="637"/>
      <c r="CB119" s="637"/>
      <c r="CC119" s="637"/>
      <c r="CD119" s="637"/>
      <c r="CE119" s="637"/>
      <c r="CF119" s="637"/>
      <c r="CG119" s="637"/>
      <c r="CH119" s="637"/>
      <c r="CI119" s="637"/>
      <c r="CJ119" s="637"/>
      <c r="CK119" s="637"/>
      <c r="CL119" s="637"/>
      <c r="CM119" s="637"/>
      <c r="CN119" s="637"/>
      <c r="CO119" s="637"/>
      <c r="CP119" s="637"/>
      <c r="CQ119" s="637"/>
      <c r="CR119" s="637"/>
      <c r="CS119" s="637"/>
      <c r="CT119" s="637"/>
      <c r="CU119" s="637"/>
      <c r="CV119" s="637"/>
      <c r="CW119" s="637"/>
      <c r="CX119" s="637"/>
      <c r="CY119" s="637"/>
      <c r="CZ119" s="637"/>
      <c r="DA119" s="637"/>
      <c r="DB119" s="637"/>
      <c r="DC119" s="637"/>
      <c r="DD119" s="637"/>
      <c r="DE119" s="637"/>
      <c r="DF119" s="637"/>
      <c r="DG119" s="637"/>
      <c r="DH119" s="637"/>
      <c r="DI119" s="637"/>
      <c r="DJ119" s="637"/>
      <c r="DK119" s="637"/>
      <c r="DL119" s="637"/>
      <c r="DM119" s="637"/>
      <c r="DN119" s="637"/>
      <c r="DO119" s="637"/>
      <c r="DP119" s="637"/>
      <c r="DQ119" s="637"/>
      <c r="DR119" s="637"/>
      <c r="DS119" s="637"/>
      <c r="DT119" s="637"/>
      <c r="DU119" s="637"/>
      <c r="DV119" s="637"/>
      <c r="DW119" s="637"/>
      <c r="DX119" s="637"/>
      <c r="DY119" s="637"/>
      <c r="DZ119" s="637"/>
      <c r="EA119" s="637"/>
      <c r="EB119" s="637"/>
      <c r="EC119" s="637"/>
      <c r="ED119" s="637"/>
      <c r="EE119" s="637"/>
      <c r="EF119" s="637"/>
      <c r="EG119" s="637"/>
      <c r="EH119" s="637"/>
      <c r="EI119" s="637"/>
      <c r="EJ119" s="637"/>
      <c r="EK119" s="637"/>
      <c r="EL119" s="637"/>
      <c r="EM119" s="637"/>
      <c r="EN119" s="637"/>
      <c r="EO119" s="637"/>
      <c r="EP119" s="637"/>
      <c r="EQ119" s="637"/>
      <c r="ER119" s="637"/>
      <c r="ES119" s="637"/>
      <c r="ET119" s="637"/>
      <c r="EU119" s="637"/>
      <c r="EV119" s="637"/>
      <c r="EW119" s="637"/>
      <c r="EX119" s="637"/>
      <c r="EY119" s="637"/>
      <c r="EZ119" s="637"/>
      <c r="FA119" s="637"/>
      <c r="FB119" s="637"/>
      <c r="FC119" s="637"/>
      <c r="FD119" s="637"/>
      <c r="FE119" s="637"/>
      <c r="FF119" s="637"/>
      <c r="FG119" s="637"/>
      <c r="FH119" s="637"/>
      <c r="FI119" s="637"/>
      <c r="FJ119" s="637"/>
      <c r="FK119" s="637"/>
      <c r="FL119" s="637"/>
      <c r="FM119" s="637"/>
      <c r="FN119" s="637"/>
      <c r="FO119" s="637"/>
      <c r="FP119" s="637"/>
      <c r="FQ119" s="637"/>
      <c r="FR119" s="637"/>
      <c r="FS119" s="637"/>
      <c r="FT119" s="637"/>
      <c r="FU119" s="637"/>
      <c r="FV119" s="637"/>
      <c r="FW119" s="637"/>
      <c r="FX119" s="637"/>
      <c r="FY119" s="637"/>
      <c r="FZ119" s="637"/>
      <c r="GA119" s="637"/>
      <c r="GB119" s="637"/>
      <c r="GC119" s="637"/>
      <c r="GD119" s="637"/>
      <c r="GE119" s="637"/>
      <c r="GF119" s="637"/>
      <c r="GG119" s="637"/>
      <c r="GH119" s="637"/>
      <c r="GI119" s="637"/>
      <c r="GJ119" s="637"/>
      <c r="GK119" s="637"/>
      <c r="GL119" s="637"/>
      <c r="GM119" s="637"/>
      <c r="GN119" s="637"/>
      <c r="GO119" s="637"/>
      <c r="GP119" s="637"/>
      <c r="GQ119" s="637"/>
      <c r="GR119" s="637"/>
      <c r="GS119" s="637"/>
      <c r="GT119" s="637"/>
      <c r="GU119" s="637"/>
      <c r="GV119" s="637"/>
      <c r="GW119" s="637"/>
      <c r="GX119" s="637"/>
      <c r="GY119" s="637"/>
      <c r="GZ119" s="637"/>
      <c r="HA119" s="637"/>
      <c r="HB119" s="637"/>
      <c r="HC119" s="637"/>
      <c r="HD119" s="637"/>
      <c r="HE119" s="637"/>
      <c r="HF119" s="637"/>
      <c r="HG119" s="637"/>
      <c r="HH119" s="637"/>
      <c r="HI119" s="637"/>
      <c r="HJ119" s="637"/>
      <c r="HK119" s="637"/>
      <c r="HL119" s="637"/>
      <c r="HM119" s="637"/>
      <c r="HN119" s="637"/>
      <c r="HO119" s="637"/>
      <c r="HP119" s="637"/>
      <c r="HQ119" s="637"/>
      <c r="HR119" s="637"/>
      <c r="HS119" s="637"/>
      <c r="HT119" s="637"/>
      <c r="HU119" s="637"/>
      <c r="HV119" s="637"/>
      <c r="HW119" s="637"/>
      <c r="HX119" s="637"/>
      <c r="HY119" s="637"/>
      <c r="HZ119" s="637"/>
      <c r="IA119" s="637"/>
      <c r="IB119" s="637"/>
      <c r="IC119" s="637"/>
      <c r="ID119" s="637"/>
      <c r="IE119" s="637"/>
      <c r="IF119" s="637"/>
      <c r="IG119" s="637"/>
      <c r="IH119" s="637"/>
      <c r="II119" s="637"/>
      <c r="IJ119" s="637"/>
      <c r="IK119" s="637"/>
      <c r="IL119" s="637"/>
      <c r="IM119" s="637"/>
      <c r="IN119" s="637"/>
      <c r="IO119" s="637"/>
      <c r="IP119" s="637"/>
      <c r="IQ119" s="637"/>
      <c r="IR119" s="637"/>
      <c r="IS119" s="637"/>
      <c r="IT119" s="637"/>
      <c r="IU119" s="637"/>
      <c r="IV119" s="637"/>
      <c r="IW119" s="637"/>
      <c r="IX119" s="637"/>
      <c r="IY119" s="637"/>
      <c r="IZ119" s="637"/>
      <c r="JA119" s="637"/>
      <c r="JB119" s="637"/>
      <c r="JC119" s="637"/>
      <c r="JD119" s="637"/>
      <c r="JE119" s="637"/>
      <c r="JF119" s="637"/>
      <c r="JG119" s="637"/>
      <c r="JH119" s="637"/>
      <c r="JI119" s="637"/>
      <c r="JJ119" s="637"/>
      <c r="JK119" s="637"/>
      <c r="JL119" s="637"/>
      <c r="JM119" s="637"/>
      <c r="JN119" s="637"/>
      <c r="JO119" s="637"/>
      <c r="JP119" s="637"/>
      <c r="JQ119" s="637"/>
      <c r="JR119" s="637"/>
      <c r="JS119" s="637"/>
      <c r="JT119" s="637"/>
      <c r="JU119" s="637"/>
      <c r="JV119" s="637"/>
      <c r="JW119" s="637"/>
      <c r="JX119" s="637"/>
      <c r="JY119" s="637"/>
      <c r="JZ119" s="637"/>
      <c r="KA119" s="637"/>
      <c r="KB119" s="637"/>
      <c r="KC119" s="637"/>
      <c r="KD119" s="637"/>
      <c r="KE119" s="637"/>
      <c r="KF119" s="637"/>
      <c r="KG119" s="637"/>
      <c r="KH119" s="637"/>
      <c r="KI119" s="637"/>
      <c r="KJ119" s="637"/>
      <c r="KK119" s="637"/>
      <c r="KL119" s="637"/>
      <c r="KM119" s="637"/>
      <c r="KN119" s="637"/>
      <c r="KO119" s="637"/>
      <c r="KP119" s="637"/>
      <c r="KQ119" s="637"/>
      <c r="KR119" s="637"/>
      <c r="KS119" s="637"/>
      <c r="KT119" s="637"/>
      <c r="KU119" s="637"/>
      <c r="KV119" s="637"/>
      <c r="KW119" s="637"/>
      <c r="KX119" s="637"/>
      <c r="KY119" s="637"/>
      <c r="KZ119" s="637"/>
      <c r="LA119" s="637"/>
      <c r="LB119" s="637"/>
      <c r="LC119" s="637"/>
      <c r="LD119" s="637"/>
      <c r="LE119" s="637"/>
      <c r="LF119" s="637"/>
      <c r="LG119" s="637"/>
      <c r="LH119" s="637"/>
      <c r="LI119" s="637"/>
      <c r="LJ119" s="637"/>
      <c r="LK119" s="637"/>
      <c r="LL119" s="637"/>
      <c r="LM119" s="637"/>
      <c r="LN119" s="637"/>
      <c r="LO119" s="637"/>
      <c r="LP119" s="637"/>
      <c r="LQ119" s="637"/>
      <c r="LR119" s="637"/>
      <c r="LS119" s="637"/>
      <c r="LT119" s="637"/>
      <c r="LU119" s="637"/>
      <c r="LV119" s="637"/>
      <c r="LW119" s="637"/>
      <c r="LX119" s="637"/>
      <c r="LY119" s="637"/>
      <c r="LZ119" s="637"/>
      <c r="MA119" s="637"/>
      <c r="MB119" s="637"/>
      <c r="MC119" s="637"/>
      <c r="MD119" s="637"/>
      <c r="ME119" s="637"/>
      <c r="MF119" s="637"/>
      <c r="MG119" s="637"/>
      <c r="MH119" s="637"/>
      <c r="MI119" s="637"/>
      <c r="MJ119" s="637"/>
      <c r="MK119" s="637"/>
      <c r="ML119" s="637"/>
      <c r="MM119" s="637"/>
      <c r="MN119" s="637"/>
      <c r="MO119" s="637"/>
      <c r="MP119" s="637"/>
      <c r="MQ119" s="637"/>
      <c r="MR119" s="637"/>
      <c r="MS119" s="637"/>
      <c r="MT119" s="637"/>
      <c r="MU119" s="637"/>
      <c r="MV119" s="637"/>
      <c r="MW119" s="637"/>
      <c r="MX119" s="637"/>
      <c r="MY119" s="637"/>
      <c r="MZ119" s="637"/>
      <c r="NA119" s="637"/>
      <c r="NB119" s="637"/>
      <c r="NC119" s="637"/>
      <c r="ND119" s="637"/>
      <c r="NE119" s="637"/>
      <c r="NF119" s="637"/>
      <c r="NG119" s="637"/>
      <c r="NH119" s="637"/>
      <c r="NI119" s="637"/>
      <c r="NJ119" s="637"/>
      <c r="NK119" s="637"/>
      <c r="NL119" s="637"/>
      <c r="NM119" s="637"/>
      <c r="NN119" s="637"/>
      <c r="NO119" s="637"/>
      <c r="NP119" s="637"/>
      <c r="NQ119" s="637"/>
      <c r="NR119" s="637"/>
      <c r="NS119" s="637"/>
      <c r="NT119" s="637"/>
      <c r="NU119" s="637"/>
      <c r="NV119" s="637"/>
      <c r="NW119" s="637"/>
      <c r="NX119" s="637"/>
      <c r="NY119" s="637"/>
      <c r="NZ119" s="637"/>
      <c r="OA119" s="637"/>
      <c r="OB119" s="637"/>
      <c r="OC119" s="637"/>
      <c r="OD119" s="637"/>
      <c r="OE119" s="637"/>
      <c r="OF119" s="637"/>
      <c r="OG119" s="637"/>
      <c r="OH119" s="637"/>
      <c r="OI119" s="637"/>
      <c r="OJ119" s="637"/>
      <c r="OK119" s="637"/>
      <c r="OL119" s="637"/>
      <c r="OM119" s="637"/>
      <c r="ON119" s="637"/>
      <c r="OO119" s="637"/>
      <c r="OP119" s="637"/>
      <c r="OQ119" s="637"/>
      <c r="OR119" s="637"/>
      <c r="OS119" s="637"/>
      <c r="OT119" s="637"/>
      <c r="OU119" s="637"/>
      <c r="OV119" s="637"/>
      <c r="OW119" s="637"/>
      <c r="OX119" s="637"/>
      <c r="OY119" s="637"/>
      <c r="OZ119" s="637"/>
      <c r="PA119" s="637"/>
      <c r="PB119" s="637"/>
      <c r="PC119" s="637"/>
      <c r="PD119" s="637"/>
      <c r="PE119" s="637"/>
      <c r="PF119" s="637"/>
      <c r="PG119" s="637"/>
      <c r="PH119" s="637"/>
      <c r="PI119" s="637"/>
      <c r="PJ119" s="637"/>
      <c r="PK119" s="637"/>
      <c r="PL119" s="637"/>
      <c r="PM119" s="637"/>
      <c r="PN119" s="637"/>
      <c r="PO119" s="637"/>
      <c r="PP119" s="637"/>
      <c r="PQ119" s="637"/>
      <c r="PR119" s="637"/>
      <c r="PS119" s="637"/>
      <c r="PT119" s="637"/>
      <c r="PU119" s="637"/>
      <c r="PV119" s="637"/>
      <c r="PW119" s="637"/>
      <c r="PX119" s="637"/>
      <c r="PY119" s="637"/>
      <c r="PZ119" s="637"/>
      <c r="QA119" s="637"/>
      <c r="QB119" s="637"/>
      <c r="QC119" s="637"/>
      <c r="QD119" s="637"/>
      <c r="QE119" s="637"/>
      <c r="QF119" s="637"/>
      <c r="QG119" s="637"/>
      <c r="QH119" s="637"/>
      <c r="QI119" s="637"/>
      <c r="QJ119" s="637"/>
      <c r="QK119" s="637"/>
      <c r="QL119" s="637"/>
      <c r="QM119" s="637"/>
      <c r="QN119" s="637"/>
      <c r="QO119" s="637"/>
      <c r="QP119" s="637"/>
      <c r="QQ119" s="637"/>
      <c r="QR119" s="637"/>
      <c r="QS119" s="637"/>
      <c r="QT119" s="637"/>
      <c r="QU119" s="637"/>
      <c r="QV119" s="637"/>
      <c r="QW119" s="637"/>
      <c r="QX119" s="637"/>
      <c r="QY119" s="637"/>
      <c r="QZ119" s="637"/>
      <c r="RA119" s="637"/>
      <c r="RB119" s="637"/>
      <c r="RC119" s="637"/>
      <c r="RD119" s="637"/>
      <c r="RE119" s="637"/>
      <c r="RF119" s="637"/>
      <c r="RG119" s="637"/>
      <c r="RH119" s="637"/>
      <c r="RI119" s="637"/>
      <c r="RJ119" s="637"/>
      <c r="RK119" s="637"/>
      <c r="RL119" s="637"/>
      <c r="RM119" s="637"/>
      <c r="RN119" s="637"/>
      <c r="RO119" s="637"/>
      <c r="RP119" s="637"/>
      <c r="RQ119" s="637"/>
      <c r="RR119" s="637"/>
      <c r="RS119" s="637"/>
      <c r="RT119" s="637"/>
      <c r="RU119" s="637"/>
      <c r="RV119" s="637"/>
      <c r="RW119" s="637"/>
      <c r="RX119" s="637"/>
      <c r="RY119" s="637"/>
      <c r="RZ119" s="637"/>
      <c r="SA119" s="637"/>
      <c r="SB119" s="637"/>
      <c r="SC119" s="637"/>
      <c r="SD119" s="637"/>
      <c r="SE119" s="637"/>
      <c r="SF119" s="637"/>
      <c r="SG119" s="637"/>
      <c r="SH119" s="637"/>
      <c r="SI119" s="637"/>
      <c r="SJ119" s="637"/>
      <c r="SK119" s="637"/>
      <c r="SL119" s="637"/>
      <c r="SM119" s="637"/>
      <c r="SN119" s="637"/>
      <c r="SO119" s="637"/>
      <c r="SP119" s="637"/>
      <c r="SQ119" s="637"/>
      <c r="SR119" s="637"/>
      <c r="SS119" s="637"/>
      <c r="ST119" s="637"/>
      <c r="SU119" s="637"/>
      <c r="SV119" s="637"/>
      <c r="SW119" s="637"/>
      <c r="SX119" s="637"/>
      <c r="SY119" s="637"/>
      <c r="SZ119" s="637"/>
      <c r="TA119" s="637"/>
      <c r="TB119" s="637"/>
      <c r="TC119" s="637"/>
      <c r="TD119" s="637"/>
      <c r="TE119" s="637"/>
      <c r="TF119" s="637"/>
      <c r="TG119" s="637"/>
      <c r="TH119" s="637"/>
      <c r="TI119" s="637"/>
      <c r="TJ119" s="637"/>
      <c r="TK119" s="637"/>
      <c r="TL119" s="637"/>
      <c r="TM119" s="637"/>
      <c r="TN119" s="637"/>
      <c r="TO119" s="637"/>
      <c r="TP119" s="637"/>
      <c r="TQ119" s="637"/>
      <c r="TR119" s="637"/>
      <c r="TS119" s="637"/>
      <c r="TT119" s="637"/>
      <c r="TU119" s="637"/>
      <c r="TV119" s="637"/>
      <c r="TW119" s="637"/>
      <c r="TX119" s="637"/>
      <c r="TY119" s="637"/>
      <c r="TZ119" s="637"/>
      <c r="UA119" s="637"/>
      <c r="UB119" s="637"/>
      <c r="UC119" s="637"/>
      <c r="UD119" s="637"/>
      <c r="UE119" s="637"/>
      <c r="UF119" s="637"/>
      <c r="UG119" s="637"/>
      <c r="UH119" s="637"/>
      <c r="UI119" s="637"/>
      <c r="UJ119" s="637"/>
      <c r="UK119" s="637"/>
      <c r="UL119" s="637"/>
      <c r="UM119" s="637"/>
      <c r="UN119" s="637"/>
      <c r="UO119" s="637"/>
      <c r="UP119" s="637"/>
      <c r="UQ119" s="637"/>
      <c r="UR119" s="637"/>
      <c r="US119" s="637"/>
      <c r="UT119" s="637"/>
      <c r="UU119" s="637"/>
      <c r="UV119" s="637"/>
      <c r="UW119" s="637"/>
      <c r="UX119" s="637"/>
      <c r="UY119" s="637"/>
      <c r="UZ119" s="637"/>
      <c r="VA119" s="637"/>
      <c r="VB119" s="637"/>
      <c r="VC119" s="637"/>
      <c r="VD119" s="637"/>
      <c r="VE119" s="637"/>
      <c r="VF119" s="637"/>
      <c r="VG119" s="637"/>
      <c r="VH119" s="637"/>
      <c r="VI119" s="637"/>
      <c r="VJ119" s="637"/>
      <c r="VK119" s="637"/>
      <c r="VL119" s="637"/>
      <c r="VM119" s="637"/>
      <c r="VN119" s="637"/>
      <c r="VO119" s="637"/>
      <c r="VP119" s="637"/>
      <c r="VQ119" s="637"/>
      <c r="VR119" s="637"/>
      <c r="VS119" s="637"/>
      <c r="VT119" s="637"/>
      <c r="VU119" s="637"/>
      <c r="VV119" s="637"/>
      <c r="VW119" s="637"/>
      <c r="VX119" s="637"/>
      <c r="VY119" s="637"/>
      <c r="VZ119" s="637"/>
      <c r="WA119" s="637"/>
      <c r="WB119" s="637"/>
      <c r="WC119" s="637"/>
      <c r="WD119" s="637"/>
      <c r="WE119" s="637"/>
      <c r="WF119" s="637"/>
      <c r="WG119" s="637"/>
      <c r="WH119" s="637"/>
      <c r="WI119" s="637"/>
      <c r="WJ119" s="637"/>
      <c r="WK119" s="637"/>
      <c r="WL119" s="637"/>
      <c r="WM119" s="637"/>
      <c r="WN119" s="637"/>
      <c r="WO119" s="637"/>
      <c r="WP119" s="637"/>
      <c r="WQ119" s="637"/>
      <c r="WR119" s="637"/>
      <c r="WS119" s="637"/>
      <c r="WT119" s="637"/>
      <c r="WU119" s="637"/>
      <c r="WV119" s="637"/>
      <c r="WW119" s="637"/>
      <c r="WX119" s="637"/>
      <c r="WY119" s="637"/>
      <c r="WZ119" s="637"/>
      <c r="XA119" s="637"/>
      <c r="XB119" s="637"/>
      <c r="XC119" s="637"/>
      <c r="XD119" s="637"/>
      <c r="XE119" s="637"/>
      <c r="XF119" s="637"/>
      <c r="XG119" s="637"/>
      <c r="XH119" s="637"/>
      <c r="XI119" s="637"/>
      <c r="XJ119" s="637"/>
      <c r="XK119" s="637"/>
      <c r="XL119" s="637"/>
      <c r="XM119" s="637"/>
      <c r="XN119" s="637"/>
      <c r="XO119" s="637"/>
      <c r="XP119" s="637"/>
      <c r="XQ119" s="637"/>
      <c r="XR119" s="637"/>
      <c r="XS119" s="637"/>
      <c r="XT119" s="637"/>
      <c r="XU119" s="637"/>
      <c r="XV119" s="637"/>
      <c r="XW119" s="637"/>
      <c r="XX119" s="637"/>
      <c r="XY119" s="637"/>
      <c r="XZ119" s="637"/>
      <c r="YA119" s="637"/>
      <c r="YB119" s="637"/>
      <c r="YC119" s="637"/>
      <c r="YD119" s="637"/>
      <c r="YE119" s="637"/>
      <c r="YF119" s="637"/>
      <c r="YG119" s="637"/>
      <c r="YH119" s="637"/>
      <c r="YI119" s="637"/>
      <c r="YJ119" s="637"/>
      <c r="YK119" s="637"/>
      <c r="YL119" s="637"/>
      <c r="YM119" s="637"/>
      <c r="YN119" s="637"/>
      <c r="YO119" s="637"/>
      <c r="YP119" s="637"/>
      <c r="YQ119" s="637"/>
      <c r="YR119" s="637"/>
      <c r="YS119" s="637"/>
      <c r="YT119" s="637"/>
      <c r="YU119" s="637"/>
      <c r="YV119" s="637"/>
      <c r="YW119" s="637"/>
      <c r="YX119" s="637"/>
      <c r="YY119" s="637"/>
      <c r="YZ119" s="637"/>
      <c r="ZA119" s="637"/>
      <c r="ZB119" s="637"/>
      <c r="ZC119" s="637"/>
      <c r="ZD119" s="637"/>
      <c r="ZE119" s="637"/>
      <c r="ZF119" s="637"/>
      <c r="ZG119" s="637"/>
      <c r="ZH119" s="637"/>
      <c r="ZI119" s="637"/>
      <c r="ZJ119" s="637"/>
      <c r="ZK119" s="637"/>
      <c r="ZL119" s="637"/>
      <c r="ZM119" s="637"/>
      <c r="ZN119" s="637"/>
      <c r="ZO119" s="637"/>
      <c r="ZP119" s="637"/>
      <c r="ZQ119" s="637"/>
      <c r="ZR119" s="637"/>
      <c r="ZS119" s="637"/>
      <c r="ZT119" s="637"/>
      <c r="ZU119" s="637"/>
      <c r="ZV119" s="637"/>
      <c r="ZW119" s="637"/>
      <c r="ZX119" s="637"/>
      <c r="ZY119" s="637"/>
      <c r="ZZ119" s="637"/>
      <c r="AAA119" s="637"/>
      <c r="AAB119" s="637"/>
      <c r="AAC119" s="637"/>
      <c r="AAD119" s="637"/>
      <c r="AAE119" s="637"/>
      <c r="AAF119" s="637"/>
      <c r="AAG119" s="637"/>
      <c r="AAH119" s="637"/>
      <c r="AAI119" s="637"/>
      <c r="AAJ119" s="637"/>
      <c r="AAK119" s="637"/>
      <c r="AAL119" s="637"/>
      <c r="AAM119" s="637"/>
      <c r="AAN119" s="637"/>
      <c r="AAO119" s="637"/>
      <c r="AAP119" s="637"/>
      <c r="AAQ119" s="637"/>
      <c r="AAR119" s="637"/>
      <c r="AAS119" s="637"/>
      <c r="AAT119" s="637"/>
      <c r="AAU119" s="637"/>
      <c r="AAV119" s="637"/>
      <c r="AAW119" s="637"/>
      <c r="AAX119" s="637"/>
      <c r="AAY119" s="637"/>
      <c r="AAZ119" s="637"/>
      <c r="ABA119" s="637"/>
      <c r="ABB119" s="637"/>
      <c r="ABC119" s="637"/>
      <c r="ABD119" s="637"/>
      <c r="ABE119" s="637"/>
      <c r="ABF119" s="637"/>
      <c r="ABG119" s="637"/>
      <c r="ABH119" s="637"/>
      <c r="ABI119" s="637"/>
      <c r="ABJ119" s="637"/>
      <c r="ABK119" s="637"/>
      <c r="ABL119" s="637"/>
      <c r="ABM119" s="637"/>
      <c r="ABN119" s="637"/>
      <c r="ABO119" s="637"/>
      <c r="ABP119" s="637"/>
      <c r="ABQ119" s="637"/>
      <c r="ABR119" s="637"/>
      <c r="ABS119" s="637"/>
      <c r="ABT119" s="637"/>
      <c r="ABU119" s="637"/>
      <c r="ABV119" s="637"/>
      <c r="ABW119" s="637"/>
      <c r="ABX119" s="637"/>
      <c r="ABY119" s="637"/>
      <c r="ABZ119" s="637"/>
      <c r="ACA119" s="637"/>
      <c r="ACB119" s="637"/>
      <c r="ACC119" s="637"/>
      <c r="ACD119" s="637"/>
      <c r="ACE119" s="637"/>
      <c r="ACF119" s="637"/>
      <c r="ACG119" s="637"/>
      <c r="ACH119" s="637"/>
      <c r="ACI119" s="637"/>
      <c r="ACJ119" s="637"/>
      <c r="ACK119" s="637"/>
      <c r="ACL119" s="637"/>
      <c r="ACM119" s="637"/>
      <c r="ACN119" s="637"/>
      <c r="ACO119" s="637"/>
      <c r="ACP119" s="637"/>
      <c r="ACQ119" s="637"/>
      <c r="ACR119" s="637"/>
      <c r="ACS119" s="637"/>
      <c r="ACT119" s="637"/>
      <c r="ACU119" s="637"/>
      <c r="ACV119" s="637"/>
      <c r="ACW119" s="637"/>
      <c r="ACX119" s="637"/>
      <c r="ACY119" s="637"/>
      <c r="ACZ119" s="637"/>
      <c r="ADA119" s="637"/>
      <c r="ADB119" s="637"/>
      <c r="ADC119" s="637"/>
      <c r="ADD119" s="637"/>
      <c r="ADE119" s="637"/>
      <c r="ADF119" s="637"/>
      <c r="ADG119" s="637"/>
      <c r="ADH119" s="637"/>
      <c r="ADI119" s="637"/>
      <c r="ADJ119" s="637"/>
      <c r="ADK119" s="637"/>
      <c r="ADL119" s="637"/>
      <c r="ADM119" s="637"/>
      <c r="ADN119" s="637"/>
      <c r="ADO119" s="637"/>
      <c r="ADP119" s="637"/>
      <c r="ADQ119" s="637"/>
      <c r="ADR119" s="637"/>
      <c r="ADS119" s="637"/>
      <c r="ADT119" s="637"/>
      <c r="ADU119" s="637"/>
      <c r="ADV119" s="637"/>
      <c r="ADW119" s="637"/>
      <c r="ADX119" s="637"/>
      <c r="ADY119" s="637"/>
      <c r="ADZ119" s="637"/>
      <c r="AEA119" s="637"/>
      <c r="AEB119" s="637"/>
      <c r="AEC119" s="637"/>
      <c r="AED119" s="637"/>
      <c r="AEE119" s="637"/>
      <c r="AEF119" s="637"/>
      <c r="AEG119" s="637"/>
      <c r="AEH119" s="637"/>
      <c r="AEI119" s="637"/>
      <c r="AEJ119" s="637"/>
      <c r="AEK119" s="637"/>
      <c r="AEL119" s="637"/>
      <c r="AEM119" s="637"/>
      <c r="AEN119" s="637"/>
      <c r="AEO119" s="637"/>
      <c r="AEP119" s="637"/>
      <c r="AEQ119" s="637"/>
      <c r="AER119" s="637"/>
      <c r="AES119" s="637"/>
      <c r="AET119" s="637"/>
      <c r="AEU119" s="637"/>
      <c r="AEV119" s="637"/>
      <c r="AEW119" s="637"/>
      <c r="AEX119" s="637"/>
      <c r="AEY119" s="637"/>
      <c r="AEZ119" s="637"/>
      <c r="AFA119" s="637"/>
      <c r="AFB119" s="637"/>
      <c r="AFC119" s="637"/>
      <c r="AFD119" s="637"/>
      <c r="AFE119" s="637"/>
      <c r="AFF119" s="637"/>
      <c r="AFG119" s="637"/>
      <c r="AFH119" s="637"/>
      <c r="AFI119" s="637"/>
      <c r="AFJ119" s="637"/>
      <c r="AFK119" s="637"/>
      <c r="AFL119" s="637"/>
      <c r="AFM119" s="637"/>
      <c r="AFN119" s="637"/>
      <c r="AFO119" s="637"/>
      <c r="AFP119" s="637"/>
      <c r="AFQ119" s="637"/>
      <c r="AFR119" s="637"/>
      <c r="AFS119" s="637"/>
      <c r="AFT119" s="637"/>
      <c r="AFU119" s="637"/>
      <c r="AFV119" s="637"/>
      <c r="AFW119" s="637"/>
      <c r="AFX119" s="637"/>
      <c r="AFY119" s="637"/>
      <c r="AFZ119" s="637"/>
      <c r="AGA119" s="637"/>
      <c r="AGB119" s="637"/>
      <c r="AGC119" s="637"/>
      <c r="AGD119" s="637"/>
      <c r="AGE119" s="637"/>
      <c r="AGF119" s="637"/>
      <c r="AGG119" s="637"/>
      <c r="AGH119" s="637"/>
      <c r="AGI119" s="637"/>
      <c r="AGJ119" s="637"/>
      <c r="AGK119" s="637"/>
      <c r="AGL119" s="637"/>
      <c r="AGM119" s="637"/>
      <c r="AGN119" s="637"/>
      <c r="AGO119" s="637"/>
      <c r="AGP119" s="637"/>
      <c r="AGQ119" s="637"/>
      <c r="AGR119" s="637"/>
      <c r="AGS119" s="637"/>
      <c r="AGT119" s="637"/>
      <c r="AGU119" s="637"/>
      <c r="AGV119" s="637"/>
      <c r="AGW119" s="637"/>
      <c r="AGX119" s="637"/>
      <c r="AGY119" s="637"/>
      <c r="AGZ119" s="637"/>
      <c r="AHA119" s="637"/>
      <c r="AHB119" s="637"/>
      <c r="AHC119" s="637"/>
      <c r="AHD119" s="637"/>
      <c r="AHE119" s="637"/>
      <c r="AHF119" s="637"/>
      <c r="AHG119" s="637"/>
      <c r="AHH119" s="637"/>
      <c r="AHI119" s="637"/>
      <c r="AHJ119" s="637"/>
      <c r="AHK119" s="637"/>
      <c r="AHL119" s="637"/>
      <c r="AHM119" s="637"/>
      <c r="AHN119" s="637"/>
      <c r="AHO119" s="637"/>
      <c r="AHP119" s="637"/>
      <c r="AHQ119" s="637"/>
      <c r="AHR119" s="637"/>
      <c r="AHS119" s="637"/>
      <c r="AHT119" s="637"/>
      <c r="AHU119" s="637"/>
      <c r="AHV119" s="637"/>
      <c r="AHW119" s="637"/>
      <c r="AHX119" s="637"/>
      <c r="AHY119" s="637"/>
      <c r="AHZ119" s="637"/>
      <c r="AIA119" s="637"/>
      <c r="AIB119" s="637"/>
      <c r="AIC119" s="637"/>
      <c r="AID119" s="637"/>
      <c r="AIE119" s="637"/>
      <c r="AIF119" s="637"/>
      <c r="AIG119" s="637"/>
      <c r="AIH119" s="637"/>
      <c r="AII119" s="637"/>
      <c r="AIJ119" s="637"/>
      <c r="AIK119" s="637"/>
      <c r="AIL119" s="637"/>
      <c r="AIM119" s="637"/>
      <c r="AIN119" s="637"/>
      <c r="AIO119" s="637"/>
      <c r="AIP119" s="637"/>
      <c r="AIQ119" s="637"/>
      <c r="AIR119" s="637"/>
      <c r="AIS119" s="637"/>
      <c r="AIT119" s="637"/>
      <c r="AIU119" s="637"/>
      <c r="AIV119" s="637"/>
      <c r="AIW119" s="637"/>
      <c r="AIX119" s="637"/>
      <c r="AIY119" s="637"/>
      <c r="AIZ119" s="637"/>
      <c r="AJA119" s="637"/>
      <c r="AJB119" s="637"/>
      <c r="AJC119" s="637"/>
      <c r="AJD119" s="637"/>
      <c r="AJE119" s="637"/>
      <c r="AJF119" s="637"/>
      <c r="AJG119" s="637"/>
      <c r="AJH119" s="637"/>
      <c r="AJI119" s="637"/>
      <c r="AJJ119" s="637"/>
      <c r="AJK119" s="637"/>
      <c r="AJL119" s="637"/>
      <c r="AJM119" s="637"/>
      <c r="AJN119" s="637"/>
      <c r="AJO119" s="637"/>
      <c r="AJP119" s="637"/>
      <c r="AJQ119" s="637"/>
      <c r="AJR119" s="637"/>
      <c r="AJS119" s="637"/>
      <c r="AJT119" s="637"/>
      <c r="AJU119" s="637"/>
      <c r="AJV119" s="637"/>
      <c r="AJW119" s="637"/>
      <c r="AJX119" s="637"/>
      <c r="AJY119" s="637"/>
      <c r="AJZ119" s="637"/>
      <c r="AKA119" s="637"/>
      <c r="AKB119" s="637"/>
      <c r="AKC119" s="637"/>
      <c r="AKD119" s="637"/>
      <c r="AKE119" s="637"/>
      <c r="AKF119" s="637"/>
      <c r="AKG119" s="637"/>
      <c r="AKH119" s="637"/>
      <c r="AKI119" s="637"/>
      <c r="AKJ119" s="637"/>
      <c r="AKK119" s="637"/>
      <c r="AKL119" s="637"/>
      <c r="AKM119" s="637"/>
      <c r="AKN119" s="637"/>
      <c r="AKO119" s="637"/>
      <c r="AKP119" s="637"/>
      <c r="AKQ119" s="637"/>
      <c r="AKR119" s="637"/>
      <c r="AKS119" s="637"/>
      <c r="AKT119" s="637"/>
      <c r="AKU119" s="637"/>
      <c r="AKV119" s="637"/>
      <c r="AKW119" s="637"/>
      <c r="AKX119" s="637"/>
      <c r="AKY119" s="637"/>
      <c r="AKZ119" s="637"/>
      <c r="ALA119" s="637"/>
      <c r="ALB119" s="637"/>
      <c r="ALC119" s="637"/>
      <c r="ALD119" s="637"/>
      <c r="ALE119" s="637"/>
      <c r="ALF119" s="637"/>
      <c r="ALG119" s="637"/>
      <c r="ALH119" s="637"/>
      <c r="ALI119" s="637"/>
      <c r="ALJ119" s="637"/>
      <c r="ALK119" s="637"/>
      <c r="ALL119" s="637"/>
      <c r="ALM119" s="637"/>
      <c r="ALN119" s="637"/>
      <c r="ALO119" s="637"/>
      <c r="ALP119" s="637"/>
      <c r="ALQ119" s="637"/>
      <c r="ALR119" s="637"/>
      <c r="ALS119" s="637"/>
      <c r="ALT119" s="637"/>
      <c r="ALU119" s="637"/>
      <c r="ALV119" s="637"/>
      <c r="ALW119" s="637"/>
      <c r="ALX119" s="637"/>
      <c r="ALY119" s="637"/>
      <c r="ALZ119" s="637"/>
      <c r="AMA119" s="637"/>
      <c r="AMB119" s="637"/>
      <c r="AMC119" s="637"/>
      <c r="AMD119" s="637"/>
      <c r="AME119" s="637"/>
      <c r="AMF119" s="637"/>
      <c r="AMG119" s="637"/>
      <c r="AMH119" s="637"/>
      <c r="AMI119" s="637"/>
      <c r="AMJ119" s="637"/>
    </row>
    <row r="120" spans="1:1024" s="638" customFormat="1" ht="12.75">
      <c r="A120" s="945"/>
      <c r="B120" s="945"/>
      <c r="C120" s="639"/>
      <c r="D120" s="981" t="s">
        <v>861</v>
      </c>
      <c r="E120" s="982">
        <f t="shared" si="14"/>
        <v>12368</v>
      </c>
      <c r="F120" s="982">
        <f t="shared" si="14"/>
        <v>12368</v>
      </c>
      <c r="G120" s="982">
        <f t="shared" si="14"/>
        <v>8453</v>
      </c>
      <c r="H120" s="982">
        <f t="shared" si="14"/>
        <v>2111</v>
      </c>
      <c r="I120" s="982">
        <f t="shared" si="14"/>
        <v>1804</v>
      </c>
      <c r="J120" s="982">
        <f t="shared" si="14"/>
        <v>0</v>
      </c>
      <c r="K120" s="982">
        <f t="shared" si="14"/>
        <v>0</v>
      </c>
      <c r="L120" s="982">
        <f t="shared" si="14"/>
        <v>0</v>
      </c>
      <c r="M120" s="982">
        <f t="shared" si="14"/>
        <v>0</v>
      </c>
      <c r="N120" s="982">
        <f t="shared" si="14"/>
        <v>0</v>
      </c>
      <c r="O120" s="982">
        <f t="shared" si="14"/>
        <v>0</v>
      </c>
      <c r="P120" s="982">
        <f t="shared" si="14"/>
        <v>0</v>
      </c>
      <c r="Q120" s="982">
        <f t="shared" si="14"/>
        <v>0</v>
      </c>
      <c r="R120" s="982">
        <f t="shared" si="14"/>
        <v>0</v>
      </c>
      <c r="S120" s="637"/>
      <c r="T120" s="637"/>
      <c r="U120" s="637"/>
      <c r="V120" s="637"/>
      <c r="W120" s="637"/>
      <c r="X120" s="637"/>
      <c r="Y120" s="637"/>
      <c r="Z120" s="637"/>
      <c r="AA120" s="637"/>
      <c r="AB120" s="637"/>
      <c r="AC120" s="637"/>
      <c r="AD120" s="637"/>
      <c r="AE120" s="637"/>
      <c r="AF120" s="637"/>
      <c r="AG120" s="637"/>
      <c r="AH120" s="637"/>
      <c r="AI120" s="637"/>
      <c r="AJ120" s="637"/>
      <c r="AK120" s="637"/>
      <c r="AL120" s="637"/>
      <c r="AM120" s="637"/>
      <c r="AN120" s="637"/>
      <c r="AO120" s="637"/>
      <c r="AP120" s="637"/>
      <c r="AQ120" s="637"/>
      <c r="AR120" s="637"/>
      <c r="AS120" s="637"/>
      <c r="AT120" s="637"/>
      <c r="AU120" s="637"/>
      <c r="AV120" s="637"/>
      <c r="AW120" s="637"/>
      <c r="AX120" s="637"/>
      <c r="AY120" s="637"/>
      <c r="AZ120" s="637"/>
      <c r="BA120" s="637"/>
      <c r="BB120" s="637"/>
      <c r="BC120" s="637"/>
      <c r="BD120" s="637"/>
      <c r="BE120" s="637"/>
      <c r="BF120" s="637"/>
      <c r="BG120" s="637"/>
      <c r="BH120" s="637"/>
      <c r="BI120" s="637"/>
      <c r="BJ120" s="637"/>
      <c r="BK120" s="637"/>
      <c r="BL120" s="637"/>
      <c r="BM120" s="637"/>
      <c r="BN120" s="637"/>
      <c r="BO120" s="637"/>
      <c r="BP120" s="637"/>
      <c r="BQ120" s="637"/>
      <c r="BR120" s="637"/>
      <c r="BS120" s="637"/>
      <c r="BT120" s="637"/>
      <c r="BU120" s="637"/>
      <c r="BV120" s="637"/>
      <c r="BW120" s="637"/>
      <c r="BX120" s="637"/>
      <c r="BY120" s="637"/>
      <c r="BZ120" s="637"/>
      <c r="CA120" s="637"/>
      <c r="CB120" s="637"/>
      <c r="CC120" s="637"/>
      <c r="CD120" s="637"/>
      <c r="CE120" s="637"/>
      <c r="CF120" s="637"/>
      <c r="CG120" s="637"/>
      <c r="CH120" s="637"/>
      <c r="CI120" s="637"/>
      <c r="CJ120" s="637"/>
      <c r="CK120" s="637"/>
      <c r="CL120" s="637"/>
      <c r="CM120" s="637"/>
      <c r="CN120" s="637"/>
      <c r="CO120" s="637"/>
      <c r="CP120" s="637"/>
      <c r="CQ120" s="637"/>
      <c r="CR120" s="637"/>
      <c r="CS120" s="637"/>
      <c r="CT120" s="637"/>
      <c r="CU120" s="637"/>
      <c r="CV120" s="637"/>
      <c r="CW120" s="637"/>
      <c r="CX120" s="637"/>
      <c r="CY120" s="637"/>
      <c r="CZ120" s="637"/>
      <c r="DA120" s="637"/>
      <c r="DB120" s="637"/>
      <c r="DC120" s="637"/>
      <c r="DD120" s="637"/>
      <c r="DE120" s="637"/>
      <c r="DF120" s="637"/>
      <c r="DG120" s="637"/>
      <c r="DH120" s="637"/>
      <c r="DI120" s="637"/>
      <c r="DJ120" s="637"/>
      <c r="DK120" s="637"/>
      <c r="DL120" s="637"/>
      <c r="DM120" s="637"/>
      <c r="DN120" s="637"/>
      <c r="DO120" s="637"/>
      <c r="DP120" s="637"/>
      <c r="DQ120" s="637"/>
      <c r="DR120" s="637"/>
      <c r="DS120" s="637"/>
      <c r="DT120" s="637"/>
      <c r="DU120" s="637"/>
      <c r="DV120" s="637"/>
      <c r="DW120" s="637"/>
      <c r="DX120" s="637"/>
      <c r="DY120" s="637"/>
      <c r="DZ120" s="637"/>
      <c r="EA120" s="637"/>
      <c r="EB120" s="637"/>
      <c r="EC120" s="637"/>
      <c r="ED120" s="637"/>
      <c r="EE120" s="637"/>
      <c r="EF120" s="637"/>
      <c r="EG120" s="637"/>
      <c r="EH120" s="637"/>
      <c r="EI120" s="637"/>
      <c r="EJ120" s="637"/>
      <c r="EK120" s="637"/>
      <c r="EL120" s="637"/>
      <c r="EM120" s="637"/>
      <c r="EN120" s="637"/>
      <c r="EO120" s="637"/>
      <c r="EP120" s="637"/>
      <c r="EQ120" s="637"/>
      <c r="ER120" s="637"/>
      <c r="ES120" s="637"/>
      <c r="ET120" s="637"/>
      <c r="EU120" s="637"/>
      <c r="EV120" s="637"/>
      <c r="EW120" s="637"/>
      <c r="EX120" s="637"/>
      <c r="EY120" s="637"/>
      <c r="EZ120" s="637"/>
      <c r="FA120" s="637"/>
      <c r="FB120" s="637"/>
      <c r="FC120" s="637"/>
      <c r="FD120" s="637"/>
      <c r="FE120" s="637"/>
      <c r="FF120" s="637"/>
      <c r="FG120" s="637"/>
      <c r="FH120" s="637"/>
      <c r="FI120" s="637"/>
      <c r="FJ120" s="637"/>
      <c r="FK120" s="637"/>
      <c r="FL120" s="637"/>
      <c r="FM120" s="637"/>
      <c r="FN120" s="637"/>
      <c r="FO120" s="637"/>
      <c r="FP120" s="637"/>
      <c r="FQ120" s="637"/>
      <c r="FR120" s="637"/>
      <c r="FS120" s="637"/>
      <c r="FT120" s="637"/>
      <c r="FU120" s="637"/>
      <c r="FV120" s="637"/>
      <c r="FW120" s="637"/>
      <c r="FX120" s="637"/>
      <c r="FY120" s="637"/>
      <c r="FZ120" s="637"/>
      <c r="GA120" s="637"/>
      <c r="GB120" s="637"/>
      <c r="GC120" s="637"/>
      <c r="GD120" s="637"/>
      <c r="GE120" s="637"/>
      <c r="GF120" s="637"/>
      <c r="GG120" s="637"/>
      <c r="GH120" s="637"/>
      <c r="GI120" s="637"/>
      <c r="GJ120" s="637"/>
      <c r="GK120" s="637"/>
      <c r="GL120" s="637"/>
      <c r="GM120" s="637"/>
      <c r="GN120" s="637"/>
      <c r="GO120" s="637"/>
      <c r="GP120" s="637"/>
      <c r="GQ120" s="637"/>
      <c r="GR120" s="637"/>
      <c r="GS120" s="637"/>
      <c r="GT120" s="637"/>
      <c r="GU120" s="637"/>
      <c r="GV120" s="637"/>
      <c r="GW120" s="637"/>
      <c r="GX120" s="637"/>
      <c r="GY120" s="637"/>
      <c r="GZ120" s="637"/>
      <c r="HA120" s="637"/>
      <c r="HB120" s="637"/>
      <c r="HC120" s="637"/>
      <c r="HD120" s="637"/>
      <c r="HE120" s="637"/>
      <c r="HF120" s="637"/>
      <c r="HG120" s="637"/>
      <c r="HH120" s="637"/>
      <c r="HI120" s="637"/>
      <c r="HJ120" s="637"/>
      <c r="HK120" s="637"/>
      <c r="HL120" s="637"/>
      <c r="HM120" s="637"/>
      <c r="HN120" s="637"/>
      <c r="HO120" s="637"/>
      <c r="HP120" s="637"/>
      <c r="HQ120" s="637"/>
      <c r="HR120" s="637"/>
      <c r="HS120" s="637"/>
      <c r="HT120" s="637"/>
      <c r="HU120" s="637"/>
      <c r="HV120" s="637"/>
      <c r="HW120" s="637"/>
      <c r="HX120" s="637"/>
      <c r="HY120" s="637"/>
      <c r="HZ120" s="637"/>
      <c r="IA120" s="637"/>
      <c r="IB120" s="637"/>
      <c r="IC120" s="637"/>
      <c r="ID120" s="637"/>
      <c r="IE120" s="637"/>
      <c r="IF120" s="637"/>
      <c r="IG120" s="637"/>
      <c r="IH120" s="637"/>
      <c r="II120" s="637"/>
      <c r="IJ120" s="637"/>
      <c r="IK120" s="637"/>
      <c r="IL120" s="637"/>
      <c r="IM120" s="637"/>
      <c r="IN120" s="637"/>
      <c r="IO120" s="637"/>
      <c r="IP120" s="637"/>
      <c r="IQ120" s="637"/>
      <c r="IR120" s="637"/>
      <c r="IS120" s="637"/>
      <c r="IT120" s="637"/>
      <c r="IU120" s="637"/>
      <c r="IV120" s="637"/>
      <c r="IW120" s="637"/>
      <c r="IX120" s="637"/>
      <c r="IY120" s="637"/>
      <c r="IZ120" s="637"/>
      <c r="JA120" s="637"/>
      <c r="JB120" s="637"/>
      <c r="JC120" s="637"/>
      <c r="JD120" s="637"/>
      <c r="JE120" s="637"/>
      <c r="JF120" s="637"/>
      <c r="JG120" s="637"/>
      <c r="JH120" s="637"/>
      <c r="JI120" s="637"/>
      <c r="JJ120" s="637"/>
      <c r="JK120" s="637"/>
      <c r="JL120" s="637"/>
      <c r="JM120" s="637"/>
      <c r="JN120" s="637"/>
      <c r="JO120" s="637"/>
      <c r="JP120" s="637"/>
      <c r="JQ120" s="637"/>
      <c r="JR120" s="637"/>
      <c r="JS120" s="637"/>
      <c r="JT120" s="637"/>
      <c r="JU120" s="637"/>
      <c r="JV120" s="637"/>
      <c r="JW120" s="637"/>
      <c r="JX120" s="637"/>
      <c r="JY120" s="637"/>
      <c r="JZ120" s="637"/>
      <c r="KA120" s="637"/>
      <c r="KB120" s="637"/>
      <c r="KC120" s="637"/>
      <c r="KD120" s="637"/>
      <c r="KE120" s="637"/>
      <c r="KF120" s="637"/>
      <c r="KG120" s="637"/>
      <c r="KH120" s="637"/>
      <c r="KI120" s="637"/>
      <c r="KJ120" s="637"/>
      <c r="KK120" s="637"/>
      <c r="KL120" s="637"/>
      <c r="KM120" s="637"/>
      <c r="KN120" s="637"/>
      <c r="KO120" s="637"/>
      <c r="KP120" s="637"/>
      <c r="KQ120" s="637"/>
      <c r="KR120" s="637"/>
      <c r="KS120" s="637"/>
      <c r="KT120" s="637"/>
      <c r="KU120" s="637"/>
      <c r="KV120" s="637"/>
      <c r="KW120" s="637"/>
      <c r="KX120" s="637"/>
      <c r="KY120" s="637"/>
      <c r="KZ120" s="637"/>
      <c r="LA120" s="637"/>
      <c r="LB120" s="637"/>
      <c r="LC120" s="637"/>
      <c r="LD120" s="637"/>
      <c r="LE120" s="637"/>
      <c r="LF120" s="637"/>
      <c r="LG120" s="637"/>
      <c r="LH120" s="637"/>
      <c r="LI120" s="637"/>
      <c r="LJ120" s="637"/>
      <c r="LK120" s="637"/>
      <c r="LL120" s="637"/>
      <c r="LM120" s="637"/>
      <c r="LN120" s="637"/>
      <c r="LO120" s="637"/>
      <c r="LP120" s="637"/>
      <c r="LQ120" s="637"/>
      <c r="LR120" s="637"/>
      <c r="LS120" s="637"/>
      <c r="LT120" s="637"/>
      <c r="LU120" s="637"/>
      <c r="LV120" s="637"/>
      <c r="LW120" s="637"/>
      <c r="LX120" s="637"/>
      <c r="LY120" s="637"/>
      <c r="LZ120" s="637"/>
      <c r="MA120" s="637"/>
      <c r="MB120" s="637"/>
      <c r="MC120" s="637"/>
      <c r="MD120" s="637"/>
      <c r="ME120" s="637"/>
      <c r="MF120" s="637"/>
      <c r="MG120" s="637"/>
      <c r="MH120" s="637"/>
      <c r="MI120" s="637"/>
      <c r="MJ120" s="637"/>
      <c r="MK120" s="637"/>
      <c r="ML120" s="637"/>
      <c r="MM120" s="637"/>
      <c r="MN120" s="637"/>
      <c r="MO120" s="637"/>
      <c r="MP120" s="637"/>
      <c r="MQ120" s="637"/>
      <c r="MR120" s="637"/>
      <c r="MS120" s="637"/>
      <c r="MT120" s="637"/>
      <c r="MU120" s="637"/>
      <c r="MV120" s="637"/>
      <c r="MW120" s="637"/>
      <c r="MX120" s="637"/>
      <c r="MY120" s="637"/>
      <c r="MZ120" s="637"/>
      <c r="NA120" s="637"/>
      <c r="NB120" s="637"/>
      <c r="NC120" s="637"/>
      <c r="ND120" s="637"/>
      <c r="NE120" s="637"/>
      <c r="NF120" s="637"/>
      <c r="NG120" s="637"/>
      <c r="NH120" s="637"/>
      <c r="NI120" s="637"/>
      <c r="NJ120" s="637"/>
      <c r="NK120" s="637"/>
      <c r="NL120" s="637"/>
      <c r="NM120" s="637"/>
      <c r="NN120" s="637"/>
      <c r="NO120" s="637"/>
      <c r="NP120" s="637"/>
      <c r="NQ120" s="637"/>
      <c r="NR120" s="637"/>
      <c r="NS120" s="637"/>
      <c r="NT120" s="637"/>
      <c r="NU120" s="637"/>
      <c r="NV120" s="637"/>
      <c r="NW120" s="637"/>
      <c r="NX120" s="637"/>
      <c r="NY120" s="637"/>
      <c r="NZ120" s="637"/>
      <c r="OA120" s="637"/>
      <c r="OB120" s="637"/>
      <c r="OC120" s="637"/>
      <c r="OD120" s="637"/>
      <c r="OE120" s="637"/>
      <c r="OF120" s="637"/>
      <c r="OG120" s="637"/>
      <c r="OH120" s="637"/>
      <c r="OI120" s="637"/>
      <c r="OJ120" s="637"/>
      <c r="OK120" s="637"/>
      <c r="OL120" s="637"/>
      <c r="OM120" s="637"/>
      <c r="ON120" s="637"/>
      <c r="OO120" s="637"/>
      <c r="OP120" s="637"/>
      <c r="OQ120" s="637"/>
      <c r="OR120" s="637"/>
      <c r="OS120" s="637"/>
      <c r="OT120" s="637"/>
      <c r="OU120" s="637"/>
      <c r="OV120" s="637"/>
      <c r="OW120" s="637"/>
      <c r="OX120" s="637"/>
      <c r="OY120" s="637"/>
      <c r="OZ120" s="637"/>
      <c r="PA120" s="637"/>
      <c r="PB120" s="637"/>
      <c r="PC120" s="637"/>
      <c r="PD120" s="637"/>
      <c r="PE120" s="637"/>
      <c r="PF120" s="637"/>
      <c r="PG120" s="637"/>
      <c r="PH120" s="637"/>
      <c r="PI120" s="637"/>
      <c r="PJ120" s="637"/>
      <c r="PK120" s="637"/>
      <c r="PL120" s="637"/>
      <c r="PM120" s="637"/>
      <c r="PN120" s="637"/>
      <c r="PO120" s="637"/>
      <c r="PP120" s="637"/>
      <c r="PQ120" s="637"/>
      <c r="PR120" s="637"/>
      <c r="PS120" s="637"/>
      <c r="PT120" s="637"/>
      <c r="PU120" s="637"/>
      <c r="PV120" s="637"/>
      <c r="PW120" s="637"/>
      <c r="PX120" s="637"/>
      <c r="PY120" s="637"/>
      <c r="PZ120" s="637"/>
      <c r="QA120" s="637"/>
      <c r="QB120" s="637"/>
      <c r="QC120" s="637"/>
      <c r="QD120" s="637"/>
      <c r="QE120" s="637"/>
      <c r="QF120" s="637"/>
      <c r="QG120" s="637"/>
      <c r="QH120" s="637"/>
      <c r="QI120" s="637"/>
      <c r="QJ120" s="637"/>
      <c r="QK120" s="637"/>
      <c r="QL120" s="637"/>
      <c r="QM120" s="637"/>
      <c r="QN120" s="637"/>
      <c r="QO120" s="637"/>
      <c r="QP120" s="637"/>
      <c r="QQ120" s="637"/>
      <c r="QR120" s="637"/>
      <c r="QS120" s="637"/>
      <c r="QT120" s="637"/>
      <c r="QU120" s="637"/>
      <c r="QV120" s="637"/>
      <c r="QW120" s="637"/>
      <c r="QX120" s="637"/>
      <c r="QY120" s="637"/>
      <c r="QZ120" s="637"/>
      <c r="RA120" s="637"/>
      <c r="RB120" s="637"/>
      <c r="RC120" s="637"/>
      <c r="RD120" s="637"/>
      <c r="RE120" s="637"/>
      <c r="RF120" s="637"/>
      <c r="RG120" s="637"/>
      <c r="RH120" s="637"/>
      <c r="RI120" s="637"/>
      <c r="RJ120" s="637"/>
      <c r="RK120" s="637"/>
      <c r="RL120" s="637"/>
      <c r="RM120" s="637"/>
      <c r="RN120" s="637"/>
      <c r="RO120" s="637"/>
      <c r="RP120" s="637"/>
      <c r="RQ120" s="637"/>
      <c r="RR120" s="637"/>
      <c r="RS120" s="637"/>
      <c r="RT120" s="637"/>
      <c r="RU120" s="637"/>
      <c r="RV120" s="637"/>
      <c r="RW120" s="637"/>
      <c r="RX120" s="637"/>
      <c r="RY120" s="637"/>
      <c r="RZ120" s="637"/>
      <c r="SA120" s="637"/>
      <c r="SB120" s="637"/>
      <c r="SC120" s="637"/>
      <c r="SD120" s="637"/>
      <c r="SE120" s="637"/>
      <c r="SF120" s="637"/>
      <c r="SG120" s="637"/>
      <c r="SH120" s="637"/>
      <c r="SI120" s="637"/>
      <c r="SJ120" s="637"/>
      <c r="SK120" s="637"/>
      <c r="SL120" s="637"/>
      <c r="SM120" s="637"/>
      <c r="SN120" s="637"/>
      <c r="SO120" s="637"/>
      <c r="SP120" s="637"/>
      <c r="SQ120" s="637"/>
      <c r="SR120" s="637"/>
      <c r="SS120" s="637"/>
      <c r="ST120" s="637"/>
      <c r="SU120" s="637"/>
      <c r="SV120" s="637"/>
      <c r="SW120" s="637"/>
      <c r="SX120" s="637"/>
      <c r="SY120" s="637"/>
      <c r="SZ120" s="637"/>
      <c r="TA120" s="637"/>
      <c r="TB120" s="637"/>
      <c r="TC120" s="637"/>
      <c r="TD120" s="637"/>
      <c r="TE120" s="637"/>
      <c r="TF120" s="637"/>
      <c r="TG120" s="637"/>
      <c r="TH120" s="637"/>
      <c r="TI120" s="637"/>
      <c r="TJ120" s="637"/>
      <c r="TK120" s="637"/>
      <c r="TL120" s="637"/>
      <c r="TM120" s="637"/>
      <c r="TN120" s="637"/>
      <c r="TO120" s="637"/>
      <c r="TP120" s="637"/>
      <c r="TQ120" s="637"/>
      <c r="TR120" s="637"/>
      <c r="TS120" s="637"/>
      <c r="TT120" s="637"/>
      <c r="TU120" s="637"/>
      <c r="TV120" s="637"/>
      <c r="TW120" s="637"/>
      <c r="TX120" s="637"/>
      <c r="TY120" s="637"/>
      <c r="TZ120" s="637"/>
      <c r="UA120" s="637"/>
      <c r="UB120" s="637"/>
      <c r="UC120" s="637"/>
      <c r="UD120" s="637"/>
      <c r="UE120" s="637"/>
      <c r="UF120" s="637"/>
      <c r="UG120" s="637"/>
      <c r="UH120" s="637"/>
      <c r="UI120" s="637"/>
      <c r="UJ120" s="637"/>
      <c r="UK120" s="637"/>
      <c r="UL120" s="637"/>
      <c r="UM120" s="637"/>
      <c r="UN120" s="637"/>
      <c r="UO120" s="637"/>
      <c r="UP120" s="637"/>
      <c r="UQ120" s="637"/>
      <c r="UR120" s="637"/>
      <c r="US120" s="637"/>
      <c r="UT120" s="637"/>
      <c r="UU120" s="637"/>
      <c r="UV120" s="637"/>
      <c r="UW120" s="637"/>
      <c r="UX120" s="637"/>
      <c r="UY120" s="637"/>
      <c r="UZ120" s="637"/>
      <c r="VA120" s="637"/>
      <c r="VB120" s="637"/>
      <c r="VC120" s="637"/>
      <c r="VD120" s="637"/>
      <c r="VE120" s="637"/>
      <c r="VF120" s="637"/>
      <c r="VG120" s="637"/>
      <c r="VH120" s="637"/>
      <c r="VI120" s="637"/>
      <c r="VJ120" s="637"/>
      <c r="VK120" s="637"/>
      <c r="VL120" s="637"/>
      <c r="VM120" s="637"/>
      <c r="VN120" s="637"/>
      <c r="VO120" s="637"/>
      <c r="VP120" s="637"/>
      <c r="VQ120" s="637"/>
      <c r="VR120" s="637"/>
      <c r="VS120" s="637"/>
      <c r="VT120" s="637"/>
      <c r="VU120" s="637"/>
      <c r="VV120" s="637"/>
      <c r="VW120" s="637"/>
      <c r="VX120" s="637"/>
      <c r="VY120" s="637"/>
      <c r="VZ120" s="637"/>
      <c r="WA120" s="637"/>
      <c r="WB120" s="637"/>
      <c r="WC120" s="637"/>
      <c r="WD120" s="637"/>
      <c r="WE120" s="637"/>
      <c r="WF120" s="637"/>
      <c r="WG120" s="637"/>
      <c r="WH120" s="637"/>
      <c r="WI120" s="637"/>
      <c r="WJ120" s="637"/>
      <c r="WK120" s="637"/>
      <c r="WL120" s="637"/>
      <c r="WM120" s="637"/>
      <c r="WN120" s="637"/>
      <c r="WO120" s="637"/>
      <c r="WP120" s="637"/>
      <c r="WQ120" s="637"/>
      <c r="WR120" s="637"/>
      <c r="WS120" s="637"/>
      <c r="WT120" s="637"/>
      <c r="WU120" s="637"/>
      <c r="WV120" s="637"/>
      <c r="WW120" s="637"/>
      <c r="WX120" s="637"/>
      <c r="WY120" s="637"/>
      <c r="WZ120" s="637"/>
      <c r="XA120" s="637"/>
      <c r="XB120" s="637"/>
      <c r="XC120" s="637"/>
      <c r="XD120" s="637"/>
      <c r="XE120" s="637"/>
      <c r="XF120" s="637"/>
      <c r="XG120" s="637"/>
      <c r="XH120" s="637"/>
      <c r="XI120" s="637"/>
      <c r="XJ120" s="637"/>
      <c r="XK120" s="637"/>
      <c r="XL120" s="637"/>
      <c r="XM120" s="637"/>
      <c r="XN120" s="637"/>
      <c r="XO120" s="637"/>
      <c r="XP120" s="637"/>
      <c r="XQ120" s="637"/>
      <c r="XR120" s="637"/>
      <c r="XS120" s="637"/>
      <c r="XT120" s="637"/>
      <c r="XU120" s="637"/>
      <c r="XV120" s="637"/>
      <c r="XW120" s="637"/>
      <c r="XX120" s="637"/>
      <c r="XY120" s="637"/>
      <c r="XZ120" s="637"/>
      <c r="YA120" s="637"/>
      <c r="YB120" s="637"/>
      <c r="YC120" s="637"/>
      <c r="YD120" s="637"/>
      <c r="YE120" s="637"/>
      <c r="YF120" s="637"/>
      <c r="YG120" s="637"/>
      <c r="YH120" s="637"/>
      <c r="YI120" s="637"/>
      <c r="YJ120" s="637"/>
      <c r="YK120" s="637"/>
      <c r="YL120" s="637"/>
      <c r="YM120" s="637"/>
      <c r="YN120" s="637"/>
      <c r="YO120" s="637"/>
      <c r="YP120" s="637"/>
      <c r="YQ120" s="637"/>
      <c r="YR120" s="637"/>
      <c r="YS120" s="637"/>
      <c r="YT120" s="637"/>
      <c r="YU120" s="637"/>
      <c r="YV120" s="637"/>
      <c r="YW120" s="637"/>
      <c r="YX120" s="637"/>
      <c r="YY120" s="637"/>
      <c r="YZ120" s="637"/>
      <c r="ZA120" s="637"/>
      <c r="ZB120" s="637"/>
      <c r="ZC120" s="637"/>
      <c r="ZD120" s="637"/>
      <c r="ZE120" s="637"/>
      <c r="ZF120" s="637"/>
      <c r="ZG120" s="637"/>
      <c r="ZH120" s="637"/>
      <c r="ZI120" s="637"/>
      <c r="ZJ120" s="637"/>
      <c r="ZK120" s="637"/>
      <c r="ZL120" s="637"/>
      <c r="ZM120" s="637"/>
      <c r="ZN120" s="637"/>
      <c r="ZO120" s="637"/>
      <c r="ZP120" s="637"/>
      <c r="ZQ120" s="637"/>
      <c r="ZR120" s="637"/>
      <c r="ZS120" s="637"/>
      <c r="ZT120" s="637"/>
      <c r="ZU120" s="637"/>
      <c r="ZV120" s="637"/>
      <c r="ZW120" s="637"/>
      <c r="ZX120" s="637"/>
      <c r="ZY120" s="637"/>
      <c r="ZZ120" s="637"/>
      <c r="AAA120" s="637"/>
      <c r="AAB120" s="637"/>
      <c r="AAC120" s="637"/>
      <c r="AAD120" s="637"/>
      <c r="AAE120" s="637"/>
      <c r="AAF120" s="637"/>
      <c r="AAG120" s="637"/>
      <c r="AAH120" s="637"/>
      <c r="AAI120" s="637"/>
      <c r="AAJ120" s="637"/>
      <c r="AAK120" s="637"/>
      <c r="AAL120" s="637"/>
      <c r="AAM120" s="637"/>
      <c r="AAN120" s="637"/>
      <c r="AAO120" s="637"/>
      <c r="AAP120" s="637"/>
      <c r="AAQ120" s="637"/>
      <c r="AAR120" s="637"/>
      <c r="AAS120" s="637"/>
      <c r="AAT120" s="637"/>
      <c r="AAU120" s="637"/>
      <c r="AAV120" s="637"/>
      <c r="AAW120" s="637"/>
      <c r="AAX120" s="637"/>
      <c r="AAY120" s="637"/>
      <c r="AAZ120" s="637"/>
      <c r="ABA120" s="637"/>
      <c r="ABB120" s="637"/>
      <c r="ABC120" s="637"/>
      <c r="ABD120" s="637"/>
      <c r="ABE120" s="637"/>
      <c r="ABF120" s="637"/>
      <c r="ABG120" s="637"/>
      <c r="ABH120" s="637"/>
      <c r="ABI120" s="637"/>
      <c r="ABJ120" s="637"/>
      <c r="ABK120" s="637"/>
      <c r="ABL120" s="637"/>
      <c r="ABM120" s="637"/>
      <c r="ABN120" s="637"/>
      <c r="ABO120" s="637"/>
      <c r="ABP120" s="637"/>
      <c r="ABQ120" s="637"/>
      <c r="ABR120" s="637"/>
      <c r="ABS120" s="637"/>
      <c r="ABT120" s="637"/>
      <c r="ABU120" s="637"/>
      <c r="ABV120" s="637"/>
      <c r="ABW120" s="637"/>
      <c r="ABX120" s="637"/>
      <c r="ABY120" s="637"/>
      <c r="ABZ120" s="637"/>
      <c r="ACA120" s="637"/>
      <c r="ACB120" s="637"/>
      <c r="ACC120" s="637"/>
      <c r="ACD120" s="637"/>
      <c r="ACE120" s="637"/>
      <c r="ACF120" s="637"/>
      <c r="ACG120" s="637"/>
      <c r="ACH120" s="637"/>
      <c r="ACI120" s="637"/>
      <c r="ACJ120" s="637"/>
      <c r="ACK120" s="637"/>
      <c r="ACL120" s="637"/>
      <c r="ACM120" s="637"/>
      <c r="ACN120" s="637"/>
      <c r="ACO120" s="637"/>
      <c r="ACP120" s="637"/>
      <c r="ACQ120" s="637"/>
      <c r="ACR120" s="637"/>
      <c r="ACS120" s="637"/>
      <c r="ACT120" s="637"/>
      <c r="ACU120" s="637"/>
      <c r="ACV120" s="637"/>
      <c r="ACW120" s="637"/>
      <c r="ACX120" s="637"/>
      <c r="ACY120" s="637"/>
      <c r="ACZ120" s="637"/>
      <c r="ADA120" s="637"/>
      <c r="ADB120" s="637"/>
      <c r="ADC120" s="637"/>
      <c r="ADD120" s="637"/>
      <c r="ADE120" s="637"/>
      <c r="ADF120" s="637"/>
      <c r="ADG120" s="637"/>
      <c r="ADH120" s="637"/>
      <c r="ADI120" s="637"/>
      <c r="ADJ120" s="637"/>
      <c r="ADK120" s="637"/>
      <c r="ADL120" s="637"/>
      <c r="ADM120" s="637"/>
      <c r="ADN120" s="637"/>
      <c r="ADO120" s="637"/>
      <c r="ADP120" s="637"/>
      <c r="ADQ120" s="637"/>
      <c r="ADR120" s="637"/>
      <c r="ADS120" s="637"/>
      <c r="ADT120" s="637"/>
      <c r="ADU120" s="637"/>
      <c r="ADV120" s="637"/>
      <c r="ADW120" s="637"/>
      <c r="ADX120" s="637"/>
      <c r="ADY120" s="637"/>
      <c r="ADZ120" s="637"/>
      <c r="AEA120" s="637"/>
      <c r="AEB120" s="637"/>
      <c r="AEC120" s="637"/>
      <c r="AED120" s="637"/>
      <c r="AEE120" s="637"/>
      <c r="AEF120" s="637"/>
      <c r="AEG120" s="637"/>
      <c r="AEH120" s="637"/>
      <c r="AEI120" s="637"/>
      <c r="AEJ120" s="637"/>
      <c r="AEK120" s="637"/>
      <c r="AEL120" s="637"/>
      <c r="AEM120" s="637"/>
      <c r="AEN120" s="637"/>
      <c r="AEO120" s="637"/>
      <c r="AEP120" s="637"/>
      <c r="AEQ120" s="637"/>
      <c r="AER120" s="637"/>
      <c r="AES120" s="637"/>
      <c r="AET120" s="637"/>
      <c r="AEU120" s="637"/>
      <c r="AEV120" s="637"/>
      <c r="AEW120" s="637"/>
      <c r="AEX120" s="637"/>
      <c r="AEY120" s="637"/>
      <c r="AEZ120" s="637"/>
      <c r="AFA120" s="637"/>
      <c r="AFB120" s="637"/>
      <c r="AFC120" s="637"/>
      <c r="AFD120" s="637"/>
      <c r="AFE120" s="637"/>
      <c r="AFF120" s="637"/>
      <c r="AFG120" s="637"/>
      <c r="AFH120" s="637"/>
      <c r="AFI120" s="637"/>
      <c r="AFJ120" s="637"/>
      <c r="AFK120" s="637"/>
      <c r="AFL120" s="637"/>
      <c r="AFM120" s="637"/>
      <c r="AFN120" s="637"/>
      <c r="AFO120" s="637"/>
      <c r="AFP120" s="637"/>
      <c r="AFQ120" s="637"/>
      <c r="AFR120" s="637"/>
      <c r="AFS120" s="637"/>
      <c r="AFT120" s="637"/>
      <c r="AFU120" s="637"/>
      <c r="AFV120" s="637"/>
      <c r="AFW120" s="637"/>
      <c r="AFX120" s="637"/>
      <c r="AFY120" s="637"/>
      <c r="AFZ120" s="637"/>
      <c r="AGA120" s="637"/>
      <c r="AGB120" s="637"/>
      <c r="AGC120" s="637"/>
      <c r="AGD120" s="637"/>
      <c r="AGE120" s="637"/>
      <c r="AGF120" s="637"/>
      <c r="AGG120" s="637"/>
      <c r="AGH120" s="637"/>
      <c r="AGI120" s="637"/>
      <c r="AGJ120" s="637"/>
      <c r="AGK120" s="637"/>
      <c r="AGL120" s="637"/>
      <c r="AGM120" s="637"/>
      <c r="AGN120" s="637"/>
      <c r="AGO120" s="637"/>
      <c r="AGP120" s="637"/>
      <c r="AGQ120" s="637"/>
      <c r="AGR120" s="637"/>
      <c r="AGS120" s="637"/>
      <c r="AGT120" s="637"/>
      <c r="AGU120" s="637"/>
      <c r="AGV120" s="637"/>
      <c r="AGW120" s="637"/>
      <c r="AGX120" s="637"/>
      <c r="AGY120" s="637"/>
      <c r="AGZ120" s="637"/>
      <c r="AHA120" s="637"/>
      <c r="AHB120" s="637"/>
      <c r="AHC120" s="637"/>
      <c r="AHD120" s="637"/>
      <c r="AHE120" s="637"/>
      <c r="AHF120" s="637"/>
      <c r="AHG120" s="637"/>
      <c r="AHH120" s="637"/>
      <c r="AHI120" s="637"/>
      <c r="AHJ120" s="637"/>
      <c r="AHK120" s="637"/>
      <c r="AHL120" s="637"/>
      <c r="AHM120" s="637"/>
      <c r="AHN120" s="637"/>
      <c r="AHO120" s="637"/>
      <c r="AHP120" s="637"/>
      <c r="AHQ120" s="637"/>
      <c r="AHR120" s="637"/>
      <c r="AHS120" s="637"/>
      <c r="AHT120" s="637"/>
      <c r="AHU120" s="637"/>
      <c r="AHV120" s="637"/>
      <c r="AHW120" s="637"/>
      <c r="AHX120" s="637"/>
      <c r="AHY120" s="637"/>
      <c r="AHZ120" s="637"/>
      <c r="AIA120" s="637"/>
      <c r="AIB120" s="637"/>
      <c r="AIC120" s="637"/>
      <c r="AID120" s="637"/>
      <c r="AIE120" s="637"/>
      <c r="AIF120" s="637"/>
      <c r="AIG120" s="637"/>
      <c r="AIH120" s="637"/>
      <c r="AII120" s="637"/>
      <c r="AIJ120" s="637"/>
      <c r="AIK120" s="637"/>
      <c r="AIL120" s="637"/>
      <c r="AIM120" s="637"/>
      <c r="AIN120" s="637"/>
      <c r="AIO120" s="637"/>
      <c r="AIP120" s="637"/>
      <c r="AIQ120" s="637"/>
      <c r="AIR120" s="637"/>
      <c r="AIS120" s="637"/>
      <c r="AIT120" s="637"/>
      <c r="AIU120" s="637"/>
      <c r="AIV120" s="637"/>
      <c r="AIW120" s="637"/>
      <c r="AIX120" s="637"/>
      <c r="AIY120" s="637"/>
      <c r="AIZ120" s="637"/>
      <c r="AJA120" s="637"/>
      <c r="AJB120" s="637"/>
      <c r="AJC120" s="637"/>
      <c r="AJD120" s="637"/>
      <c r="AJE120" s="637"/>
      <c r="AJF120" s="637"/>
      <c r="AJG120" s="637"/>
      <c r="AJH120" s="637"/>
      <c r="AJI120" s="637"/>
      <c r="AJJ120" s="637"/>
      <c r="AJK120" s="637"/>
      <c r="AJL120" s="637"/>
      <c r="AJM120" s="637"/>
      <c r="AJN120" s="637"/>
      <c r="AJO120" s="637"/>
      <c r="AJP120" s="637"/>
      <c r="AJQ120" s="637"/>
      <c r="AJR120" s="637"/>
      <c r="AJS120" s="637"/>
      <c r="AJT120" s="637"/>
      <c r="AJU120" s="637"/>
      <c r="AJV120" s="637"/>
      <c r="AJW120" s="637"/>
      <c r="AJX120" s="637"/>
      <c r="AJY120" s="637"/>
      <c r="AJZ120" s="637"/>
      <c r="AKA120" s="637"/>
      <c r="AKB120" s="637"/>
      <c r="AKC120" s="637"/>
      <c r="AKD120" s="637"/>
      <c r="AKE120" s="637"/>
      <c r="AKF120" s="637"/>
      <c r="AKG120" s="637"/>
      <c r="AKH120" s="637"/>
      <c r="AKI120" s="637"/>
      <c r="AKJ120" s="637"/>
      <c r="AKK120" s="637"/>
      <c r="AKL120" s="637"/>
      <c r="AKM120" s="637"/>
      <c r="AKN120" s="637"/>
      <c r="AKO120" s="637"/>
      <c r="AKP120" s="637"/>
      <c r="AKQ120" s="637"/>
      <c r="AKR120" s="637"/>
      <c r="AKS120" s="637"/>
      <c r="AKT120" s="637"/>
      <c r="AKU120" s="637"/>
      <c r="AKV120" s="637"/>
      <c r="AKW120" s="637"/>
      <c r="AKX120" s="637"/>
      <c r="AKY120" s="637"/>
      <c r="AKZ120" s="637"/>
      <c r="ALA120" s="637"/>
      <c r="ALB120" s="637"/>
      <c r="ALC120" s="637"/>
      <c r="ALD120" s="637"/>
      <c r="ALE120" s="637"/>
      <c r="ALF120" s="637"/>
      <c r="ALG120" s="637"/>
      <c r="ALH120" s="637"/>
      <c r="ALI120" s="637"/>
      <c r="ALJ120" s="637"/>
      <c r="ALK120" s="637"/>
      <c r="ALL120" s="637"/>
      <c r="ALM120" s="637"/>
      <c r="ALN120" s="637"/>
      <c r="ALO120" s="637"/>
      <c r="ALP120" s="637"/>
      <c r="ALQ120" s="637"/>
      <c r="ALR120" s="637"/>
      <c r="ALS120" s="637"/>
      <c r="ALT120" s="637"/>
      <c r="ALU120" s="637"/>
      <c r="ALV120" s="637"/>
      <c r="ALW120" s="637"/>
      <c r="ALX120" s="637"/>
      <c r="ALY120" s="637"/>
      <c r="ALZ120" s="637"/>
      <c r="AMA120" s="637"/>
      <c r="AMB120" s="637"/>
      <c r="AMC120" s="637"/>
      <c r="AMD120" s="637"/>
      <c r="AME120" s="637"/>
      <c r="AMF120" s="637"/>
      <c r="AMG120" s="637"/>
      <c r="AMH120" s="637"/>
      <c r="AMI120" s="637"/>
      <c r="AMJ120" s="637"/>
    </row>
    <row r="121" spans="1:18" s="638" customFormat="1" ht="12.75">
      <c r="A121" s="945"/>
      <c r="B121" s="945"/>
      <c r="C121" s="639"/>
      <c r="D121" s="981" t="s">
        <v>1041</v>
      </c>
      <c r="E121" s="982">
        <f t="shared" si="14"/>
        <v>12779</v>
      </c>
      <c r="F121" s="982">
        <f aca="true" t="shared" si="15" ref="F121:R121">F109+F113+F117</f>
        <v>12779</v>
      </c>
      <c r="G121" s="982">
        <f t="shared" si="15"/>
        <v>8493</v>
      </c>
      <c r="H121" s="982">
        <f t="shared" si="15"/>
        <v>2659</v>
      </c>
      <c r="I121" s="982">
        <f t="shared" si="15"/>
        <v>1627</v>
      </c>
      <c r="J121" s="982">
        <f t="shared" si="15"/>
        <v>0</v>
      </c>
      <c r="K121" s="982">
        <f t="shared" si="15"/>
        <v>0</v>
      </c>
      <c r="L121" s="982">
        <f t="shared" si="15"/>
        <v>0</v>
      </c>
      <c r="M121" s="982">
        <f t="shared" si="15"/>
        <v>0</v>
      </c>
      <c r="N121" s="982">
        <f t="shared" si="15"/>
        <v>0</v>
      </c>
      <c r="O121" s="982">
        <f t="shared" si="15"/>
        <v>0</v>
      </c>
      <c r="P121" s="982">
        <f t="shared" si="15"/>
        <v>0</v>
      </c>
      <c r="Q121" s="982">
        <f t="shared" si="15"/>
        <v>0</v>
      </c>
      <c r="R121" s="982">
        <f t="shared" si="15"/>
        <v>0</v>
      </c>
    </row>
    <row r="122" spans="1:18" s="638" customFormat="1" ht="12.75" hidden="1">
      <c r="A122" s="945"/>
      <c r="B122" s="945"/>
      <c r="C122" s="639"/>
      <c r="D122" s="1014"/>
      <c r="E122" s="1016">
        <f>E110+E114+E118</f>
        <v>12523</v>
      </c>
      <c r="F122" s="1016">
        <f>F110+F114+F118</f>
        <v>11171</v>
      </c>
      <c r="G122" s="1016">
        <f>G110+G114+G118</f>
        <v>7547</v>
      </c>
      <c r="H122" s="1020">
        <f>H110+H114+H118</f>
        <v>2288</v>
      </c>
      <c r="I122" s="1016">
        <f>I110+I114+I118</f>
        <v>1336</v>
      </c>
      <c r="J122" s="1015"/>
      <c r="K122" s="1015"/>
      <c r="L122" s="1015"/>
      <c r="M122" s="1015"/>
      <c r="N122" s="1015"/>
      <c r="O122" s="1015"/>
      <c r="P122" s="1015"/>
      <c r="Q122" s="1015"/>
      <c r="R122" s="1015"/>
    </row>
    <row r="123" spans="1:18" s="638" customFormat="1" ht="12.75">
      <c r="A123" s="945"/>
      <c r="B123" s="945"/>
      <c r="C123" s="639"/>
      <c r="D123" s="981"/>
      <c r="E123" s="982"/>
      <c r="F123" s="982"/>
      <c r="G123" s="982"/>
      <c r="H123" s="982"/>
      <c r="I123" s="982"/>
      <c r="J123" s="982"/>
      <c r="K123" s="982"/>
      <c r="L123" s="982"/>
      <c r="M123" s="982"/>
      <c r="N123" s="982"/>
      <c r="O123" s="982"/>
      <c r="P123" s="982"/>
      <c r="Q123" s="982"/>
      <c r="R123" s="982"/>
    </row>
    <row r="124" spans="1:18" s="638" customFormat="1" ht="12.75">
      <c r="A124" s="1094" t="s">
        <v>159</v>
      </c>
      <c r="B124" s="1094"/>
      <c r="C124" s="1094"/>
      <c r="D124" s="1021" t="s">
        <v>4</v>
      </c>
      <c r="E124" s="982">
        <f aca="true" t="shared" si="16" ref="E124:R127">E81+E102+E119</f>
        <v>67757</v>
      </c>
      <c r="F124" s="982">
        <f t="shared" si="16"/>
        <v>67757</v>
      </c>
      <c r="G124" s="982">
        <f t="shared" si="16"/>
        <v>46747</v>
      </c>
      <c r="H124" s="982">
        <f t="shared" si="16"/>
        <v>12687</v>
      </c>
      <c r="I124" s="982">
        <f t="shared" si="16"/>
        <v>7596</v>
      </c>
      <c r="J124" s="982">
        <f t="shared" si="16"/>
        <v>0</v>
      </c>
      <c r="K124" s="982">
        <f t="shared" si="16"/>
        <v>0</v>
      </c>
      <c r="L124" s="982">
        <f t="shared" si="16"/>
        <v>0</v>
      </c>
      <c r="M124" s="982">
        <f t="shared" si="16"/>
        <v>0</v>
      </c>
      <c r="N124" s="982">
        <f t="shared" si="16"/>
        <v>727</v>
      </c>
      <c r="O124" s="982">
        <f t="shared" si="16"/>
        <v>0</v>
      </c>
      <c r="P124" s="982">
        <f t="shared" si="16"/>
        <v>0</v>
      </c>
      <c r="Q124" s="982">
        <f t="shared" si="16"/>
        <v>0</v>
      </c>
      <c r="R124" s="982">
        <f t="shared" si="16"/>
        <v>0</v>
      </c>
    </row>
    <row r="125" spans="1:18" s="638" customFormat="1" ht="12.75">
      <c r="A125" s="984"/>
      <c r="B125" s="985"/>
      <c r="C125" s="986"/>
      <c r="D125" s="981" t="s">
        <v>861</v>
      </c>
      <c r="E125" s="982">
        <f t="shared" si="16"/>
        <v>71021</v>
      </c>
      <c r="F125" s="982">
        <f t="shared" si="16"/>
        <v>71021</v>
      </c>
      <c r="G125" s="982">
        <f t="shared" si="16"/>
        <v>46852</v>
      </c>
      <c r="H125" s="982">
        <f t="shared" si="16"/>
        <v>12859</v>
      </c>
      <c r="I125" s="982">
        <f t="shared" si="16"/>
        <v>10691</v>
      </c>
      <c r="J125" s="982">
        <f t="shared" si="16"/>
        <v>19</v>
      </c>
      <c r="K125" s="982">
        <f t="shared" si="16"/>
        <v>0</v>
      </c>
      <c r="L125" s="982">
        <f t="shared" si="16"/>
        <v>0</v>
      </c>
      <c r="M125" s="982">
        <f t="shared" si="16"/>
        <v>0</v>
      </c>
      <c r="N125" s="982">
        <f t="shared" si="16"/>
        <v>600</v>
      </c>
      <c r="O125" s="982">
        <f t="shared" si="16"/>
        <v>0</v>
      </c>
      <c r="P125" s="982">
        <f t="shared" si="16"/>
        <v>0</v>
      </c>
      <c r="Q125" s="982">
        <f t="shared" si="16"/>
        <v>0</v>
      </c>
      <c r="R125" s="982">
        <f t="shared" si="16"/>
        <v>0</v>
      </c>
    </row>
    <row r="126" spans="1:18" s="638" customFormat="1" ht="12.75">
      <c r="A126" s="984"/>
      <c r="B126" s="985"/>
      <c r="C126" s="986"/>
      <c r="D126" s="981" t="s">
        <v>1041</v>
      </c>
      <c r="E126" s="982">
        <f>E83+E104+E121</f>
        <v>74032</v>
      </c>
      <c r="F126" s="982">
        <f aca="true" t="shared" si="17" ref="F126:I126">F83+F104+F121</f>
        <v>74032</v>
      </c>
      <c r="G126" s="982">
        <f t="shared" si="17"/>
        <v>47405</v>
      </c>
      <c r="H126" s="982">
        <f t="shared" si="17"/>
        <v>15380</v>
      </c>
      <c r="I126" s="982">
        <f t="shared" si="17"/>
        <v>10628</v>
      </c>
      <c r="J126" s="982">
        <f t="shared" si="16"/>
        <v>19</v>
      </c>
      <c r="K126" s="982">
        <f t="shared" si="16"/>
        <v>0</v>
      </c>
      <c r="L126" s="982">
        <f t="shared" si="16"/>
        <v>0</v>
      </c>
      <c r="M126" s="982">
        <f t="shared" si="16"/>
        <v>0</v>
      </c>
      <c r="N126" s="982">
        <f t="shared" si="16"/>
        <v>600</v>
      </c>
      <c r="O126" s="982">
        <f t="shared" si="16"/>
        <v>0</v>
      </c>
      <c r="P126" s="982">
        <f t="shared" si="16"/>
        <v>0</v>
      </c>
      <c r="Q126" s="982">
        <f t="shared" si="16"/>
        <v>0</v>
      </c>
      <c r="R126" s="982">
        <f t="shared" si="16"/>
        <v>0</v>
      </c>
    </row>
    <row r="127" spans="1:18" s="638" customFormat="1" ht="12.75" hidden="1">
      <c r="A127" s="984"/>
      <c r="B127" s="985"/>
      <c r="C127" s="986"/>
      <c r="D127" s="1022"/>
      <c r="E127" s="989">
        <f t="shared" si="16"/>
        <v>70294</v>
      </c>
      <c r="F127" s="989">
        <f t="shared" si="16"/>
        <v>70091</v>
      </c>
      <c r="G127" s="989">
        <f t="shared" si="16"/>
        <v>46230</v>
      </c>
      <c r="H127" s="989">
        <f t="shared" si="16"/>
        <v>14214</v>
      </c>
      <c r="I127" s="989">
        <f t="shared" si="16"/>
        <v>9143</v>
      </c>
      <c r="J127" s="989">
        <f t="shared" si="16"/>
        <v>19</v>
      </c>
      <c r="K127" s="989">
        <f t="shared" si="16"/>
        <v>0</v>
      </c>
      <c r="L127" s="989">
        <f t="shared" si="16"/>
        <v>0</v>
      </c>
      <c r="M127" s="989">
        <f t="shared" si="16"/>
        <v>0</v>
      </c>
      <c r="N127" s="989">
        <f t="shared" si="16"/>
        <v>485</v>
      </c>
      <c r="O127" s="989">
        <f t="shared" si="16"/>
        <v>0</v>
      </c>
      <c r="P127" s="990"/>
      <c r="Q127" s="990"/>
      <c r="R127" s="991"/>
    </row>
    <row r="128" spans="1:18" s="638" customFormat="1" ht="12.75">
      <c r="A128" s="1096" t="s">
        <v>68</v>
      </c>
      <c r="B128" s="1096"/>
      <c r="C128" s="1096"/>
      <c r="D128" s="1023" t="s">
        <v>4</v>
      </c>
      <c r="E128" s="1024">
        <f aca="true" t="shared" si="18" ref="E128:R131">E64+E124</f>
        <v>705914</v>
      </c>
      <c r="F128" s="1024">
        <f t="shared" si="18"/>
        <v>705914</v>
      </c>
      <c r="G128" s="1024">
        <f t="shared" si="18"/>
        <v>402115</v>
      </c>
      <c r="H128" s="1024">
        <f t="shared" si="18"/>
        <v>124087</v>
      </c>
      <c r="I128" s="1024">
        <f t="shared" si="18"/>
        <v>144815</v>
      </c>
      <c r="J128" s="1024">
        <f t="shared" si="18"/>
        <v>0</v>
      </c>
      <c r="K128" s="1024">
        <f t="shared" si="18"/>
        <v>0</v>
      </c>
      <c r="L128" s="1024">
        <f t="shared" si="18"/>
        <v>0</v>
      </c>
      <c r="M128" s="1024">
        <f t="shared" si="18"/>
        <v>0</v>
      </c>
      <c r="N128" s="1024">
        <f t="shared" si="18"/>
        <v>33697</v>
      </c>
      <c r="O128" s="1024">
        <f t="shared" si="18"/>
        <v>1200</v>
      </c>
      <c r="P128" s="1024">
        <f t="shared" si="18"/>
        <v>0</v>
      </c>
      <c r="Q128" s="1024">
        <f t="shared" si="18"/>
        <v>0</v>
      </c>
      <c r="R128" s="1024">
        <f t="shared" si="18"/>
        <v>0</v>
      </c>
    </row>
    <row r="129" spans="1:18" s="638" customFormat="1" ht="12.75">
      <c r="A129" s="984"/>
      <c r="B129" s="985"/>
      <c r="C129" s="986"/>
      <c r="D129" s="981" t="s">
        <v>861</v>
      </c>
      <c r="E129" s="1024">
        <f t="shared" si="18"/>
        <v>747188</v>
      </c>
      <c r="F129" s="1024">
        <f t="shared" si="18"/>
        <v>747188</v>
      </c>
      <c r="G129" s="1024">
        <f t="shared" si="18"/>
        <v>418397</v>
      </c>
      <c r="H129" s="1024">
        <f t="shared" si="18"/>
        <v>130655</v>
      </c>
      <c r="I129" s="1024">
        <f t="shared" si="18"/>
        <v>145102</v>
      </c>
      <c r="J129" s="1024">
        <f t="shared" si="18"/>
        <v>15019</v>
      </c>
      <c r="K129" s="1024">
        <f t="shared" si="18"/>
        <v>16</v>
      </c>
      <c r="L129" s="1024">
        <f t="shared" si="18"/>
        <v>0</v>
      </c>
      <c r="M129" s="1024">
        <f t="shared" si="18"/>
        <v>185</v>
      </c>
      <c r="N129" s="1024">
        <f t="shared" si="18"/>
        <v>36614</v>
      </c>
      <c r="O129" s="1024">
        <f t="shared" si="18"/>
        <v>1200</v>
      </c>
      <c r="P129" s="1024">
        <f t="shared" si="18"/>
        <v>0</v>
      </c>
      <c r="Q129" s="1024">
        <f t="shared" si="18"/>
        <v>0</v>
      </c>
      <c r="R129" s="1024">
        <f t="shared" si="18"/>
        <v>0</v>
      </c>
    </row>
    <row r="130" spans="1:18" s="638" customFormat="1" ht="12.75">
      <c r="A130" s="984"/>
      <c r="B130" s="985"/>
      <c r="C130" s="986"/>
      <c r="D130" s="981" t="s">
        <v>1041</v>
      </c>
      <c r="E130" s="1024">
        <f>E66+E126</f>
        <v>640087</v>
      </c>
      <c r="F130" s="1024">
        <f t="shared" si="18"/>
        <v>640087</v>
      </c>
      <c r="G130" s="1024">
        <f t="shared" si="18"/>
        <v>374128</v>
      </c>
      <c r="H130" s="1024">
        <f t="shared" si="18"/>
        <v>116225</v>
      </c>
      <c r="I130" s="1024">
        <f t="shared" si="18"/>
        <v>112688</v>
      </c>
      <c r="J130" s="1024">
        <f t="shared" si="18"/>
        <v>15030</v>
      </c>
      <c r="K130" s="1024">
        <f t="shared" si="18"/>
        <v>16</v>
      </c>
      <c r="L130" s="1024">
        <f t="shared" si="18"/>
        <v>0</v>
      </c>
      <c r="M130" s="1024">
        <f t="shared" si="18"/>
        <v>186</v>
      </c>
      <c r="N130" s="1024">
        <f t="shared" si="18"/>
        <v>20614</v>
      </c>
      <c r="O130" s="1024">
        <f t="shared" si="18"/>
        <v>1200</v>
      </c>
      <c r="P130" s="1024">
        <f t="shared" si="18"/>
        <v>0</v>
      </c>
      <c r="Q130" s="1024">
        <f t="shared" si="18"/>
        <v>0</v>
      </c>
      <c r="R130" s="1024">
        <f t="shared" si="18"/>
        <v>0</v>
      </c>
    </row>
    <row r="131" spans="1:18" s="638" customFormat="1" ht="12.75" hidden="1">
      <c r="A131" s="984"/>
      <c r="B131" s="985"/>
      <c r="C131" s="986"/>
      <c r="D131" s="1022"/>
      <c r="E131" s="1025">
        <f t="shared" si="18"/>
        <v>629616</v>
      </c>
      <c r="F131" s="1025">
        <f t="shared" si="18"/>
        <v>624420</v>
      </c>
      <c r="G131" s="1025">
        <f t="shared" si="18"/>
        <v>368659</v>
      </c>
      <c r="H131" s="1025">
        <f t="shared" si="18"/>
        <v>114442</v>
      </c>
      <c r="I131" s="1025">
        <f t="shared" si="18"/>
        <v>105867</v>
      </c>
      <c r="J131" s="1025">
        <f t="shared" si="18"/>
        <v>15030</v>
      </c>
      <c r="K131" s="1025">
        <f t="shared" si="18"/>
        <v>16</v>
      </c>
      <c r="L131" s="1025">
        <f t="shared" si="18"/>
        <v>0</v>
      </c>
      <c r="M131" s="1025">
        <f t="shared" si="18"/>
        <v>185</v>
      </c>
      <c r="N131" s="1025">
        <f t="shared" si="18"/>
        <v>20221</v>
      </c>
      <c r="O131" s="1025">
        <f t="shared" si="18"/>
        <v>0</v>
      </c>
      <c r="P131" s="990"/>
      <c r="Q131" s="990"/>
      <c r="R131" s="991"/>
    </row>
    <row r="132" spans="1:18" s="638" customFormat="1" ht="12.75">
      <c r="A132" s="1094" t="s">
        <v>126</v>
      </c>
      <c r="B132" s="1094"/>
      <c r="C132" s="1094"/>
      <c r="D132" s="1021" t="s">
        <v>4</v>
      </c>
      <c r="E132" s="1026">
        <f aca="true" t="shared" si="19" ref="E132:R133">E16+E52+E56+E60+E73+E90+E94+E111</f>
        <v>0</v>
      </c>
      <c r="F132" s="1026">
        <f t="shared" si="19"/>
        <v>9071</v>
      </c>
      <c r="G132" s="1026">
        <f t="shared" si="19"/>
        <v>7111</v>
      </c>
      <c r="H132" s="1026">
        <f t="shared" si="19"/>
        <v>1960</v>
      </c>
      <c r="I132" s="1026">
        <f t="shared" si="19"/>
        <v>0</v>
      </c>
      <c r="J132" s="1026">
        <f t="shared" si="19"/>
        <v>0</v>
      </c>
      <c r="K132" s="1026">
        <f t="shared" si="19"/>
        <v>0</v>
      </c>
      <c r="L132" s="1026">
        <f t="shared" si="19"/>
        <v>0</v>
      </c>
      <c r="M132" s="1026">
        <f t="shared" si="19"/>
        <v>0</v>
      </c>
      <c r="N132" s="1026">
        <f t="shared" si="19"/>
        <v>0</v>
      </c>
      <c r="O132" s="1026">
        <f t="shared" si="19"/>
        <v>0</v>
      </c>
      <c r="P132" s="1026">
        <f t="shared" si="19"/>
        <v>0</v>
      </c>
      <c r="Q132" s="1026">
        <f t="shared" si="19"/>
        <v>0</v>
      </c>
      <c r="R132" s="1026">
        <f t="shared" si="19"/>
        <v>0</v>
      </c>
    </row>
    <row r="133" spans="1:18" s="638" customFormat="1" ht="12.75">
      <c r="A133" s="984"/>
      <c r="B133" s="1021"/>
      <c r="C133" s="1027"/>
      <c r="D133" s="981" t="s">
        <v>861</v>
      </c>
      <c r="E133" s="1026">
        <f t="shared" si="19"/>
        <v>5368</v>
      </c>
      <c r="F133" s="1026">
        <f t="shared" si="19"/>
        <v>15436</v>
      </c>
      <c r="G133" s="1026">
        <f t="shared" si="19"/>
        <v>11214</v>
      </c>
      <c r="H133" s="1026">
        <f t="shared" si="19"/>
        <v>3243</v>
      </c>
      <c r="I133" s="1026">
        <f t="shared" si="19"/>
        <v>944</v>
      </c>
      <c r="J133" s="1026">
        <f t="shared" si="19"/>
        <v>19</v>
      </c>
      <c r="K133" s="1026">
        <f t="shared" si="19"/>
        <v>16</v>
      </c>
      <c r="L133" s="1026">
        <f t="shared" si="19"/>
        <v>0</v>
      </c>
      <c r="M133" s="1026">
        <f t="shared" si="19"/>
        <v>0</v>
      </c>
      <c r="N133" s="1026">
        <f t="shared" si="19"/>
        <v>0</v>
      </c>
      <c r="O133" s="1026">
        <f t="shared" si="19"/>
        <v>0</v>
      </c>
      <c r="P133" s="1026">
        <f t="shared" si="19"/>
        <v>0</v>
      </c>
      <c r="Q133" s="1026">
        <f t="shared" si="19"/>
        <v>0</v>
      </c>
      <c r="R133" s="1026">
        <f t="shared" si="19"/>
        <v>0</v>
      </c>
    </row>
    <row r="134" spans="1:18" s="638" customFormat="1" ht="12.75">
      <c r="A134" s="984"/>
      <c r="B134" s="1021"/>
      <c r="C134" s="1027"/>
      <c r="D134" s="981" t="s">
        <v>1041</v>
      </c>
      <c r="E134" s="1026">
        <f aca="true" t="shared" si="20" ref="E134:R134">E18+E54+E58+E62+E75+E92+E96+E113</f>
        <v>5622</v>
      </c>
      <c r="F134" s="1026">
        <f t="shared" si="20"/>
        <v>12730</v>
      </c>
      <c r="G134" s="1026">
        <f t="shared" si="20"/>
        <v>8649</v>
      </c>
      <c r="H134" s="1026">
        <f t="shared" si="20"/>
        <v>3026</v>
      </c>
      <c r="I134" s="1026">
        <f t="shared" si="20"/>
        <v>1009</v>
      </c>
      <c r="J134" s="1026">
        <f t="shared" si="20"/>
        <v>30</v>
      </c>
      <c r="K134" s="1026">
        <f t="shared" si="20"/>
        <v>16</v>
      </c>
      <c r="L134" s="1026">
        <f t="shared" si="20"/>
        <v>0</v>
      </c>
      <c r="M134" s="1026">
        <f t="shared" si="20"/>
        <v>0</v>
      </c>
      <c r="N134" s="1026">
        <f t="shared" si="20"/>
        <v>0</v>
      </c>
      <c r="O134" s="1026">
        <f t="shared" si="20"/>
        <v>0</v>
      </c>
      <c r="P134" s="1026">
        <f t="shared" si="20"/>
        <v>0</v>
      </c>
      <c r="Q134" s="1026">
        <f t="shared" si="20"/>
        <v>0</v>
      </c>
      <c r="R134" s="1026">
        <f t="shared" si="20"/>
        <v>0</v>
      </c>
    </row>
    <row r="135" spans="1:18" s="638" customFormat="1" ht="12.75">
      <c r="A135" s="984"/>
      <c r="B135" s="1021"/>
      <c r="C135" s="1027"/>
      <c r="D135" s="1021"/>
      <c r="E135" s="1026"/>
      <c r="F135" s="1026"/>
      <c r="G135" s="1026"/>
      <c r="H135" s="1026"/>
      <c r="I135" s="1026"/>
      <c r="J135" s="1026"/>
      <c r="K135" s="1026"/>
      <c r="L135" s="1026"/>
      <c r="M135" s="1026"/>
      <c r="N135" s="1026"/>
      <c r="O135" s="1026"/>
      <c r="P135" s="1026"/>
      <c r="Q135" s="1026"/>
      <c r="R135" s="1026"/>
    </row>
    <row r="136" spans="1:18" s="638" customFormat="1" ht="12.75">
      <c r="A136" s="1094" t="s">
        <v>127</v>
      </c>
      <c r="B136" s="1094"/>
      <c r="C136" s="1094"/>
      <c r="D136" s="1021" t="s">
        <v>4</v>
      </c>
      <c r="E136" s="1026">
        <f aca="true" t="shared" si="21" ref="E136:R138">E28+E36+E44+E48</f>
        <v>2350</v>
      </c>
      <c r="F136" s="1026">
        <f t="shared" si="21"/>
        <v>28689</v>
      </c>
      <c r="G136" s="1026">
        <f t="shared" si="21"/>
        <v>17600</v>
      </c>
      <c r="H136" s="1026">
        <f t="shared" si="21"/>
        <v>4919</v>
      </c>
      <c r="I136" s="1026">
        <f t="shared" si="21"/>
        <v>4320</v>
      </c>
      <c r="J136" s="1026">
        <f t="shared" si="21"/>
        <v>0</v>
      </c>
      <c r="K136" s="1026">
        <f t="shared" si="21"/>
        <v>0</v>
      </c>
      <c r="L136" s="1026">
        <f t="shared" si="21"/>
        <v>0</v>
      </c>
      <c r="M136" s="1026">
        <f t="shared" si="21"/>
        <v>0</v>
      </c>
      <c r="N136" s="1026">
        <f t="shared" si="21"/>
        <v>650</v>
      </c>
      <c r="O136" s="1026">
        <f t="shared" si="21"/>
        <v>1200</v>
      </c>
      <c r="P136" s="1026">
        <f t="shared" si="21"/>
        <v>0</v>
      </c>
      <c r="Q136" s="1026">
        <f t="shared" si="21"/>
        <v>0</v>
      </c>
      <c r="R136" s="1026">
        <f t="shared" si="21"/>
        <v>0</v>
      </c>
    </row>
    <row r="137" spans="1:18" s="638" customFormat="1" ht="12.75">
      <c r="A137" s="984"/>
      <c r="B137" s="1021"/>
      <c r="C137" s="1027"/>
      <c r="D137" s="981" t="s">
        <v>861</v>
      </c>
      <c r="E137" s="1026">
        <f t="shared" si="21"/>
        <v>800</v>
      </c>
      <c r="F137" s="1026">
        <f t="shared" si="21"/>
        <v>28094</v>
      </c>
      <c r="G137" s="1026">
        <f t="shared" si="21"/>
        <v>19265</v>
      </c>
      <c r="H137" s="1026">
        <f t="shared" si="21"/>
        <v>5424</v>
      </c>
      <c r="I137" s="1026">
        <f t="shared" si="21"/>
        <v>2205</v>
      </c>
      <c r="J137" s="1026">
        <f t="shared" si="21"/>
        <v>0</v>
      </c>
      <c r="K137" s="1026">
        <f t="shared" si="21"/>
        <v>0</v>
      </c>
      <c r="L137" s="1026">
        <f t="shared" si="21"/>
        <v>0</v>
      </c>
      <c r="M137" s="1026">
        <f t="shared" si="21"/>
        <v>0</v>
      </c>
      <c r="N137" s="1026">
        <f t="shared" si="21"/>
        <v>0</v>
      </c>
      <c r="O137" s="1026">
        <f t="shared" si="21"/>
        <v>1200</v>
      </c>
      <c r="P137" s="1026">
        <f t="shared" si="21"/>
        <v>0</v>
      </c>
      <c r="Q137" s="1026">
        <f t="shared" si="21"/>
        <v>0</v>
      </c>
      <c r="R137" s="1026">
        <f t="shared" si="21"/>
        <v>0</v>
      </c>
    </row>
    <row r="138" spans="1:18" s="638" customFormat="1" ht="12.75">
      <c r="A138" s="984"/>
      <c r="B138" s="1021"/>
      <c r="C138" s="1027"/>
      <c r="D138" s="981" t="s">
        <v>1041</v>
      </c>
      <c r="E138" s="1026">
        <f t="shared" si="21"/>
        <v>800</v>
      </c>
      <c r="F138" s="1026">
        <f t="shared" si="21"/>
        <v>17668</v>
      </c>
      <c r="G138" s="1026">
        <f t="shared" si="21"/>
        <v>12265</v>
      </c>
      <c r="H138" s="1026">
        <f t="shared" si="21"/>
        <v>3454</v>
      </c>
      <c r="I138" s="1026">
        <f t="shared" si="21"/>
        <v>705</v>
      </c>
      <c r="J138" s="1026">
        <f t="shared" si="21"/>
        <v>0</v>
      </c>
      <c r="K138" s="1026">
        <f t="shared" si="21"/>
        <v>0</v>
      </c>
      <c r="L138" s="1026">
        <f t="shared" si="21"/>
        <v>0</v>
      </c>
      <c r="M138" s="1026">
        <f t="shared" si="21"/>
        <v>0</v>
      </c>
      <c r="N138" s="1026">
        <f t="shared" si="21"/>
        <v>44</v>
      </c>
      <c r="O138" s="1026">
        <f t="shared" si="21"/>
        <v>1200</v>
      </c>
      <c r="P138" s="1026">
        <f t="shared" si="21"/>
        <v>0</v>
      </c>
      <c r="Q138" s="1026">
        <f t="shared" si="21"/>
        <v>0</v>
      </c>
      <c r="R138" s="1026">
        <f t="shared" si="21"/>
        <v>0</v>
      </c>
    </row>
    <row r="139" spans="1:18" s="638" customFormat="1" ht="12.75">
      <c r="A139" s="984"/>
      <c r="B139" s="1021"/>
      <c r="C139" s="1027"/>
      <c r="D139" s="1021"/>
      <c r="E139" s="1026"/>
      <c r="F139" s="1026"/>
      <c r="G139" s="1026"/>
      <c r="H139" s="1026"/>
      <c r="I139" s="1026"/>
      <c r="J139" s="1026"/>
      <c r="K139" s="1026"/>
      <c r="L139" s="1026"/>
      <c r="M139" s="1026"/>
      <c r="N139" s="1026"/>
      <c r="O139" s="1026"/>
      <c r="P139" s="1026"/>
      <c r="Q139" s="1026"/>
      <c r="R139" s="1026"/>
    </row>
    <row r="140" spans="1:18" s="638" customFormat="1" ht="12.75">
      <c r="A140" s="1094" t="s">
        <v>128</v>
      </c>
      <c r="B140" s="1094"/>
      <c r="C140" s="1094"/>
      <c r="D140" s="1021" t="s">
        <v>4</v>
      </c>
      <c r="E140" s="1026">
        <f aca="true" t="shared" si="22" ref="E140:R142">E7+E12+E20+E24+E32+E40+E69+E77+E86+E98+E107+E115</f>
        <v>703564</v>
      </c>
      <c r="F140" s="1026">
        <f t="shared" si="22"/>
        <v>668154</v>
      </c>
      <c r="G140" s="1026">
        <f t="shared" si="22"/>
        <v>377404</v>
      </c>
      <c r="H140" s="1026">
        <f t="shared" si="22"/>
        <v>117208</v>
      </c>
      <c r="I140" s="1026">
        <f t="shared" si="22"/>
        <v>140495</v>
      </c>
      <c r="J140" s="1026">
        <f t="shared" si="22"/>
        <v>0</v>
      </c>
      <c r="K140" s="1026">
        <f t="shared" si="22"/>
        <v>0</v>
      </c>
      <c r="L140" s="1026">
        <f t="shared" si="22"/>
        <v>0</v>
      </c>
      <c r="M140" s="1026">
        <f t="shared" si="22"/>
        <v>0</v>
      </c>
      <c r="N140" s="1026">
        <f t="shared" si="22"/>
        <v>33047</v>
      </c>
      <c r="O140" s="1026">
        <f t="shared" si="22"/>
        <v>0</v>
      </c>
      <c r="P140" s="1026">
        <f t="shared" si="22"/>
        <v>0</v>
      </c>
      <c r="Q140" s="1026">
        <f t="shared" si="22"/>
        <v>0</v>
      </c>
      <c r="R140" s="1026">
        <f t="shared" si="22"/>
        <v>0</v>
      </c>
    </row>
    <row r="141" spans="1:18" s="638" customFormat="1" ht="12.75">
      <c r="A141" s="1028"/>
      <c r="B141" s="1028"/>
      <c r="C141" s="1029"/>
      <c r="D141" s="981" t="s">
        <v>861</v>
      </c>
      <c r="E141" s="1026">
        <f t="shared" si="22"/>
        <v>741020</v>
      </c>
      <c r="F141" s="1026">
        <f t="shared" si="22"/>
        <v>703658</v>
      </c>
      <c r="G141" s="1026">
        <f t="shared" si="22"/>
        <v>387918</v>
      </c>
      <c r="H141" s="1026">
        <f t="shared" si="22"/>
        <v>121988</v>
      </c>
      <c r="I141" s="1026">
        <f t="shared" si="22"/>
        <v>141953</v>
      </c>
      <c r="J141" s="1026">
        <f t="shared" si="22"/>
        <v>15000</v>
      </c>
      <c r="K141" s="1026">
        <f t="shared" si="22"/>
        <v>0</v>
      </c>
      <c r="L141" s="1026">
        <f t="shared" si="22"/>
        <v>0</v>
      </c>
      <c r="M141" s="1026">
        <f t="shared" si="22"/>
        <v>185</v>
      </c>
      <c r="N141" s="1026">
        <f t="shared" si="22"/>
        <v>36614</v>
      </c>
      <c r="O141" s="1026">
        <f t="shared" si="22"/>
        <v>0</v>
      </c>
      <c r="P141" s="1026">
        <f t="shared" si="22"/>
        <v>0</v>
      </c>
      <c r="Q141" s="1026">
        <f t="shared" si="22"/>
        <v>0</v>
      </c>
      <c r="R141" s="1026">
        <f t="shared" si="22"/>
        <v>0</v>
      </c>
    </row>
    <row r="142" spans="1:18" s="638" customFormat="1" ht="12.75">
      <c r="A142" s="1028"/>
      <c r="B142" s="1028"/>
      <c r="C142" s="1029"/>
      <c r="D142" s="981" t="s">
        <v>1041</v>
      </c>
      <c r="E142" s="1026">
        <f t="shared" si="22"/>
        <v>633665</v>
      </c>
      <c r="F142" s="1026">
        <f t="shared" si="22"/>
        <v>609689</v>
      </c>
      <c r="G142" s="1026">
        <f t="shared" si="22"/>
        <v>353214</v>
      </c>
      <c r="H142" s="1026">
        <f t="shared" si="22"/>
        <v>109745</v>
      </c>
      <c r="I142" s="1026">
        <f t="shared" si="22"/>
        <v>110974</v>
      </c>
      <c r="J142" s="1026">
        <f t="shared" si="22"/>
        <v>15000</v>
      </c>
      <c r="K142" s="1026">
        <f t="shared" si="22"/>
        <v>0</v>
      </c>
      <c r="L142" s="1026">
        <f t="shared" si="22"/>
        <v>0</v>
      </c>
      <c r="M142" s="1026">
        <f t="shared" si="22"/>
        <v>186</v>
      </c>
      <c r="N142" s="1026">
        <f t="shared" si="22"/>
        <v>20570</v>
      </c>
      <c r="O142" s="1026">
        <f t="shared" si="22"/>
        <v>0</v>
      </c>
      <c r="P142" s="1026">
        <f t="shared" si="22"/>
        <v>0</v>
      </c>
      <c r="Q142" s="1026">
        <f t="shared" si="22"/>
        <v>0</v>
      </c>
      <c r="R142" s="1026">
        <f t="shared" si="22"/>
        <v>0</v>
      </c>
    </row>
    <row r="144" spans="1:9" ht="12.75">
      <c r="A144" s="1084" t="s">
        <v>1143</v>
      </c>
      <c r="B144" s="1084"/>
      <c r="C144" s="1084"/>
      <c r="D144" s="1084"/>
      <c r="E144" s="1084"/>
      <c r="F144" s="1084"/>
      <c r="G144" s="1084"/>
      <c r="H144" s="1084"/>
      <c r="I144" s="1034"/>
    </row>
    <row r="145" spans="1:9" ht="12.75">
      <c r="A145" s="1084" t="s">
        <v>1144</v>
      </c>
      <c r="B145" s="1084"/>
      <c r="C145" s="1084"/>
      <c r="D145" s="1084"/>
      <c r="E145" s="1084"/>
      <c r="F145" s="1084"/>
      <c r="G145" s="1084"/>
      <c r="H145" s="1084"/>
      <c r="I145" s="1084"/>
    </row>
    <row r="146" spans="1:9" ht="12.75">
      <c r="A146" s="1084" t="s">
        <v>1145</v>
      </c>
      <c r="B146" s="1084"/>
      <c r="C146" s="1084"/>
      <c r="D146" s="1084"/>
      <c r="E146" s="1084"/>
      <c r="F146" s="1084"/>
      <c r="G146" s="1084"/>
      <c r="H146" s="1084"/>
      <c r="I146" s="1084"/>
    </row>
    <row r="147" spans="1:9" ht="12.75">
      <c r="A147" s="1084" t="s">
        <v>1146</v>
      </c>
      <c r="B147" s="1084"/>
      <c r="C147" s="1084"/>
      <c r="D147" s="1084"/>
      <c r="E147" s="1084"/>
      <c r="F147" s="1084"/>
      <c r="G147" s="1084"/>
      <c r="H147" s="1084"/>
      <c r="I147" s="1084"/>
    </row>
    <row r="153" s="638" customFormat="1" ht="12.75" hidden="1"/>
    <row r="154" s="638" customFormat="1" ht="12.75" hidden="1"/>
    <row r="155" spans="1:1024" s="638" customFormat="1" ht="12.75" hidden="1">
      <c r="A155" s="637"/>
      <c r="B155" s="637"/>
      <c r="C155" s="637"/>
      <c r="D155" s="637"/>
      <c r="E155" s="637"/>
      <c r="F155" s="637"/>
      <c r="G155" s="637"/>
      <c r="H155" s="637"/>
      <c r="I155" s="637"/>
      <c r="J155" s="637"/>
      <c r="K155" s="637"/>
      <c r="L155" s="637"/>
      <c r="M155" s="637"/>
      <c r="N155" s="637"/>
      <c r="O155" s="637"/>
      <c r="P155" s="637"/>
      <c r="Q155" s="637"/>
      <c r="R155" s="637"/>
      <c r="S155" s="637"/>
      <c r="T155" s="637"/>
      <c r="U155" s="637"/>
      <c r="V155" s="637"/>
      <c r="W155" s="637"/>
      <c r="X155" s="637"/>
      <c r="Y155" s="637"/>
      <c r="Z155" s="637"/>
      <c r="AA155" s="637"/>
      <c r="AB155" s="637"/>
      <c r="AC155" s="637"/>
      <c r="AD155" s="637"/>
      <c r="AE155" s="637"/>
      <c r="AF155" s="637"/>
      <c r="AG155" s="637"/>
      <c r="AH155" s="637"/>
      <c r="AI155" s="637"/>
      <c r="AJ155" s="637"/>
      <c r="AK155" s="637"/>
      <c r="AL155" s="637"/>
      <c r="AM155" s="637"/>
      <c r="AN155" s="637"/>
      <c r="AO155" s="637"/>
      <c r="AP155" s="637"/>
      <c r="AQ155" s="637"/>
      <c r="AR155" s="637"/>
      <c r="AS155" s="637"/>
      <c r="AT155" s="637"/>
      <c r="AU155" s="637"/>
      <c r="AV155" s="637"/>
      <c r="AW155" s="637"/>
      <c r="AX155" s="637"/>
      <c r="AY155" s="637"/>
      <c r="AZ155" s="637"/>
      <c r="BA155" s="637"/>
      <c r="BB155" s="637"/>
      <c r="BC155" s="637"/>
      <c r="BD155" s="637"/>
      <c r="BE155" s="637"/>
      <c r="BF155" s="637"/>
      <c r="BG155" s="637"/>
      <c r="BH155" s="637"/>
      <c r="BI155" s="637"/>
      <c r="BJ155" s="637"/>
      <c r="BK155" s="637"/>
      <c r="BL155" s="637"/>
      <c r="BM155" s="637"/>
      <c r="BN155" s="637"/>
      <c r="BO155" s="637"/>
      <c r="BP155" s="637"/>
      <c r="BQ155" s="637"/>
      <c r="BR155" s="637"/>
      <c r="BS155" s="637"/>
      <c r="BT155" s="637"/>
      <c r="BU155" s="637"/>
      <c r="BV155" s="637"/>
      <c r="BW155" s="637"/>
      <c r="BX155" s="637"/>
      <c r="BY155" s="637"/>
      <c r="BZ155" s="637"/>
      <c r="CA155" s="637"/>
      <c r="CB155" s="637"/>
      <c r="CC155" s="637"/>
      <c r="CD155" s="637"/>
      <c r="CE155" s="637"/>
      <c r="CF155" s="637"/>
      <c r="CG155" s="637"/>
      <c r="CH155" s="637"/>
      <c r="CI155" s="637"/>
      <c r="CJ155" s="637"/>
      <c r="CK155" s="637"/>
      <c r="CL155" s="637"/>
      <c r="CM155" s="637"/>
      <c r="CN155" s="637"/>
      <c r="CO155" s="637"/>
      <c r="CP155" s="637"/>
      <c r="CQ155" s="637"/>
      <c r="CR155" s="637"/>
      <c r="CS155" s="637"/>
      <c r="CT155" s="637"/>
      <c r="CU155" s="637"/>
      <c r="CV155" s="637"/>
      <c r="CW155" s="637"/>
      <c r="CX155" s="637"/>
      <c r="CY155" s="637"/>
      <c r="CZ155" s="637"/>
      <c r="DA155" s="637"/>
      <c r="DB155" s="637"/>
      <c r="DC155" s="637"/>
      <c r="DD155" s="637"/>
      <c r="DE155" s="637"/>
      <c r="DF155" s="637"/>
      <c r="DG155" s="637"/>
      <c r="DH155" s="637"/>
      <c r="DI155" s="637"/>
      <c r="DJ155" s="637"/>
      <c r="DK155" s="637"/>
      <c r="DL155" s="637"/>
      <c r="DM155" s="637"/>
      <c r="DN155" s="637"/>
      <c r="DO155" s="637"/>
      <c r="DP155" s="637"/>
      <c r="DQ155" s="637"/>
      <c r="DR155" s="637"/>
      <c r="DS155" s="637"/>
      <c r="DT155" s="637"/>
      <c r="DU155" s="637"/>
      <c r="DV155" s="637"/>
      <c r="DW155" s="637"/>
      <c r="DX155" s="637"/>
      <c r="DY155" s="637"/>
      <c r="DZ155" s="637"/>
      <c r="EA155" s="637"/>
      <c r="EB155" s="637"/>
      <c r="EC155" s="637"/>
      <c r="ED155" s="637"/>
      <c r="EE155" s="637"/>
      <c r="EF155" s="637"/>
      <c r="EG155" s="637"/>
      <c r="EH155" s="637"/>
      <c r="EI155" s="637"/>
      <c r="EJ155" s="637"/>
      <c r="EK155" s="637"/>
      <c r="EL155" s="637"/>
      <c r="EM155" s="637"/>
      <c r="EN155" s="637"/>
      <c r="EO155" s="637"/>
      <c r="EP155" s="637"/>
      <c r="EQ155" s="637"/>
      <c r="ER155" s="637"/>
      <c r="ES155" s="637"/>
      <c r="ET155" s="637"/>
      <c r="EU155" s="637"/>
      <c r="EV155" s="637"/>
      <c r="EW155" s="637"/>
      <c r="EX155" s="637"/>
      <c r="EY155" s="637"/>
      <c r="EZ155" s="637"/>
      <c r="FA155" s="637"/>
      <c r="FB155" s="637"/>
      <c r="FC155" s="637"/>
      <c r="FD155" s="637"/>
      <c r="FE155" s="637"/>
      <c r="FF155" s="637"/>
      <c r="FG155" s="637"/>
      <c r="FH155" s="637"/>
      <c r="FI155" s="637"/>
      <c r="FJ155" s="637"/>
      <c r="FK155" s="637"/>
      <c r="FL155" s="637"/>
      <c r="FM155" s="637"/>
      <c r="FN155" s="637"/>
      <c r="FO155" s="637"/>
      <c r="FP155" s="637"/>
      <c r="FQ155" s="637"/>
      <c r="FR155" s="637"/>
      <c r="FS155" s="637"/>
      <c r="FT155" s="637"/>
      <c r="FU155" s="637"/>
      <c r="FV155" s="637"/>
      <c r="FW155" s="637"/>
      <c r="FX155" s="637"/>
      <c r="FY155" s="637"/>
      <c r="FZ155" s="637"/>
      <c r="GA155" s="637"/>
      <c r="GB155" s="637"/>
      <c r="GC155" s="637"/>
      <c r="GD155" s="637"/>
      <c r="GE155" s="637"/>
      <c r="GF155" s="637"/>
      <c r="GG155" s="637"/>
      <c r="GH155" s="637"/>
      <c r="GI155" s="637"/>
      <c r="GJ155" s="637"/>
      <c r="GK155" s="637"/>
      <c r="GL155" s="637"/>
      <c r="GM155" s="637"/>
      <c r="GN155" s="637"/>
      <c r="GO155" s="637"/>
      <c r="GP155" s="637"/>
      <c r="GQ155" s="637"/>
      <c r="GR155" s="637"/>
      <c r="GS155" s="637"/>
      <c r="GT155" s="637"/>
      <c r="GU155" s="637"/>
      <c r="GV155" s="637"/>
      <c r="GW155" s="637"/>
      <c r="GX155" s="637"/>
      <c r="GY155" s="637"/>
      <c r="GZ155" s="637"/>
      <c r="HA155" s="637"/>
      <c r="HB155" s="637"/>
      <c r="HC155" s="637"/>
      <c r="HD155" s="637"/>
      <c r="HE155" s="637"/>
      <c r="HF155" s="637"/>
      <c r="HG155" s="637"/>
      <c r="HH155" s="637"/>
      <c r="HI155" s="637"/>
      <c r="HJ155" s="637"/>
      <c r="HK155" s="637"/>
      <c r="HL155" s="637"/>
      <c r="HM155" s="637"/>
      <c r="HN155" s="637"/>
      <c r="HO155" s="637"/>
      <c r="HP155" s="637"/>
      <c r="HQ155" s="637"/>
      <c r="HR155" s="637"/>
      <c r="HS155" s="637"/>
      <c r="HT155" s="637"/>
      <c r="HU155" s="637"/>
      <c r="HV155" s="637"/>
      <c r="HW155" s="637"/>
      <c r="HX155" s="637"/>
      <c r="HY155" s="637"/>
      <c r="HZ155" s="637"/>
      <c r="IA155" s="637"/>
      <c r="IB155" s="637"/>
      <c r="IC155" s="637"/>
      <c r="ID155" s="637"/>
      <c r="IE155" s="637"/>
      <c r="IF155" s="637"/>
      <c r="IG155" s="637"/>
      <c r="IH155" s="637"/>
      <c r="II155" s="637"/>
      <c r="IJ155" s="637"/>
      <c r="IK155" s="637"/>
      <c r="IL155" s="637"/>
      <c r="IM155" s="637"/>
      <c r="IN155" s="637"/>
      <c r="IO155" s="637"/>
      <c r="IP155" s="637"/>
      <c r="IQ155" s="637"/>
      <c r="IR155" s="637"/>
      <c r="IS155" s="637"/>
      <c r="IT155" s="637"/>
      <c r="IU155" s="637"/>
      <c r="IV155" s="637"/>
      <c r="IW155" s="637"/>
      <c r="IX155" s="637"/>
      <c r="IY155" s="637"/>
      <c r="IZ155" s="637"/>
      <c r="JA155" s="637"/>
      <c r="JB155" s="637"/>
      <c r="JC155" s="637"/>
      <c r="JD155" s="637"/>
      <c r="JE155" s="637"/>
      <c r="JF155" s="637"/>
      <c r="JG155" s="637"/>
      <c r="JH155" s="637"/>
      <c r="JI155" s="637"/>
      <c r="JJ155" s="637"/>
      <c r="JK155" s="637"/>
      <c r="JL155" s="637"/>
      <c r="JM155" s="637"/>
      <c r="JN155" s="637"/>
      <c r="JO155" s="637"/>
      <c r="JP155" s="637"/>
      <c r="JQ155" s="637"/>
      <c r="JR155" s="637"/>
      <c r="JS155" s="637"/>
      <c r="JT155" s="637"/>
      <c r="JU155" s="637"/>
      <c r="JV155" s="637"/>
      <c r="JW155" s="637"/>
      <c r="JX155" s="637"/>
      <c r="JY155" s="637"/>
      <c r="JZ155" s="637"/>
      <c r="KA155" s="637"/>
      <c r="KB155" s="637"/>
      <c r="KC155" s="637"/>
      <c r="KD155" s="637"/>
      <c r="KE155" s="637"/>
      <c r="KF155" s="637"/>
      <c r="KG155" s="637"/>
      <c r="KH155" s="637"/>
      <c r="KI155" s="637"/>
      <c r="KJ155" s="637"/>
      <c r="KK155" s="637"/>
      <c r="KL155" s="637"/>
      <c r="KM155" s="637"/>
      <c r="KN155" s="637"/>
      <c r="KO155" s="637"/>
      <c r="KP155" s="637"/>
      <c r="KQ155" s="637"/>
      <c r="KR155" s="637"/>
      <c r="KS155" s="637"/>
      <c r="KT155" s="637"/>
      <c r="KU155" s="637"/>
      <c r="KV155" s="637"/>
      <c r="KW155" s="637"/>
      <c r="KX155" s="637"/>
      <c r="KY155" s="637"/>
      <c r="KZ155" s="637"/>
      <c r="LA155" s="637"/>
      <c r="LB155" s="637"/>
      <c r="LC155" s="637"/>
      <c r="LD155" s="637"/>
      <c r="LE155" s="637"/>
      <c r="LF155" s="637"/>
      <c r="LG155" s="637"/>
      <c r="LH155" s="637"/>
      <c r="LI155" s="637"/>
      <c r="LJ155" s="637"/>
      <c r="LK155" s="637"/>
      <c r="LL155" s="637"/>
      <c r="LM155" s="637"/>
      <c r="LN155" s="637"/>
      <c r="LO155" s="637"/>
      <c r="LP155" s="637"/>
      <c r="LQ155" s="637"/>
      <c r="LR155" s="637"/>
      <c r="LS155" s="637"/>
      <c r="LT155" s="637"/>
      <c r="LU155" s="637"/>
      <c r="LV155" s="637"/>
      <c r="LW155" s="637"/>
      <c r="LX155" s="637"/>
      <c r="LY155" s="637"/>
      <c r="LZ155" s="637"/>
      <c r="MA155" s="637"/>
      <c r="MB155" s="637"/>
      <c r="MC155" s="637"/>
      <c r="MD155" s="637"/>
      <c r="ME155" s="637"/>
      <c r="MF155" s="637"/>
      <c r="MG155" s="637"/>
      <c r="MH155" s="637"/>
      <c r="MI155" s="637"/>
      <c r="MJ155" s="637"/>
      <c r="MK155" s="637"/>
      <c r="ML155" s="637"/>
      <c r="MM155" s="637"/>
      <c r="MN155" s="637"/>
      <c r="MO155" s="637"/>
      <c r="MP155" s="637"/>
      <c r="MQ155" s="637"/>
      <c r="MR155" s="637"/>
      <c r="MS155" s="637"/>
      <c r="MT155" s="637"/>
      <c r="MU155" s="637"/>
      <c r="MV155" s="637"/>
      <c r="MW155" s="637"/>
      <c r="MX155" s="637"/>
      <c r="MY155" s="637"/>
      <c r="MZ155" s="637"/>
      <c r="NA155" s="637"/>
      <c r="NB155" s="637"/>
      <c r="NC155" s="637"/>
      <c r="ND155" s="637"/>
      <c r="NE155" s="637"/>
      <c r="NF155" s="637"/>
      <c r="NG155" s="637"/>
      <c r="NH155" s="637"/>
      <c r="NI155" s="637"/>
      <c r="NJ155" s="637"/>
      <c r="NK155" s="637"/>
      <c r="NL155" s="637"/>
      <c r="NM155" s="637"/>
      <c r="NN155" s="637"/>
      <c r="NO155" s="637"/>
      <c r="NP155" s="637"/>
      <c r="NQ155" s="637"/>
      <c r="NR155" s="637"/>
      <c r="NS155" s="637"/>
      <c r="NT155" s="637"/>
      <c r="NU155" s="637"/>
      <c r="NV155" s="637"/>
      <c r="NW155" s="637"/>
      <c r="NX155" s="637"/>
      <c r="NY155" s="637"/>
      <c r="NZ155" s="637"/>
      <c r="OA155" s="637"/>
      <c r="OB155" s="637"/>
      <c r="OC155" s="637"/>
      <c r="OD155" s="637"/>
      <c r="OE155" s="637"/>
      <c r="OF155" s="637"/>
      <c r="OG155" s="637"/>
      <c r="OH155" s="637"/>
      <c r="OI155" s="637"/>
      <c r="OJ155" s="637"/>
      <c r="OK155" s="637"/>
      <c r="OL155" s="637"/>
      <c r="OM155" s="637"/>
      <c r="ON155" s="637"/>
      <c r="OO155" s="637"/>
      <c r="OP155" s="637"/>
      <c r="OQ155" s="637"/>
      <c r="OR155" s="637"/>
      <c r="OS155" s="637"/>
      <c r="OT155" s="637"/>
      <c r="OU155" s="637"/>
      <c r="OV155" s="637"/>
      <c r="OW155" s="637"/>
      <c r="OX155" s="637"/>
      <c r="OY155" s="637"/>
      <c r="OZ155" s="637"/>
      <c r="PA155" s="637"/>
      <c r="PB155" s="637"/>
      <c r="PC155" s="637"/>
      <c r="PD155" s="637"/>
      <c r="PE155" s="637"/>
      <c r="PF155" s="637"/>
      <c r="PG155" s="637"/>
      <c r="PH155" s="637"/>
      <c r="PI155" s="637"/>
      <c r="PJ155" s="637"/>
      <c r="PK155" s="637"/>
      <c r="PL155" s="637"/>
      <c r="PM155" s="637"/>
      <c r="PN155" s="637"/>
      <c r="PO155" s="637"/>
      <c r="PP155" s="637"/>
      <c r="PQ155" s="637"/>
      <c r="PR155" s="637"/>
      <c r="PS155" s="637"/>
      <c r="PT155" s="637"/>
      <c r="PU155" s="637"/>
      <c r="PV155" s="637"/>
      <c r="PW155" s="637"/>
      <c r="PX155" s="637"/>
      <c r="PY155" s="637"/>
      <c r="PZ155" s="637"/>
      <c r="QA155" s="637"/>
      <c r="QB155" s="637"/>
      <c r="QC155" s="637"/>
      <c r="QD155" s="637"/>
      <c r="QE155" s="637"/>
      <c r="QF155" s="637"/>
      <c r="QG155" s="637"/>
      <c r="QH155" s="637"/>
      <c r="QI155" s="637"/>
      <c r="QJ155" s="637"/>
      <c r="QK155" s="637"/>
      <c r="QL155" s="637"/>
      <c r="QM155" s="637"/>
      <c r="QN155" s="637"/>
      <c r="QO155" s="637"/>
      <c r="QP155" s="637"/>
      <c r="QQ155" s="637"/>
      <c r="QR155" s="637"/>
      <c r="QS155" s="637"/>
      <c r="QT155" s="637"/>
      <c r="QU155" s="637"/>
      <c r="QV155" s="637"/>
      <c r="QW155" s="637"/>
      <c r="QX155" s="637"/>
      <c r="QY155" s="637"/>
      <c r="QZ155" s="637"/>
      <c r="RA155" s="637"/>
      <c r="RB155" s="637"/>
      <c r="RC155" s="637"/>
      <c r="RD155" s="637"/>
      <c r="RE155" s="637"/>
      <c r="RF155" s="637"/>
      <c r="RG155" s="637"/>
      <c r="RH155" s="637"/>
      <c r="RI155" s="637"/>
      <c r="RJ155" s="637"/>
      <c r="RK155" s="637"/>
      <c r="RL155" s="637"/>
      <c r="RM155" s="637"/>
      <c r="RN155" s="637"/>
      <c r="RO155" s="637"/>
      <c r="RP155" s="637"/>
      <c r="RQ155" s="637"/>
      <c r="RR155" s="637"/>
      <c r="RS155" s="637"/>
      <c r="RT155" s="637"/>
      <c r="RU155" s="637"/>
      <c r="RV155" s="637"/>
      <c r="RW155" s="637"/>
      <c r="RX155" s="637"/>
      <c r="RY155" s="637"/>
      <c r="RZ155" s="637"/>
      <c r="SA155" s="637"/>
      <c r="SB155" s="637"/>
      <c r="SC155" s="637"/>
      <c r="SD155" s="637"/>
      <c r="SE155" s="637"/>
      <c r="SF155" s="637"/>
      <c r="SG155" s="637"/>
      <c r="SH155" s="637"/>
      <c r="SI155" s="637"/>
      <c r="SJ155" s="637"/>
      <c r="SK155" s="637"/>
      <c r="SL155" s="637"/>
      <c r="SM155" s="637"/>
      <c r="SN155" s="637"/>
      <c r="SO155" s="637"/>
      <c r="SP155" s="637"/>
      <c r="SQ155" s="637"/>
      <c r="SR155" s="637"/>
      <c r="SS155" s="637"/>
      <c r="ST155" s="637"/>
      <c r="SU155" s="637"/>
      <c r="SV155" s="637"/>
      <c r="SW155" s="637"/>
      <c r="SX155" s="637"/>
      <c r="SY155" s="637"/>
      <c r="SZ155" s="637"/>
      <c r="TA155" s="637"/>
      <c r="TB155" s="637"/>
      <c r="TC155" s="637"/>
      <c r="TD155" s="637"/>
      <c r="TE155" s="637"/>
      <c r="TF155" s="637"/>
      <c r="TG155" s="637"/>
      <c r="TH155" s="637"/>
      <c r="TI155" s="637"/>
      <c r="TJ155" s="637"/>
      <c r="TK155" s="637"/>
      <c r="TL155" s="637"/>
      <c r="TM155" s="637"/>
      <c r="TN155" s="637"/>
      <c r="TO155" s="637"/>
      <c r="TP155" s="637"/>
      <c r="TQ155" s="637"/>
      <c r="TR155" s="637"/>
      <c r="TS155" s="637"/>
      <c r="TT155" s="637"/>
      <c r="TU155" s="637"/>
      <c r="TV155" s="637"/>
      <c r="TW155" s="637"/>
      <c r="TX155" s="637"/>
      <c r="TY155" s="637"/>
      <c r="TZ155" s="637"/>
      <c r="UA155" s="637"/>
      <c r="UB155" s="637"/>
      <c r="UC155" s="637"/>
      <c r="UD155" s="637"/>
      <c r="UE155" s="637"/>
      <c r="UF155" s="637"/>
      <c r="UG155" s="637"/>
      <c r="UH155" s="637"/>
      <c r="UI155" s="637"/>
      <c r="UJ155" s="637"/>
      <c r="UK155" s="637"/>
      <c r="UL155" s="637"/>
      <c r="UM155" s="637"/>
      <c r="UN155" s="637"/>
      <c r="UO155" s="637"/>
      <c r="UP155" s="637"/>
      <c r="UQ155" s="637"/>
      <c r="UR155" s="637"/>
      <c r="US155" s="637"/>
      <c r="UT155" s="637"/>
      <c r="UU155" s="637"/>
      <c r="UV155" s="637"/>
      <c r="UW155" s="637"/>
      <c r="UX155" s="637"/>
      <c r="UY155" s="637"/>
      <c r="UZ155" s="637"/>
      <c r="VA155" s="637"/>
      <c r="VB155" s="637"/>
      <c r="VC155" s="637"/>
      <c r="VD155" s="637"/>
      <c r="VE155" s="637"/>
      <c r="VF155" s="637"/>
      <c r="VG155" s="637"/>
      <c r="VH155" s="637"/>
      <c r="VI155" s="637"/>
      <c r="VJ155" s="637"/>
      <c r="VK155" s="637"/>
      <c r="VL155" s="637"/>
      <c r="VM155" s="637"/>
      <c r="VN155" s="637"/>
      <c r="VO155" s="637"/>
      <c r="VP155" s="637"/>
      <c r="VQ155" s="637"/>
      <c r="VR155" s="637"/>
      <c r="VS155" s="637"/>
      <c r="VT155" s="637"/>
      <c r="VU155" s="637"/>
      <c r="VV155" s="637"/>
      <c r="VW155" s="637"/>
      <c r="VX155" s="637"/>
      <c r="VY155" s="637"/>
      <c r="VZ155" s="637"/>
      <c r="WA155" s="637"/>
      <c r="WB155" s="637"/>
      <c r="WC155" s="637"/>
      <c r="WD155" s="637"/>
      <c r="WE155" s="637"/>
      <c r="WF155" s="637"/>
      <c r="WG155" s="637"/>
      <c r="WH155" s="637"/>
      <c r="WI155" s="637"/>
      <c r="WJ155" s="637"/>
      <c r="WK155" s="637"/>
      <c r="WL155" s="637"/>
      <c r="WM155" s="637"/>
      <c r="WN155" s="637"/>
      <c r="WO155" s="637"/>
      <c r="WP155" s="637"/>
      <c r="WQ155" s="637"/>
      <c r="WR155" s="637"/>
      <c r="WS155" s="637"/>
      <c r="WT155" s="637"/>
      <c r="WU155" s="637"/>
      <c r="WV155" s="637"/>
      <c r="WW155" s="637"/>
      <c r="WX155" s="637"/>
      <c r="WY155" s="637"/>
      <c r="WZ155" s="637"/>
      <c r="XA155" s="637"/>
      <c r="XB155" s="637"/>
      <c r="XC155" s="637"/>
      <c r="XD155" s="637"/>
      <c r="XE155" s="637"/>
      <c r="XF155" s="637"/>
      <c r="XG155" s="637"/>
      <c r="XH155" s="637"/>
      <c r="XI155" s="637"/>
      <c r="XJ155" s="637"/>
      <c r="XK155" s="637"/>
      <c r="XL155" s="637"/>
      <c r="XM155" s="637"/>
      <c r="XN155" s="637"/>
      <c r="XO155" s="637"/>
      <c r="XP155" s="637"/>
      <c r="XQ155" s="637"/>
      <c r="XR155" s="637"/>
      <c r="XS155" s="637"/>
      <c r="XT155" s="637"/>
      <c r="XU155" s="637"/>
      <c r="XV155" s="637"/>
      <c r="XW155" s="637"/>
      <c r="XX155" s="637"/>
      <c r="XY155" s="637"/>
      <c r="XZ155" s="637"/>
      <c r="YA155" s="637"/>
      <c r="YB155" s="637"/>
      <c r="YC155" s="637"/>
      <c r="YD155" s="637"/>
      <c r="YE155" s="637"/>
      <c r="YF155" s="637"/>
      <c r="YG155" s="637"/>
      <c r="YH155" s="637"/>
      <c r="YI155" s="637"/>
      <c r="YJ155" s="637"/>
      <c r="YK155" s="637"/>
      <c r="YL155" s="637"/>
      <c r="YM155" s="637"/>
      <c r="YN155" s="637"/>
      <c r="YO155" s="637"/>
      <c r="YP155" s="637"/>
      <c r="YQ155" s="637"/>
      <c r="YR155" s="637"/>
      <c r="YS155" s="637"/>
      <c r="YT155" s="637"/>
      <c r="YU155" s="637"/>
      <c r="YV155" s="637"/>
      <c r="YW155" s="637"/>
      <c r="YX155" s="637"/>
      <c r="YY155" s="637"/>
      <c r="YZ155" s="637"/>
      <c r="ZA155" s="637"/>
      <c r="ZB155" s="637"/>
      <c r="ZC155" s="637"/>
      <c r="ZD155" s="637"/>
      <c r="ZE155" s="637"/>
      <c r="ZF155" s="637"/>
      <c r="ZG155" s="637"/>
      <c r="ZH155" s="637"/>
      <c r="ZI155" s="637"/>
      <c r="ZJ155" s="637"/>
      <c r="ZK155" s="637"/>
      <c r="ZL155" s="637"/>
      <c r="ZM155" s="637"/>
      <c r="ZN155" s="637"/>
      <c r="ZO155" s="637"/>
      <c r="ZP155" s="637"/>
      <c r="ZQ155" s="637"/>
      <c r="ZR155" s="637"/>
      <c r="ZS155" s="637"/>
      <c r="ZT155" s="637"/>
      <c r="ZU155" s="637"/>
      <c r="ZV155" s="637"/>
      <c r="ZW155" s="637"/>
      <c r="ZX155" s="637"/>
      <c r="ZY155" s="637"/>
      <c r="ZZ155" s="637"/>
      <c r="AAA155" s="637"/>
      <c r="AAB155" s="637"/>
      <c r="AAC155" s="637"/>
      <c r="AAD155" s="637"/>
      <c r="AAE155" s="637"/>
      <c r="AAF155" s="637"/>
      <c r="AAG155" s="637"/>
      <c r="AAH155" s="637"/>
      <c r="AAI155" s="637"/>
      <c r="AAJ155" s="637"/>
      <c r="AAK155" s="637"/>
      <c r="AAL155" s="637"/>
      <c r="AAM155" s="637"/>
      <c r="AAN155" s="637"/>
      <c r="AAO155" s="637"/>
      <c r="AAP155" s="637"/>
      <c r="AAQ155" s="637"/>
      <c r="AAR155" s="637"/>
      <c r="AAS155" s="637"/>
      <c r="AAT155" s="637"/>
      <c r="AAU155" s="637"/>
      <c r="AAV155" s="637"/>
      <c r="AAW155" s="637"/>
      <c r="AAX155" s="637"/>
      <c r="AAY155" s="637"/>
      <c r="AAZ155" s="637"/>
      <c r="ABA155" s="637"/>
      <c r="ABB155" s="637"/>
      <c r="ABC155" s="637"/>
      <c r="ABD155" s="637"/>
      <c r="ABE155" s="637"/>
      <c r="ABF155" s="637"/>
      <c r="ABG155" s="637"/>
      <c r="ABH155" s="637"/>
      <c r="ABI155" s="637"/>
      <c r="ABJ155" s="637"/>
      <c r="ABK155" s="637"/>
      <c r="ABL155" s="637"/>
      <c r="ABM155" s="637"/>
      <c r="ABN155" s="637"/>
      <c r="ABO155" s="637"/>
      <c r="ABP155" s="637"/>
      <c r="ABQ155" s="637"/>
      <c r="ABR155" s="637"/>
      <c r="ABS155" s="637"/>
      <c r="ABT155" s="637"/>
      <c r="ABU155" s="637"/>
      <c r="ABV155" s="637"/>
      <c r="ABW155" s="637"/>
      <c r="ABX155" s="637"/>
      <c r="ABY155" s="637"/>
      <c r="ABZ155" s="637"/>
      <c r="ACA155" s="637"/>
      <c r="ACB155" s="637"/>
      <c r="ACC155" s="637"/>
      <c r="ACD155" s="637"/>
      <c r="ACE155" s="637"/>
      <c r="ACF155" s="637"/>
      <c r="ACG155" s="637"/>
      <c r="ACH155" s="637"/>
      <c r="ACI155" s="637"/>
      <c r="ACJ155" s="637"/>
      <c r="ACK155" s="637"/>
      <c r="ACL155" s="637"/>
      <c r="ACM155" s="637"/>
      <c r="ACN155" s="637"/>
      <c r="ACO155" s="637"/>
      <c r="ACP155" s="637"/>
      <c r="ACQ155" s="637"/>
      <c r="ACR155" s="637"/>
      <c r="ACS155" s="637"/>
      <c r="ACT155" s="637"/>
      <c r="ACU155" s="637"/>
      <c r="ACV155" s="637"/>
      <c r="ACW155" s="637"/>
      <c r="ACX155" s="637"/>
      <c r="ACY155" s="637"/>
      <c r="ACZ155" s="637"/>
      <c r="ADA155" s="637"/>
      <c r="ADB155" s="637"/>
      <c r="ADC155" s="637"/>
      <c r="ADD155" s="637"/>
      <c r="ADE155" s="637"/>
      <c r="ADF155" s="637"/>
      <c r="ADG155" s="637"/>
      <c r="ADH155" s="637"/>
      <c r="ADI155" s="637"/>
      <c r="ADJ155" s="637"/>
      <c r="ADK155" s="637"/>
      <c r="ADL155" s="637"/>
      <c r="ADM155" s="637"/>
      <c r="ADN155" s="637"/>
      <c r="ADO155" s="637"/>
      <c r="ADP155" s="637"/>
      <c r="ADQ155" s="637"/>
      <c r="ADR155" s="637"/>
      <c r="ADS155" s="637"/>
      <c r="ADT155" s="637"/>
      <c r="ADU155" s="637"/>
      <c r="ADV155" s="637"/>
      <c r="ADW155" s="637"/>
      <c r="ADX155" s="637"/>
      <c r="ADY155" s="637"/>
      <c r="ADZ155" s="637"/>
      <c r="AEA155" s="637"/>
      <c r="AEB155" s="637"/>
      <c r="AEC155" s="637"/>
      <c r="AED155" s="637"/>
      <c r="AEE155" s="637"/>
      <c r="AEF155" s="637"/>
      <c r="AEG155" s="637"/>
      <c r="AEH155" s="637"/>
      <c r="AEI155" s="637"/>
      <c r="AEJ155" s="637"/>
      <c r="AEK155" s="637"/>
      <c r="AEL155" s="637"/>
      <c r="AEM155" s="637"/>
      <c r="AEN155" s="637"/>
      <c r="AEO155" s="637"/>
      <c r="AEP155" s="637"/>
      <c r="AEQ155" s="637"/>
      <c r="AER155" s="637"/>
      <c r="AES155" s="637"/>
      <c r="AET155" s="637"/>
      <c r="AEU155" s="637"/>
      <c r="AEV155" s="637"/>
      <c r="AEW155" s="637"/>
      <c r="AEX155" s="637"/>
      <c r="AEY155" s="637"/>
      <c r="AEZ155" s="637"/>
      <c r="AFA155" s="637"/>
      <c r="AFB155" s="637"/>
      <c r="AFC155" s="637"/>
      <c r="AFD155" s="637"/>
      <c r="AFE155" s="637"/>
      <c r="AFF155" s="637"/>
      <c r="AFG155" s="637"/>
      <c r="AFH155" s="637"/>
      <c r="AFI155" s="637"/>
      <c r="AFJ155" s="637"/>
      <c r="AFK155" s="637"/>
      <c r="AFL155" s="637"/>
      <c r="AFM155" s="637"/>
      <c r="AFN155" s="637"/>
      <c r="AFO155" s="637"/>
      <c r="AFP155" s="637"/>
      <c r="AFQ155" s="637"/>
      <c r="AFR155" s="637"/>
      <c r="AFS155" s="637"/>
      <c r="AFT155" s="637"/>
      <c r="AFU155" s="637"/>
      <c r="AFV155" s="637"/>
      <c r="AFW155" s="637"/>
      <c r="AFX155" s="637"/>
      <c r="AFY155" s="637"/>
      <c r="AFZ155" s="637"/>
      <c r="AGA155" s="637"/>
      <c r="AGB155" s="637"/>
      <c r="AGC155" s="637"/>
      <c r="AGD155" s="637"/>
      <c r="AGE155" s="637"/>
      <c r="AGF155" s="637"/>
      <c r="AGG155" s="637"/>
      <c r="AGH155" s="637"/>
      <c r="AGI155" s="637"/>
      <c r="AGJ155" s="637"/>
      <c r="AGK155" s="637"/>
      <c r="AGL155" s="637"/>
      <c r="AGM155" s="637"/>
      <c r="AGN155" s="637"/>
      <c r="AGO155" s="637"/>
      <c r="AGP155" s="637"/>
      <c r="AGQ155" s="637"/>
      <c r="AGR155" s="637"/>
      <c r="AGS155" s="637"/>
      <c r="AGT155" s="637"/>
      <c r="AGU155" s="637"/>
      <c r="AGV155" s="637"/>
      <c r="AGW155" s="637"/>
      <c r="AGX155" s="637"/>
      <c r="AGY155" s="637"/>
      <c r="AGZ155" s="637"/>
      <c r="AHA155" s="637"/>
      <c r="AHB155" s="637"/>
      <c r="AHC155" s="637"/>
      <c r="AHD155" s="637"/>
      <c r="AHE155" s="637"/>
      <c r="AHF155" s="637"/>
      <c r="AHG155" s="637"/>
      <c r="AHH155" s="637"/>
      <c r="AHI155" s="637"/>
      <c r="AHJ155" s="637"/>
      <c r="AHK155" s="637"/>
      <c r="AHL155" s="637"/>
      <c r="AHM155" s="637"/>
      <c r="AHN155" s="637"/>
      <c r="AHO155" s="637"/>
      <c r="AHP155" s="637"/>
      <c r="AHQ155" s="637"/>
      <c r="AHR155" s="637"/>
      <c r="AHS155" s="637"/>
      <c r="AHT155" s="637"/>
      <c r="AHU155" s="637"/>
      <c r="AHV155" s="637"/>
      <c r="AHW155" s="637"/>
      <c r="AHX155" s="637"/>
      <c r="AHY155" s="637"/>
      <c r="AHZ155" s="637"/>
      <c r="AIA155" s="637"/>
      <c r="AIB155" s="637"/>
      <c r="AIC155" s="637"/>
      <c r="AID155" s="637"/>
      <c r="AIE155" s="637"/>
      <c r="AIF155" s="637"/>
      <c r="AIG155" s="637"/>
      <c r="AIH155" s="637"/>
      <c r="AII155" s="637"/>
      <c r="AIJ155" s="637"/>
      <c r="AIK155" s="637"/>
      <c r="AIL155" s="637"/>
      <c r="AIM155" s="637"/>
      <c r="AIN155" s="637"/>
      <c r="AIO155" s="637"/>
      <c r="AIP155" s="637"/>
      <c r="AIQ155" s="637"/>
      <c r="AIR155" s="637"/>
      <c r="AIS155" s="637"/>
      <c r="AIT155" s="637"/>
      <c r="AIU155" s="637"/>
      <c r="AIV155" s="637"/>
      <c r="AIW155" s="637"/>
      <c r="AIX155" s="637"/>
      <c r="AIY155" s="637"/>
      <c r="AIZ155" s="637"/>
      <c r="AJA155" s="637"/>
      <c r="AJB155" s="637"/>
      <c r="AJC155" s="637"/>
      <c r="AJD155" s="637"/>
      <c r="AJE155" s="637"/>
      <c r="AJF155" s="637"/>
      <c r="AJG155" s="637"/>
      <c r="AJH155" s="637"/>
      <c r="AJI155" s="637"/>
      <c r="AJJ155" s="637"/>
      <c r="AJK155" s="637"/>
      <c r="AJL155" s="637"/>
      <c r="AJM155" s="637"/>
      <c r="AJN155" s="637"/>
      <c r="AJO155" s="637"/>
      <c r="AJP155" s="637"/>
      <c r="AJQ155" s="637"/>
      <c r="AJR155" s="637"/>
      <c r="AJS155" s="637"/>
      <c r="AJT155" s="637"/>
      <c r="AJU155" s="637"/>
      <c r="AJV155" s="637"/>
      <c r="AJW155" s="637"/>
      <c r="AJX155" s="637"/>
      <c r="AJY155" s="637"/>
      <c r="AJZ155" s="637"/>
      <c r="AKA155" s="637"/>
      <c r="AKB155" s="637"/>
      <c r="AKC155" s="637"/>
      <c r="AKD155" s="637"/>
      <c r="AKE155" s="637"/>
      <c r="AKF155" s="637"/>
      <c r="AKG155" s="637"/>
      <c r="AKH155" s="637"/>
      <c r="AKI155" s="637"/>
      <c r="AKJ155" s="637"/>
      <c r="AKK155" s="637"/>
      <c r="AKL155" s="637"/>
      <c r="AKM155" s="637"/>
      <c r="AKN155" s="637"/>
      <c r="AKO155" s="637"/>
      <c r="AKP155" s="637"/>
      <c r="AKQ155" s="637"/>
      <c r="AKR155" s="637"/>
      <c r="AKS155" s="637"/>
      <c r="AKT155" s="637"/>
      <c r="AKU155" s="637"/>
      <c r="AKV155" s="637"/>
      <c r="AKW155" s="637"/>
      <c r="AKX155" s="637"/>
      <c r="AKY155" s="637"/>
      <c r="AKZ155" s="637"/>
      <c r="ALA155" s="637"/>
      <c r="ALB155" s="637"/>
      <c r="ALC155" s="637"/>
      <c r="ALD155" s="637"/>
      <c r="ALE155" s="637"/>
      <c r="ALF155" s="637"/>
      <c r="ALG155" s="637"/>
      <c r="ALH155" s="637"/>
      <c r="ALI155" s="637"/>
      <c r="ALJ155" s="637"/>
      <c r="ALK155" s="637"/>
      <c r="ALL155" s="637"/>
      <c r="ALM155" s="637"/>
      <c r="ALN155" s="637"/>
      <c r="ALO155" s="637"/>
      <c r="ALP155" s="637"/>
      <c r="ALQ155" s="637"/>
      <c r="ALR155" s="637"/>
      <c r="ALS155" s="637"/>
      <c r="ALT155" s="637"/>
      <c r="ALU155" s="637"/>
      <c r="ALV155" s="637"/>
      <c r="ALW155" s="637"/>
      <c r="ALX155" s="637"/>
      <c r="ALY155" s="637"/>
      <c r="ALZ155" s="637"/>
      <c r="AMA155" s="637"/>
      <c r="AMB155" s="637"/>
      <c r="AMC155" s="637"/>
      <c r="AMD155" s="637"/>
      <c r="AME155" s="637"/>
      <c r="AMF155" s="637"/>
      <c r="AMG155" s="637"/>
      <c r="AMH155" s="637"/>
      <c r="AMI155" s="637"/>
      <c r="AMJ155" s="637"/>
    </row>
    <row r="156" s="207" customFormat="1" ht="12.75" hidden="1"/>
    <row r="157" s="207" customFormat="1" ht="12.75" hidden="1"/>
    <row r="158" s="207" customFormat="1" ht="12.75" hidden="1"/>
    <row r="159" spans="5:18" s="207" customFormat="1" ht="12.75" hidden="1">
      <c r="E159" s="637"/>
      <c r="F159" s="637"/>
      <c r="G159" s="637"/>
      <c r="H159" s="637"/>
      <c r="I159" s="637"/>
      <c r="J159" s="637"/>
      <c r="K159" s="637"/>
      <c r="L159" s="637"/>
      <c r="M159" s="637"/>
      <c r="N159" s="637"/>
      <c r="O159" s="637"/>
      <c r="P159" s="637"/>
      <c r="Q159" s="637"/>
      <c r="R159" s="637"/>
    </row>
    <row r="160" spans="5:18" s="207" customFormat="1" ht="12.75" hidden="1">
      <c r="E160" s="637"/>
      <c r="F160" s="637"/>
      <c r="G160" s="637"/>
      <c r="H160" s="637"/>
      <c r="I160" s="637"/>
      <c r="J160" s="637"/>
      <c r="K160" s="637"/>
      <c r="L160" s="637"/>
      <c r="M160" s="637"/>
      <c r="N160" s="637"/>
      <c r="O160" s="637"/>
      <c r="P160" s="637"/>
      <c r="Q160" s="637"/>
      <c r="R160" s="637"/>
    </row>
    <row r="161" spans="5:18" s="207" customFormat="1" ht="12.75" hidden="1">
      <c r="E161" s="637"/>
      <c r="F161" s="637"/>
      <c r="G161" s="637"/>
      <c r="H161" s="637"/>
      <c r="I161" s="637"/>
      <c r="J161" s="637"/>
      <c r="K161" s="637"/>
      <c r="L161" s="637"/>
      <c r="M161" s="637"/>
      <c r="N161" s="637"/>
      <c r="O161" s="637"/>
      <c r="P161" s="637"/>
      <c r="Q161" s="637"/>
      <c r="R161" s="637"/>
    </row>
    <row r="162" spans="9:18" s="207" customFormat="1" ht="12.75" hidden="1">
      <c r="I162" s="637"/>
      <c r="J162" s="637"/>
      <c r="K162" s="637"/>
      <c r="L162" s="637"/>
      <c r="M162" s="637"/>
      <c r="N162" s="637"/>
      <c r="O162" s="637"/>
      <c r="P162" s="637"/>
      <c r="Q162" s="637"/>
      <c r="R162" s="637"/>
    </row>
    <row r="163" spans="5:18" s="207" customFormat="1" ht="12.75" hidden="1">
      <c r="E163" s="637"/>
      <c r="I163" s="637"/>
      <c r="J163" s="637"/>
      <c r="K163" s="637"/>
      <c r="L163" s="637"/>
      <c r="M163" s="637"/>
      <c r="N163" s="637"/>
      <c r="O163" s="637"/>
      <c r="P163" s="637"/>
      <c r="Q163" s="637"/>
      <c r="R163" s="637"/>
    </row>
    <row r="164" spans="5:18" s="207" customFormat="1" ht="12.75" hidden="1">
      <c r="E164" s="637"/>
      <c r="I164" s="637"/>
      <c r="J164" s="637"/>
      <c r="K164" s="637"/>
      <c r="L164" s="637"/>
      <c r="M164" s="637"/>
      <c r="N164" s="637"/>
      <c r="O164" s="637"/>
      <c r="P164" s="637"/>
      <c r="Q164" s="637"/>
      <c r="R164" s="637"/>
    </row>
    <row r="165" spans="5:18" s="207" customFormat="1" ht="12.75" hidden="1">
      <c r="E165" s="637"/>
      <c r="I165" s="637"/>
      <c r="J165" s="637"/>
      <c r="K165" s="637"/>
      <c r="L165" s="637"/>
      <c r="M165" s="637"/>
      <c r="N165" s="637"/>
      <c r="O165" s="637"/>
      <c r="P165" s="637"/>
      <c r="Q165" s="637"/>
      <c r="R165" s="637"/>
    </row>
    <row r="166" spans="5:18" s="207" customFormat="1" ht="12.75">
      <c r="E166" s="637"/>
      <c r="I166" s="637"/>
      <c r="J166" s="637"/>
      <c r="K166" s="637"/>
      <c r="L166" s="637"/>
      <c r="M166" s="637"/>
      <c r="N166" s="637"/>
      <c r="O166" s="637"/>
      <c r="P166" s="637"/>
      <c r="Q166" s="637"/>
      <c r="R166" s="637"/>
    </row>
    <row r="167" spans="7:18" s="207" customFormat="1" ht="12.75">
      <c r="G167" s="637"/>
      <c r="H167" s="637"/>
      <c r="I167" s="637"/>
      <c r="J167" s="637"/>
      <c r="L167" s="637"/>
      <c r="M167" s="637"/>
      <c r="N167" s="637"/>
      <c r="O167" s="637"/>
      <c r="P167" s="637"/>
      <c r="Q167" s="637"/>
      <c r="R167" s="637"/>
    </row>
    <row r="168" spans="9:18" s="207" customFormat="1" ht="12.75">
      <c r="I168" s="637"/>
      <c r="J168" s="637"/>
      <c r="K168" s="637"/>
      <c r="L168" s="637"/>
      <c r="M168" s="637"/>
      <c r="N168" s="637"/>
      <c r="O168" s="637"/>
      <c r="P168" s="637"/>
      <c r="Q168" s="637"/>
      <c r="R168" s="637"/>
    </row>
    <row r="169" spans="7:18" s="207" customFormat="1" ht="12.75">
      <c r="G169" s="637"/>
      <c r="H169" s="637"/>
      <c r="J169" s="637"/>
      <c r="K169" s="637"/>
      <c r="L169" s="637"/>
      <c r="M169" s="637"/>
      <c r="N169" s="637"/>
      <c r="O169" s="637"/>
      <c r="P169" s="637"/>
      <c r="Q169" s="637"/>
      <c r="R169" s="637"/>
    </row>
    <row r="170" spans="5:18" s="207" customFormat="1" ht="12.75">
      <c r="E170" s="637"/>
      <c r="G170" s="637"/>
      <c r="H170" s="637"/>
      <c r="J170" s="637"/>
      <c r="K170" s="637"/>
      <c r="L170" s="637"/>
      <c r="M170" s="637"/>
      <c r="O170" s="637"/>
      <c r="P170" s="637"/>
      <c r="Q170" s="637"/>
      <c r="R170" s="637"/>
    </row>
    <row r="171" spans="5:18" s="207" customFormat="1" ht="12.75">
      <c r="E171" s="637"/>
      <c r="G171" s="637"/>
      <c r="H171" s="637"/>
      <c r="I171" s="637"/>
      <c r="J171" s="637"/>
      <c r="K171" s="637"/>
      <c r="L171" s="637"/>
      <c r="O171" s="637"/>
      <c r="P171" s="637"/>
      <c r="Q171" s="637"/>
      <c r="R171" s="637"/>
    </row>
    <row r="172" spans="7:18" s="207" customFormat="1" ht="12.75">
      <c r="G172" s="637"/>
      <c r="H172" s="637"/>
      <c r="J172" s="637"/>
      <c r="K172" s="637"/>
      <c r="L172" s="637"/>
      <c r="M172" s="637"/>
      <c r="N172" s="637"/>
      <c r="O172" s="637"/>
      <c r="P172" s="637"/>
      <c r="Q172" s="637"/>
      <c r="R172" s="637"/>
    </row>
    <row r="173" spans="7:18" s="207" customFormat="1" ht="12.75">
      <c r="G173" s="637"/>
      <c r="H173" s="637"/>
      <c r="J173" s="637"/>
      <c r="K173" s="637"/>
      <c r="L173" s="637"/>
      <c r="M173" s="637"/>
      <c r="N173" s="637"/>
      <c r="O173" s="637"/>
      <c r="P173" s="637"/>
      <c r="Q173" s="637"/>
      <c r="R173" s="637"/>
    </row>
    <row r="174" spans="7:18" s="207" customFormat="1" ht="12.75">
      <c r="G174" s="637"/>
      <c r="H174" s="637"/>
      <c r="J174" s="637"/>
      <c r="K174" s="637"/>
      <c r="L174" s="637"/>
      <c r="M174" s="637"/>
      <c r="N174" s="637"/>
      <c r="O174" s="637"/>
      <c r="P174" s="637"/>
      <c r="Q174" s="637"/>
      <c r="R174" s="637"/>
    </row>
    <row r="175" spans="7:18" s="207" customFormat="1" ht="12.75">
      <c r="G175" s="637"/>
      <c r="H175" s="637"/>
      <c r="J175" s="637"/>
      <c r="K175" s="637"/>
      <c r="L175" s="637"/>
      <c r="M175" s="637"/>
      <c r="N175" s="637"/>
      <c r="O175" s="637"/>
      <c r="P175" s="637"/>
      <c r="Q175" s="637"/>
      <c r="R175" s="637"/>
    </row>
    <row r="176" spans="10:18" s="207" customFormat="1" ht="12.75">
      <c r="J176" s="637"/>
      <c r="K176" s="637"/>
      <c r="L176" s="637"/>
      <c r="M176" s="637"/>
      <c r="N176" s="637"/>
      <c r="O176" s="637"/>
      <c r="P176" s="637"/>
      <c r="Q176" s="637"/>
      <c r="R176" s="637"/>
    </row>
    <row r="177" spans="10:18" s="207" customFormat="1" ht="12.75">
      <c r="J177" s="637"/>
      <c r="K177" s="637"/>
      <c r="L177" s="637"/>
      <c r="M177" s="637"/>
      <c r="N177" s="637"/>
      <c r="O177" s="637"/>
      <c r="P177" s="637"/>
      <c r="Q177" s="637"/>
      <c r="R177" s="637"/>
    </row>
    <row r="178" spans="10:18" s="207" customFormat="1" ht="12.75">
      <c r="J178" s="637"/>
      <c r="K178" s="637"/>
      <c r="L178" s="637"/>
      <c r="M178" s="637"/>
      <c r="N178" s="637"/>
      <c r="O178" s="637"/>
      <c r="P178" s="637"/>
      <c r="Q178" s="637"/>
      <c r="R178" s="637"/>
    </row>
    <row r="179" s="207" customFormat="1" ht="12.75"/>
    <row r="180" spans="3:18" s="207" customFormat="1" ht="12.75">
      <c r="C180" s="637"/>
      <c r="E180" s="637"/>
      <c r="F180" s="637"/>
      <c r="G180" s="637"/>
      <c r="H180" s="637"/>
      <c r="I180" s="637"/>
      <c r="J180" s="637"/>
      <c r="K180" s="637"/>
      <c r="L180" s="637"/>
      <c r="M180" s="637"/>
      <c r="N180" s="637"/>
      <c r="O180" s="637"/>
      <c r="P180" s="637"/>
      <c r="Q180" s="637"/>
      <c r="R180" s="637"/>
    </row>
    <row r="181" spans="3:18" s="207" customFormat="1" ht="12.75">
      <c r="C181" s="637"/>
      <c r="I181" s="637"/>
      <c r="J181" s="637"/>
      <c r="K181" s="637"/>
      <c r="L181" s="637"/>
      <c r="M181" s="637"/>
      <c r="N181" s="637"/>
      <c r="O181" s="637"/>
      <c r="P181" s="637"/>
      <c r="Q181" s="637"/>
      <c r="R181" s="637"/>
    </row>
    <row r="182" spans="3:18" s="207" customFormat="1" ht="12.75" hidden="1">
      <c r="C182" s="637"/>
      <c r="I182" s="637"/>
      <c r="J182" s="637"/>
      <c r="K182" s="637"/>
      <c r="L182" s="637"/>
      <c r="M182" s="637"/>
      <c r="N182" s="637"/>
      <c r="O182" s="637"/>
      <c r="P182" s="637"/>
      <c r="Q182" s="637"/>
      <c r="R182" s="637"/>
    </row>
    <row r="183" spans="3:18" s="207" customFormat="1" ht="12.75" hidden="1">
      <c r="C183" s="637"/>
      <c r="I183" s="637"/>
      <c r="J183" s="637"/>
      <c r="K183" s="637"/>
      <c r="L183" s="637"/>
      <c r="M183" s="637"/>
      <c r="N183" s="637"/>
      <c r="O183" s="637"/>
      <c r="P183" s="637"/>
      <c r="Q183" s="637"/>
      <c r="R183" s="637"/>
    </row>
    <row r="184" spans="3:18" s="207" customFormat="1" ht="12.75" hidden="1">
      <c r="C184" s="637"/>
      <c r="I184" s="637"/>
      <c r="J184" s="637"/>
      <c r="K184" s="637"/>
      <c r="L184" s="637"/>
      <c r="M184" s="637"/>
      <c r="N184" s="637"/>
      <c r="O184" s="637"/>
      <c r="P184" s="637"/>
      <c r="Q184" s="637"/>
      <c r="R184" s="637"/>
    </row>
    <row r="185" spans="3:18" s="207" customFormat="1" ht="12.75" hidden="1">
      <c r="C185" s="637"/>
      <c r="G185" s="637"/>
      <c r="H185" s="637"/>
      <c r="J185" s="637"/>
      <c r="K185" s="637"/>
      <c r="L185" s="637"/>
      <c r="M185" s="637"/>
      <c r="N185" s="637"/>
      <c r="O185" s="637"/>
      <c r="P185" s="637"/>
      <c r="Q185" s="637"/>
      <c r="R185" s="637"/>
    </row>
    <row r="186" spans="3:18" s="207" customFormat="1" ht="12.75" hidden="1">
      <c r="C186" s="637"/>
      <c r="I186" s="637"/>
      <c r="J186" s="637"/>
      <c r="K186" s="637"/>
      <c r="L186" s="637"/>
      <c r="M186" s="637"/>
      <c r="N186" s="637"/>
      <c r="O186" s="637"/>
      <c r="P186" s="637"/>
      <c r="Q186" s="637"/>
      <c r="R186" s="637"/>
    </row>
    <row r="187" spans="3:18" s="207" customFormat="1" ht="12.75" hidden="1">
      <c r="C187" s="637"/>
      <c r="G187" s="637"/>
      <c r="I187" s="637"/>
      <c r="J187" s="637"/>
      <c r="K187" s="637"/>
      <c r="L187" s="637"/>
      <c r="M187" s="637"/>
      <c r="N187" s="637"/>
      <c r="O187" s="637"/>
      <c r="P187" s="637"/>
      <c r="Q187" s="637"/>
      <c r="R187" s="637"/>
    </row>
    <row r="188" s="207" customFormat="1" ht="12.75" hidden="1">
      <c r="C188" s="637"/>
    </row>
    <row r="189" spans="3:18" s="207" customFormat="1" ht="12.75" hidden="1">
      <c r="C189" s="637"/>
      <c r="E189" s="637"/>
      <c r="F189" s="637"/>
      <c r="G189" s="637"/>
      <c r="H189" s="637"/>
      <c r="I189" s="637"/>
      <c r="J189" s="637"/>
      <c r="K189" s="637"/>
      <c r="L189" s="637"/>
      <c r="M189" s="637"/>
      <c r="N189" s="637"/>
      <c r="O189" s="637"/>
      <c r="P189" s="637"/>
      <c r="Q189" s="637"/>
      <c r="R189" s="637"/>
    </row>
    <row r="190" spans="1:18" s="638" customFormat="1" ht="12.75" hidden="1">
      <c r="A190" s="207"/>
      <c r="B190" s="207"/>
      <c r="C190" s="207"/>
      <c r="E190" s="207"/>
      <c r="F190" s="207"/>
      <c r="G190" s="207"/>
      <c r="H190" s="207"/>
      <c r="I190" s="207"/>
      <c r="J190" s="207"/>
      <c r="K190" s="207"/>
      <c r="L190" s="207"/>
      <c r="M190" s="207"/>
      <c r="N190" s="207"/>
      <c r="O190" s="207"/>
      <c r="P190" s="207"/>
      <c r="Q190" s="207"/>
      <c r="R190" s="207"/>
    </row>
    <row r="191" s="638" customFormat="1" ht="12.75" hidden="1"/>
    <row r="192" s="638" customFormat="1" ht="12.75" hidden="1"/>
    <row r="193" s="638" customFormat="1" ht="12.75" hidden="1"/>
    <row r="194" s="638" customFormat="1" ht="12.75" hidden="1"/>
  </sheetData>
  <mergeCells count="37">
    <mergeCell ref="A1:R1"/>
    <mergeCell ref="A119:C119"/>
    <mergeCell ref="A124:C124"/>
    <mergeCell ref="A128:C128"/>
    <mergeCell ref="A132:C132"/>
    <mergeCell ref="O4:O5"/>
    <mergeCell ref="P4:P5"/>
    <mergeCell ref="Q4:Q5"/>
    <mergeCell ref="R4:R5"/>
    <mergeCell ref="A6:C6"/>
    <mergeCell ref="A64:C64"/>
    <mergeCell ref="I4:I5"/>
    <mergeCell ref="J4:J5"/>
    <mergeCell ref="K4:K5"/>
    <mergeCell ref="L4:L5"/>
    <mergeCell ref="M4:M5"/>
    <mergeCell ref="A68:C68"/>
    <mergeCell ref="A81:C81"/>
    <mergeCell ref="A85:C85"/>
    <mergeCell ref="A102:C102"/>
    <mergeCell ref="A106:C106"/>
    <mergeCell ref="A144:H144"/>
    <mergeCell ref="A145:I145"/>
    <mergeCell ref="A146:I146"/>
    <mergeCell ref="A147:I147"/>
    <mergeCell ref="Q3:R3"/>
    <mergeCell ref="G4:G5"/>
    <mergeCell ref="H4:H5"/>
    <mergeCell ref="N4:N5"/>
    <mergeCell ref="A3:D5"/>
    <mergeCell ref="E3:E5"/>
    <mergeCell ref="F3:F5"/>
    <mergeCell ref="G3:L3"/>
    <mergeCell ref="M3:P3"/>
    <mergeCell ref="A136:C136"/>
    <mergeCell ref="A140:C140"/>
    <mergeCell ref="A66:C66"/>
  </mergeCells>
  <printOptions horizontalCentered="1"/>
  <pageMargins left="0.5118110236220472" right="0.5118110236220472" top="0.7480314960629921" bottom="0.35433070866141736" header="0.5118110236220472" footer="0.31496062992125984"/>
  <pageSetup horizontalDpi="600" verticalDpi="600" orientation="landscape" paperSize="9" scale="30" r:id="rId1"/>
  <headerFooter>
    <oddHeader>&amp;L&amp;18 5. melléklet a 1/2017.(II.24.) önkormányzati rendelethez
5. melléklet a 29/2015.(XII.18.) önkormányzati rendelethez</oddHeader>
  </headerFooter>
  <rowBreaks count="1" manualBreakCount="1">
    <brk id="7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G142"/>
  <sheetViews>
    <sheetView view="pageBreakPreview" zoomScale="46" zoomScaleSheetLayoutView="46" workbookViewId="0" topLeftCell="A74">
      <selection activeCell="AJ135" sqref="AJ135"/>
    </sheetView>
  </sheetViews>
  <sheetFormatPr defaultColWidth="9.00390625" defaultRowHeight="12.75"/>
  <cols>
    <col min="1" max="1" width="16.375" style="955" customWidth="1"/>
    <col min="2" max="2" width="9.25390625" style="976" customWidth="1"/>
    <col min="3" max="3" width="8.25390625" style="955" bestFit="1" customWidth="1"/>
    <col min="4" max="4" width="8.375" style="955" customWidth="1"/>
    <col min="5" max="6" width="9.00390625" style="955" customWidth="1"/>
    <col min="7" max="7" width="8.125" style="955" customWidth="1"/>
    <col min="8" max="11" width="7.125" style="955" customWidth="1"/>
    <col min="12" max="12" width="8.625" style="955" customWidth="1"/>
    <col min="13" max="13" width="9.875" style="955" customWidth="1"/>
    <col min="14" max="14" width="7.00390625" style="955" customWidth="1"/>
    <col min="15" max="15" width="8.875" style="955" customWidth="1"/>
    <col min="16" max="17" width="7.625" style="955" customWidth="1"/>
    <col min="18" max="18" width="8.125" style="955" customWidth="1"/>
    <col min="19" max="19" width="8.75390625" style="955" customWidth="1"/>
    <col min="20" max="20" width="9.75390625" style="955" customWidth="1"/>
    <col min="21" max="21" width="9.125" style="955" customWidth="1"/>
    <col min="22" max="22" width="16.625" style="955" customWidth="1"/>
    <col min="23" max="23" width="10.625" style="976" customWidth="1"/>
    <col min="24" max="24" width="9.125" style="955" customWidth="1"/>
    <col min="25" max="26" width="10.00390625" style="955" bestFit="1" customWidth="1"/>
    <col min="27" max="27" width="9.125" style="955" customWidth="1"/>
    <col min="28" max="28" width="10.875" style="955" customWidth="1"/>
    <col min="29" max="30" width="9.625" style="955" customWidth="1"/>
    <col min="31" max="31" width="11.00390625" style="965" bestFit="1" customWidth="1"/>
    <col min="32" max="33" width="9.125" style="955" hidden="1" customWidth="1"/>
    <col min="34" max="254" width="9.125" style="955" customWidth="1"/>
    <col min="255" max="255" width="16.375" style="955" customWidth="1"/>
    <col min="256" max="256" width="9.25390625" style="955" customWidth="1"/>
    <col min="257" max="257" width="8.25390625" style="955" bestFit="1" customWidth="1"/>
    <col min="258" max="258" width="8.375" style="955" customWidth="1"/>
    <col min="259" max="260" width="9.00390625" style="955" customWidth="1"/>
    <col min="261" max="261" width="8.125" style="955" customWidth="1"/>
    <col min="262" max="265" width="7.125" style="955" customWidth="1"/>
    <col min="266" max="266" width="8.625" style="955" customWidth="1"/>
    <col min="267" max="267" width="8.75390625" style="955" customWidth="1"/>
    <col min="268" max="268" width="7.00390625" style="955" customWidth="1"/>
    <col min="269" max="269" width="8.875" style="955" customWidth="1"/>
    <col min="270" max="270" width="7.625" style="955" customWidth="1"/>
    <col min="271" max="271" width="7.75390625" style="955" customWidth="1"/>
    <col min="272" max="272" width="8.125" style="955" customWidth="1"/>
    <col min="273" max="273" width="12.625" style="955" bestFit="1" customWidth="1"/>
    <col min="274" max="274" width="9.75390625" style="955" customWidth="1"/>
    <col min="275" max="275" width="9.125" style="955" customWidth="1"/>
    <col min="276" max="276" width="16.625" style="955" customWidth="1"/>
    <col min="277" max="277" width="10.625" style="955" customWidth="1"/>
    <col min="278" max="278" width="9.125" style="955" customWidth="1"/>
    <col min="279" max="280" width="10.00390625" style="955" bestFit="1" customWidth="1"/>
    <col min="281" max="281" width="9.125" style="955" customWidth="1"/>
    <col min="282" max="282" width="10.875" style="955" customWidth="1"/>
    <col min="283" max="283" width="8.875" style="955" customWidth="1"/>
    <col min="284" max="284" width="8.75390625" style="955" customWidth="1"/>
    <col min="285" max="286" width="9.625" style="955" customWidth="1"/>
    <col min="287" max="287" width="11.00390625" style="955" bestFit="1" customWidth="1"/>
    <col min="288" max="289" width="9.00390625" style="955" hidden="1" customWidth="1"/>
    <col min="290" max="510" width="9.125" style="955" customWidth="1"/>
    <col min="511" max="511" width="16.375" style="955" customWidth="1"/>
    <col min="512" max="512" width="9.25390625" style="955" customWidth="1"/>
    <col min="513" max="513" width="8.25390625" style="955" bestFit="1" customWidth="1"/>
    <col min="514" max="514" width="8.375" style="955" customWidth="1"/>
    <col min="515" max="516" width="9.00390625" style="955" customWidth="1"/>
    <col min="517" max="517" width="8.125" style="955" customWidth="1"/>
    <col min="518" max="521" width="7.125" style="955" customWidth="1"/>
    <col min="522" max="522" width="8.625" style="955" customWidth="1"/>
    <col min="523" max="523" width="8.75390625" style="955" customWidth="1"/>
    <col min="524" max="524" width="7.00390625" style="955" customWidth="1"/>
    <col min="525" max="525" width="8.875" style="955" customWidth="1"/>
    <col min="526" max="526" width="7.625" style="955" customWidth="1"/>
    <col min="527" max="527" width="7.75390625" style="955" customWidth="1"/>
    <col min="528" max="528" width="8.125" style="955" customWidth="1"/>
    <col min="529" max="529" width="12.625" style="955" bestFit="1" customWidth="1"/>
    <col min="530" max="530" width="9.75390625" style="955" customWidth="1"/>
    <col min="531" max="531" width="9.125" style="955" customWidth="1"/>
    <col min="532" max="532" width="16.625" style="955" customWidth="1"/>
    <col min="533" max="533" width="10.625" style="955" customWidth="1"/>
    <col min="534" max="534" width="9.125" style="955" customWidth="1"/>
    <col min="535" max="536" width="10.00390625" style="955" bestFit="1" customWidth="1"/>
    <col min="537" max="537" width="9.125" style="955" customWidth="1"/>
    <col min="538" max="538" width="10.875" style="955" customWidth="1"/>
    <col min="539" max="539" width="8.875" style="955" customWidth="1"/>
    <col min="540" max="540" width="8.75390625" style="955" customWidth="1"/>
    <col min="541" max="542" width="9.625" style="955" customWidth="1"/>
    <col min="543" max="543" width="11.00390625" style="955" bestFit="1" customWidth="1"/>
    <col min="544" max="545" width="9.00390625" style="955" hidden="1" customWidth="1"/>
    <col min="546" max="766" width="9.125" style="955" customWidth="1"/>
    <col min="767" max="767" width="16.375" style="955" customWidth="1"/>
    <col min="768" max="768" width="9.25390625" style="955" customWidth="1"/>
    <col min="769" max="769" width="8.25390625" style="955" bestFit="1" customWidth="1"/>
    <col min="770" max="770" width="8.375" style="955" customWidth="1"/>
    <col min="771" max="772" width="9.00390625" style="955" customWidth="1"/>
    <col min="773" max="773" width="8.125" style="955" customWidth="1"/>
    <col min="774" max="777" width="7.125" style="955" customWidth="1"/>
    <col min="778" max="778" width="8.625" style="955" customWidth="1"/>
    <col min="779" max="779" width="8.75390625" style="955" customWidth="1"/>
    <col min="780" max="780" width="7.00390625" style="955" customWidth="1"/>
    <col min="781" max="781" width="8.875" style="955" customWidth="1"/>
    <col min="782" max="782" width="7.625" style="955" customWidth="1"/>
    <col min="783" max="783" width="7.75390625" style="955" customWidth="1"/>
    <col min="784" max="784" width="8.125" style="955" customWidth="1"/>
    <col min="785" max="785" width="12.625" style="955" bestFit="1" customWidth="1"/>
    <col min="786" max="786" width="9.75390625" style="955" customWidth="1"/>
    <col min="787" max="787" width="9.125" style="955" customWidth="1"/>
    <col min="788" max="788" width="16.625" style="955" customWidth="1"/>
    <col min="789" max="789" width="10.625" style="955" customWidth="1"/>
    <col min="790" max="790" width="9.125" style="955" customWidth="1"/>
    <col min="791" max="792" width="10.00390625" style="955" bestFit="1" customWidth="1"/>
    <col min="793" max="793" width="9.125" style="955" customWidth="1"/>
    <col min="794" max="794" width="10.875" style="955" customWidth="1"/>
    <col min="795" max="795" width="8.875" style="955" customWidth="1"/>
    <col min="796" max="796" width="8.75390625" style="955" customWidth="1"/>
    <col min="797" max="798" width="9.625" style="955" customWidth="1"/>
    <col min="799" max="799" width="11.00390625" style="955" bestFit="1" customWidth="1"/>
    <col min="800" max="801" width="9.00390625" style="955" hidden="1" customWidth="1"/>
    <col min="802" max="1022" width="9.125" style="955" customWidth="1"/>
    <col min="1023" max="1023" width="16.375" style="955" customWidth="1"/>
    <col min="1024" max="1024" width="9.25390625" style="955" customWidth="1"/>
    <col min="1025" max="1025" width="8.25390625" style="955" bestFit="1" customWidth="1"/>
    <col min="1026" max="1026" width="8.375" style="955" customWidth="1"/>
    <col min="1027" max="1028" width="9.00390625" style="955" customWidth="1"/>
    <col min="1029" max="1029" width="8.125" style="955" customWidth="1"/>
    <col min="1030" max="1033" width="7.125" style="955" customWidth="1"/>
    <col min="1034" max="1034" width="8.625" style="955" customWidth="1"/>
    <col min="1035" max="1035" width="8.75390625" style="955" customWidth="1"/>
    <col min="1036" max="1036" width="7.00390625" style="955" customWidth="1"/>
    <col min="1037" max="1037" width="8.875" style="955" customWidth="1"/>
    <col min="1038" max="1038" width="7.625" style="955" customWidth="1"/>
    <col min="1039" max="1039" width="7.75390625" style="955" customWidth="1"/>
    <col min="1040" max="1040" width="8.125" style="955" customWidth="1"/>
    <col min="1041" max="1041" width="12.625" style="955" bestFit="1" customWidth="1"/>
    <col min="1042" max="1042" width="9.75390625" style="955" customWidth="1"/>
    <col min="1043" max="1043" width="9.125" style="955" customWidth="1"/>
    <col min="1044" max="1044" width="16.625" style="955" customWidth="1"/>
    <col min="1045" max="1045" width="10.625" style="955" customWidth="1"/>
    <col min="1046" max="1046" width="9.125" style="955" customWidth="1"/>
    <col min="1047" max="1048" width="10.00390625" style="955" bestFit="1" customWidth="1"/>
    <col min="1049" max="1049" width="9.125" style="955" customWidth="1"/>
    <col min="1050" max="1050" width="10.875" style="955" customWidth="1"/>
    <col min="1051" max="1051" width="8.875" style="955" customWidth="1"/>
    <col min="1052" max="1052" width="8.75390625" style="955" customWidth="1"/>
    <col min="1053" max="1054" width="9.625" style="955" customWidth="1"/>
    <col min="1055" max="1055" width="11.00390625" style="955" bestFit="1" customWidth="1"/>
    <col min="1056" max="1057" width="9.00390625" style="955" hidden="1" customWidth="1"/>
    <col min="1058" max="1278" width="9.125" style="955" customWidth="1"/>
    <col min="1279" max="1279" width="16.375" style="955" customWidth="1"/>
    <col min="1280" max="1280" width="9.25390625" style="955" customWidth="1"/>
    <col min="1281" max="1281" width="8.25390625" style="955" bestFit="1" customWidth="1"/>
    <col min="1282" max="1282" width="8.375" style="955" customWidth="1"/>
    <col min="1283" max="1284" width="9.00390625" style="955" customWidth="1"/>
    <col min="1285" max="1285" width="8.125" style="955" customWidth="1"/>
    <col min="1286" max="1289" width="7.125" style="955" customWidth="1"/>
    <col min="1290" max="1290" width="8.625" style="955" customWidth="1"/>
    <col min="1291" max="1291" width="8.75390625" style="955" customWidth="1"/>
    <col min="1292" max="1292" width="7.00390625" style="955" customWidth="1"/>
    <col min="1293" max="1293" width="8.875" style="955" customWidth="1"/>
    <col min="1294" max="1294" width="7.625" style="955" customWidth="1"/>
    <col min="1295" max="1295" width="7.75390625" style="955" customWidth="1"/>
    <col min="1296" max="1296" width="8.125" style="955" customWidth="1"/>
    <col min="1297" max="1297" width="12.625" style="955" bestFit="1" customWidth="1"/>
    <col min="1298" max="1298" width="9.75390625" style="955" customWidth="1"/>
    <col min="1299" max="1299" width="9.125" style="955" customWidth="1"/>
    <col min="1300" max="1300" width="16.625" style="955" customWidth="1"/>
    <col min="1301" max="1301" width="10.625" style="955" customWidth="1"/>
    <col min="1302" max="1302" width="9.125" style="955" customWidth="1"/>
    <col min="1303" max="1304" width="10.00390625" style="955" bestFit="1" customWidth="1"/>
    <col min="1305" max="1305" width="9.125" style="955" customWidth="1"/>
    <col min="1306" max="1306" width="10.875" style="955" customWidth="1"/>
    <col min="1307" max="1307" width="8.875" style="955" customWidth="1"/>
    <col min="1308" max="1308" width="8.75390625" style="955" customWidth="1"/>
    <col min="1309" max="1310" width="9.625" style="955" customWidth="1"/>
    <col min="1311" max="1311" width="11.00390625" style="955" bestFit="1" customWidth="1"/>
    <col min="1312" max="1313" width="9.00390625" style="955" hidden="1" customWidth="1"/>
    <col min="1314" max="1534" width="9.125" style="955" customWidth="1"/>
    <col min="1535" max="1535" width="16.375" style="955" customWidth="1"/>
    <col min="1536" max="1536" width="9.25390625" style="955" customWidth="1"/>
    <col min="1537" max="1537" width="8.25390625" style="955" bestFit="1" customWidth="1"/>
    <col min="1538" max="1538" width="8.375" style="955" customWidth="1"/>
    <col min="1539" max="1540" width="9.00390625" style="955" customWidth="1"/>
    <col min="1541" max="1541" width="8.125" style="955" customWidth="1"/>
    <col min="1542" max="1545" width="7.125" style="955" customWidth="1"/>
    <col min="1546" max="1546" width="8.625" style="955" customWidth="1"/>
    <col min="1547" max="1547" width="8.75390625" style="955" customWidth="1"/>
    <col min="1548" max="1548" width="7.00390625" style="955" customWidth="1"/>
    <col min="1549" max="1549" width="8.875" style="955" customWidth="1"/>
    <col min="1550" max="1550" width="7.625" style="955" customWidth="1"/>
    <col min="1551" max="1551" width="7.75390625" style="955" customWidth="1"/>
    <col min="1552" max="1552" width="8.125" style="955" customWidth="1"/>
    <col min="1553" max="1553" width="12.625" style="955" bestFit="1" customWidth="1"/>
    <col min="1554" max="1554" width="9.75390625" style="955" customWidth="1"/>
    <col min="1555" max="1555" width="9.125" style="955" customWidth="1"/>
    <col min="1556" max="1556" width="16.625" style="955" customWidth="1"/>
    <col min="1557" max="1557" width="10.625" style="955" customWidth="1"/>
    <col min="1558" max="1558" width="9.125" style="955" customWidth="1"/>
    <col min="1559" max="1560" width="10.00390625" style="955" bestFit="1" customWidth="1"/>
    <col min="1561" max="1561" width="9.125" style="955" customWidth="1"/>
    <col min="1562" max="1562" width="10.875" style="955" customWidth="1"/>
    <col min="1563" max="1563" width="8.875" style="955" customWidth="1"/>
    <col min="1564" max="1564" width="8.75390625" style="955" customWidth="1"/>
    <col min="1565" max="1566" width="9.625" style="955" customWidth="1"/>
    <col min="1567" max="1567" width="11.00390625" style="955" bestFit="1" customWidth="1"/>
    <col min="1568" max="1569" width="9.00390625" style="955" hidden="1" customWidth="1"/>
    <col min="1570" max="1790" width="9.125" style="955" customWidth="1"/>
    <col min="1791" max="1791" width="16.375" style="955" customWidth="1"/>
    <col min="1792" max="1792" width="9.25390625" style="955" customWidth="1"/>
    <col min="1793" max="1793" width="8.25390625" style="955" bestFit="1" customWidth="1"/>
    <col min="1794" max="1794" width="8.375" style="955" customWidth="1"/>
    <col min="1795" max="1796" width="9.00390625" style="955" customWidth="1"/>
    <col min="1797" max="1797" width="8.125" style="955" customWidth="1"/>
    <col min="1798" max="1801" width="7.125" style="955" customWidth="1"/>
    <col min="1802" max="1802" width="8.625" style="955" customWidth="1"/>
    <col min="1803" max="1803" width="8.75390625" style="955" customWidth="1"/>
    <col min="1804" max="1804" width="7.00390625" style="955" customWidth="1"/>
    <col min="1805" max="1805" width="8.875" style="955" customWidth="1"/>
    <col min="1806" max="1806" width="7.625" style="955" customWidth="1"/>
    <col min="1807" max="1807" width="7.75390625" style="955" customWidth="1"/>
    <col min="1808" max="1808" width="8.125" style="955" customWidth="1"/>
    <col min="1809" max="1809" width="12.625" style="955" bestFit="1" customWidth="1"/>
    <col min="1810" max="1810" width="9.75390625" style="955" customWidth="1"/>
    <col min="1811" max="1811" width="9.125" style="955" customWidth="1"/>
    <col min="1812" max="1812" width="16.625" style="955" customWidth="1"/>
    <col min="1813" max="1813" width="10.625" style="955" customWidth="1"/>
    <col min="1814" max="1814" width="9.125" style="955" customWidth="1"/>
    <col min="1815" max="1816" width="10.00390625" style="955" bestFit="1" customWidth="1"/>
    <col min="1817" max="1817" width="9.125" style="955" customWidth="1"/>
    <col min="1818" max="1818" width="10.875" style="955" customWidth="1"/>
    <col min="1819" max="1819" width="8.875" style="955" customWidth="1"/>
    <col min="1820" max="1820" width="8.75390625" style="955" customWidth="1"/>
    <col min="1821" max="1822" width="9.625" style="955" customWidth="1"/>
    <col min="1823" max="1823" width="11.00390625" style="955" bestFit="1" customWidth="1"/>
    <col min="1824" max="1825" width="9.00390625" style="955" hidden="1" customWidth="1"/>
    <col min="1826" max="2046" width="9.125" style="955" customWidth="1"/>
    <col min="2047" max="2047" width="16.375" style="955" customWidth="1"/>
    <col min="2048" max="2048" width="9.25390625" style="955" customWidth="1"/>
    <col min="2049" max="2049" width="8.25390625" style="955" bestFit="1" customWidth="1"/>
    <col min="2050" max="2050" width="8.375" style="955" customWidth="1"/>
    <col min="2051" max="2052" width="9.00390625" style="955" customWidth="1"/>
    <col min="2053" max="2053" width="8.125" style="955" customWidth="1"/>
    <col min="2054" max="2057" width="7.125" style="955" customWidth="1"/>
    <col min="2058" max="2058" width="8.625" style="955" customWidth="1"/>
    <col min="2059" max="2059" width="8.75390625" style="955" customWidth="1"/>
    <col min="2060" max="2060" width="7.00390625" style="955" customWidth="1"/>
    <col min="2061" max="2061" width="8.875" style="955" customWidth="1"/>
    <col min="2062" max="2062" width="7.625" style="955" customWidth="1"/>
    <col min="2063" max="2063" width="7.75390625" style="955" customWidth="1"/>
    <col min="2064" max="2064" width="8.125" style="955" customWidth="1"/>
    <col min="2065" max="2065" width="12.625" style="955" bestFit="1" customWidth="1"/>
    <col min="2066" max="2066" width="9.75390625" style="955" customWidth="1"/>
    <col min="2067" max="2067" width="9.125" style="955" customWidth="1"/>
    <col min="2068" max="2068" width="16.625" style="955" customWidth="1"/>
    <col min="2069" max="2069" width="10.625" style="955" customWidth="1"/>
    <col min="2070" max="2070" width="9.125" style="955" customWidth="1"/>
    <col min="2071" max="2072" width="10.00390625" style="955" bestFit="1" customWidth="1"/>
    <col min="2073" max="2073" width="9.125" style="955" customWidth="1"/>
    <col min="2074" max="2074" width="10.875" style="955" customWidth="1"/>
    <col min="2075" max="2075" width="8.875" style="955" customWidth="1"/>
    <col min="2076" max="2076" width="8.75390625" style="955" customWidth="1"/>
    <col min="2077" max="2078" width="9.625" style="955" customWidth="1"/>
    <col min="2079" max="2079" width="11.00390625" style="955" bestFit="1" customWidth="1"/>
    <col min="2080" max="2081" width="9.00390625" style="955" hidden="1" customWidth="1"/>
    <col min="2082" max="2302" width="9.125" style="955" customWidth="1"/>
    <col min="2303" max="2303" width="16.375" style="955" customWidth="1"/>
    <col min="2304" max="2304" width="9.25390625" style="955" customWidth="1"/>
    <col min="2305" max="2305" width="8.25390625" style="955" bestFit="1" customWidth="1"/>
    <col min="2306" max="2306" width="8.375" style="955" customWidth="1"/>
    <col min="2307" max="2308" width="9.00390625" style="955" customWidth="1"/>
    <col min="2309" max="2309" width="8.125" style="955" customWidth="1"/>
    <col min="2310" max="2313" width="7.125" style="955" customWidth="1"/>
    <col min="2314" max="2314" width="8.625" style="955" customWidth="1"/>
    <col min="2315" max="2315" width="8.75390625" style="955" customWidth="1"/>
    <col min="2316" max="2316" width="7.00390625" style="955" customWidth="1"/>
    <col min="2317" max="2317" width="8.875" style="955" customWidth="1"/>
    <col min="2318" max="2318" width="7.625" style="955" customWidth="1"/>
    <col min="2319" max="2319" width="7.75390625" style="955" customWidth="1"/>
    <col min="2320" max="2320" width="8.125" style="955" customWidth="1"/>
    <col min="2321" max="2321" width="12.625" style="955" bestFit="1" customWidth="1"/>
    <col min="2322" max="2322" width="9.75390625" style="955" customWidth="1"/>
    <col min="2323" max="2323" width="9.125" style="955" customWidth="1"/>
    <col min="2324" max="2324" width="16.625" style="955" customWidth="1"/>
    <col min="2325" max="2325" width="10.625" style="955" customWidth="1"/>
    <col min="2326" max="2326" width="9.125" style="955" customWidth="1"/>
    <col min="2327" max="2328" width="10.00390625" style="955" bestFit="1" customWidth="1"/>
    <col min="2329" max="2329" width="9.125" style="955" customWidth="1"/>
    <col min="2330" max="2330" width="10.875" style="955" customWidth="1"/>
    <col min="2331" max="2331" width="8.875" style="955" customWidth="1"/>
    <col min="2332" max="2332" width="8.75390625" style="955" customWidth="1"/>
    <col min="2333" max="2334" width="9.625" style="955" customWidth="1"/>
    <col min="2335" max="2335" width="11.00390625" style="955" bestFit="1" customWidth="1"/>
    <col min="2336" max="2337" width="9.00390625" style="955" hidden="1" customWidth="1"/>
    <col min="2338" max="2558" width="9.125" style="955" customWidth="1"/>
    <col min="2559" max="2559" width="16.375" style="955" customWidth="1"/>
    <col min="2560" max="2560" width="9.25390625" style="955" customWidth="1"/>
    <col min="2561" max="2561" width="8.25390625" style="955" bestFit="1" customWidth="1"/>
    <col min="2562" max="2562" width="8.375" style="955" customWidth="1"/>
    <col min="2563" max="2564" width="9.00390625" style="955" customWidth="1"/>
    <col min="2565" max="2565" width="8.125" style="955" customWidth="1"/>
    <col min="2566" max="2569" width="7.125" style="955" customWidth="1"/>
    <col min="2570" max="2570" width="8.625" style="955" customWidth="1"/>
    <col min="2571" max="2571" width="8.75390625" style="955" customWidth="1"/>
    <col min="2572" max="2572" width="7.00390625" style="955" customWidth="1"/>
    <col min="2573" max="2573" width="8.875" style="955" customWidth="1"/>
    <col min="2574" max="2574" width="7.625" style="955" customWidth="1"/>
    <col min="2575" max="2575" width="7.75390625" style="955" customWidth="1"/>
    <col min="2576" max="2576" width="8.125" style="955" customWidth="1"/>
    <col min="2577" max="2577" width="12.625" style="955" bestFit="1" customWidth="1"/>
    <col min="2578" max="2578" width="9.75390625" style="955" customWidth="1"/>
    <col min="2579" max="2579" width="9.125" style="955" customWidth="1"/>
    <col min="2580" max="2580" width="16.625" style="955" customWidth="1"/>
    <col min="2581" max="2581" width="10.625" style="955" customWidth="1"/>
    <col min="2582" max="2582" width="9.125" style="955" customWidth="1"/>
    <col min="2583" max="2584" width="10.00390625" style="955" bestFit="1" customWidth="1"/>
    <col min="2585" max="2585" width="9.125" style="955" customWidth="1"/>
    <col min="2586" max="2586" width="10.875" style="955" customWidth="1"/>
    <col min="2587" max="2587" width="8.875" style="955" customWidth="1"/>
    <col min="2588" max="2588" width="8.75390625" style="955" customWidth="1"/>
    <col min="2589" max="2590" width="9.625" style="955" customWidth="1"/>
    <col min="2591" max="2591" width="11.00390625" style="955" bestFit="1" customWidth="1"/>
    <col min="2592" max="2593" width="9.00390625" style="955" hidden="1" customWidth="1"/>
    <col min="2594" max="2814" width="9.125" style="955" customWidth="1"/>
    <col min="2815" max="2815" width="16.375" style="955" customWidth="1"/>
    <col min="2816" max="2816" width="9.25390625" style="955" customWidth="1"/>
    <col min="2817" max="2817" width="8.25390625" style="955" bestFit="1" customWidth="1"/>
    <col min="2818" max="2818" width="8.375" style="955" customWidth="1"/>
    <col min="2819" max="2820" width="9.00390625" style="955" customWidth="1"/>
    <col min="2821" max="2821" width="8.125" style="955" customWidth="1"/>
    <col min="2822" max="2825" width="7.125" style="955" customWidth="1"/>
    <col min="2826" max="2826" width="8.625" style="955" customWidth="1"/>
    <col min="2827" max="2827" width="8.75390625" style="955" customWidth="1"/>
    <col min="2828" max="2828" width="7.00390625" style="955" customWidth="1"/>
    <col min="2829" max="2829" width="8.875" style="955" customWidth="1"/>
    <col min="2830" max="2830" width="7.625" style="955" customWidth="1"/>
    <col min="2831" max="2831" width="7.75390625" style="955" customWidth="1"/>
    <col min="2832" max="2832" width="8.125" style="955" customWidth="1"/>
    <col min="2833" max="2833" width="12.625" style="955" bestFit="1" customWidth="1"/>
    <col min="2834" max="2834" width="9.75390625" style="955" customWidth="1"/>
    <col min="2835" max="2835" width="9.125" style="955" customWidth="1"/>
    <col min="2836" max="2836" width="16.625" style="955" customWidth="1"/>
    <col min="2837" max="2837" width="10.625" style="955" customWidth="1"/>
    <col min="2838" max="2838" width="9.125" style="955" customWidth="1"/>
    <col min="2839" max="2840" width="10.00390625" style="955" bestFit="1" customWidth="1"/>
    <col min="2841" max="2841" width="9.125" style="955" customWidth="1"/>
    <col min="2842" max="2842" width="10.875" style="955" customWidth="1"/>
    <col min="2843" max="2843" width="8.875" style="955" customWidth="1"/>
    <col min="2844" max="2844" width="8.75390625" style="955" customWidth="1"/>
    <col min="2845" max="2846" width="9.625" style="955" customWidth="1"/>
    <col min="2847" max="2847" width="11.00390625" style="955" bestFit="1" customWidth="1"/>
    <col min="2848" max="2849" width="9.00390625" style="955" hidden="1" customWidth="1"/>
    <col min="2850" max="3070" width="9.125" style="955" customWidth="1"/>
    <col min="3071" max="3071" width="16.375" style="955" customWidth="1"/>
    <col min="3072" max="3072" width="9.25390625" style="955" customWidth="1"/>
    <col min="3073" max="3073" width="8.25390625" style="955" bestFit="1" customWidth="1"/>
    <col min="3074" max="3074" width="8.375" style="955" customWidth="1"/>
    <col min="3075" max="3076" width="9.00390625" style="955" customWidth="1"/>
    <col min="3077" max="3077" width="8.125" style="955" customWidth="1"/>
    <col min="3078" max="3081" width="7.125" style="955" customWidth="1"/>
    <col min="3082" max="3082" width="8.625" style="955" customWidth="1"/>
    <col min="3083" max="3083" width="8.75390625" style="955" customWidth="1"/>
    <col min="3084" max="3084" width="7.00390625" style="955" customWidth="1"/>
    <col min="3085" max="3085" width="8.875" style="955" customWidth="1"/>
    <col min="3086" max="3086" width="7.625" style="955" customWidth="1"/>
    <col min="3087" max="3087" width="7.75390625" style="955" customWidth="1"/>
    <col min="3088" max="3088" width="8.125" style="955" customWidth="1"/>
    <col min="3089" max="3089" width="12.625" style="955" bestFit="1" customWidth="1"/>
    <col min="3090" max="3090" width="9.75390625" style="955" customWidth="1"/>
    <col min="3091" max="3091" width="9.125" style="955" customWidth="1"/>
    <col min="3092" max="3092" width="16.625" style="955" customWidth="1"/>
    <col min="3093" max="3093" width="10.625" style="955" customWidth="1"/>
    <col min="3094" max="3094" width="9.125" style="955" customWidth="1"/>
    <col min="3095" max="3096" width="10.00390625" style="955" bestFit="1" customWidth="1"/>
    <col min="3097" max="3097" width="9.125" style="955" customWidth="1"/>
    <col min="3098" max="3098" width="10.875" style="955" customWidth="1"/>
    <col min="3099" max="3099" width="8.875" style="955" customWidth="1"/>
    <col min="3100" max="3100" width="8.75390625" style="955" customWidth="1"/>
    <col min="3101" max="3102" width="9.625" style="955" customWidth="1"/>
    <col min="3103" max="3103" width="11.00390625" style="955" bestFit="1" customWidth="1"/>
    <col min="3104" max="3105" width="9.00390625" style="955" hidden="1" customWidth="1"/>
    <col min="3106" max="3326" width="9.125" style="955" customWidth="1"/>
    <col min="3327" max="3327" width="16.375" style="955" customWidth="1"/>
    <col min="3328" max="3328" width="9.25390625" style="955" customWidth="1"/>
    <col min="3329" max="3329" width="8.25390625" style="955" bestFit="1" customWidth="1"/>
    <col min="3330" max="3330" width="8.375" style="955" customWidth="1"/>
    <col min="3331" max="3332" width="9.00390625" style="955" customWidth="1"/>
    <col min="3333" max="3333" width="8.125" style="955" customWidth="1"/>
    <col min="3334" max="3337" width="7.125" style="955" customWidth="1"/>
    <col min="3338" max="3338" width="8.625" style="955" customWidth="1"/>
    <col min="3339" max="3339" width="8.75390625" style="955" customWidth="1"/>
    <col min="3340" max="3340" width="7.00390625" style="955" customWidth="1"/>
    <col min="3341" max="3341" width="8.875" style="955" customWidth="1"/>
    <col min="3342" max="3342" width="7.625" style="955" customWidth="1"/>
    <col min="3343" max="3343" width="7.75390625" style="955" customWidth="1"/>
    <col min="3344" max="3344" width="8.125" style="955" customWidth="1"/>
    <col min="3345" max="3345" width="12.625" style="955" bestFit="1" customWidth="1"/>
    <col min="3346" max="3346" width="9.75390625" style="955" customWidth="1"/>
    <col min="3347" max="3347" width="9.125" style="955" customWidth="1"/>
    <col min="3348" max="3348" width="16.625" style="955" customWidth="1"/>
    <col min="3349" max="3349" width="10.625" style="955" customWidth="1"/>
    <col min="3350" max="3350" width="9.125" style="955" customWidth="1"/>
    <col min="3351" max="3352" width="10.00390625" style="955" bestFit="1" customWidth="1"/>
    <col min="3353" max="3353" width="9.125" style="955" customWidth="1"/>
    <col min="3354" max="3354" width="10.875" style="955" customWidth="1"/>
    <col min="3355" max="3355" width="8.875" style="955" customWidth="1"/>
    <col min="3356" max="3356" width="8.75390625" style="955" customWidth="1"/>
    <col min="3357" max="3358" width="9.625" style="955" customWidth="1"/>
    <col min="3359" max="3359" width="11.00390625" style="955" bestFit="1" customWidth="1"/>
    <col min="3360" max="3361" width="9.00390625" style="955" hidden="1" customWidth="1"/>
    <col min="3362" max="3582" width="9.125" style="955" customWidth="1"/>
    <col min="3583" max="3583" width="16.375" style="955" customWidth="1"/>
    <col min="3584" max="3584" width="9.25390625" style="955" customWidth="1"/>
    <col min="3585" max="3585" width="8.25390625" style="955" bestFit="1" customWidth="1"/>
    <col min="3586" max="3586" width="8.375" style="955" customWidth="1"/>
    <col min="3587" max="3588" width="9.00390625" style="955" customWidth="1"/>
    <col min="3589" max="3589" width="8.125" style="955" customWidth="1"/>
    <col min="3590" max="3593" width="7.125" style="955" customWidth="1"/>
    <col min="3594" max="3594" width="8.625" style="955" customWidth="1"/>
    <col min="3595" max="3595" width="8.75390625" style="955" customWidth="1"/>
    <col min="3596" max="3596" width="7.00390625" style="955" customWidth="1"/>
    <col min="3597" max="3597" width="8.875" style="955" customWidth="1"/>
    <col min="3598" max="3598" width="7.625" style="955" customWidth="1"/>
    <col min="3599" max="3599" width="7.75390625" style="955" customWidth="1"/>
    <col min="3600" max="3600" width="8.125" style="955" customWidth="1"/>
    <col min="3601" max="3601" width="12.625" style="955" bestFit="1" customWidth="1"/>
    <col min="3602" max="3602" width="9.75390625" style="955" customWidth="1"/>
    <col min="3603" max="3603" width="9.125" style="955" customWidth="1"/>
    <col min="3604" max="3604" width="16.625" style="955" customWidth="1"/>
    <col min="3605" max="3605" width="10.625" style="955" customWidth="1"/>
    <col min="3606" max="3606" width="9.125" style="955" customWidth="1"/>
    <col min="3607" max="3608" width="10.00390625" style="955" bestFit="1" customWidth="1"/>
    <col min="3609" max="3609" width="9.125" style="955" customWidth="1"/>
    <col min="3610" max="3610" width="10.875" style="955" customWidth="1"/>
    <col min="3611" max="3611" width="8.875" style="955" customWidth="1"/>
    <col min="3612" max="3612" width="8.75390625" style="955" customWidth="1"/>
    <col min="3613" max="3614" width="9.625" style="955" customWidth="1"/>
    <col min="3615" max="3615" width="11.00390625" style="955" bestFit="1" customWidth="1"/>
    <col min="3616" max="3617" width="9.00390625" style="955" hidden="1" customWidth="1"/>
    <col min="3618" max="3838" width="9.125" style="955" customWidth="1"/>
    <col min="3839" max="3839" width="16.375" style="955" customWidth="1"/>
    <col min="3840" max="3840" width="9.25390625" style="955" customWidth="1"/>
    <col min="3841" max="3841" width="8.25390625" style="955" bestFit="1" customWidth="1"/>
    <col min="3842" max="3842" width="8.375" style="955" customWidth="1"/>
    <col min="3843" max="3844" width="9.00390625" style="955" customWidth="1"/>
    <col min="3845" max="3845" width="8.125" style="955" customWidth="1"/>
    <col min="3846" max="3849" width="7.125" style="955" customWidth="1"/>
    <col min="3850" max="3850" width="8.625" style="955" customWidth="1"/>
    <col min="3851" max="3851" width="8.75390625" style="955" customWidth="1"/>
    <col min="3852" max="3852" width="7.00390625" style="955" customWidth="1"/>
    <col min="3853" max="3853" width="8.875" style="955" customWidth="1"/>
    <col min="3854" max="3854" width="7.625" style="955" customWidth="1"/>
    <col min="3855" max="3855" width="7.75390625" style="955" customWidth="1"/>
    <col min="3856" max="3856" width="8.125" style="955" customWidth="1"/>
    <col min="3857" max="3857" width="12.625" style="955" bestFit="1" customWidth="1"/>
    <col min="3858" max="3858" width="9.75390625" style="955" customWidth="1"/>
    <col min="3859" max="3859" width="9.125" style="955" customWidth="1"/>
    <col min="3860" max="3860" width="16.625" style="955" customWidth="1"/>
    <col min="3861" max="3861" width="10.625" style="955" customWidth="1"/>
    <col min="3862" max="3862" width="9.125" style="955" customWidth="1"/>
    <col min="3863" max="3864" width="10.00390625" style="955" bestFit="1" customWidth="1"/>
    <col min="3865" max="3865" width="9.125" style="955" customWidth="1"/>
    <col min="3866" max="3866" width="10.875" style="955" customWidth="1"/>
    <col min="3867" max="3867" width="8.875" style="955" customWidth="1"/>
    <col min="3868" max="3868" width="8.75390625" style="955" customWidth="1"/>
    <col min="3869" max="3870" width="9.625" style="955" customWidth="1"/>
    <col min="3871" max="3871" width="11.00390625" style="955" bestFit="1" customWidth="1"/>
    <col min="3872" max="3873" width="9.00390625" style="955" hidden="1" customWidth="1"/>
    <col min="3874" max="4094" width="9.125" style="955" customWidth="1"/>
    <col min="4095" max="4095" width="16.375" style="955" customWidth="1"/>
    <col min="4096" max="4096" width="9.25390625" style="955" customWidth="1"/>
    <col min="4097" max="4097" width="8.25390625" style="955" bestFit="1" customWidth="1"/>
    <col min="4098" max="4098" width="8.375" style="955" customWidth="1"/>
    <col min="4099" max="4100" width="9.00390625" style="955" customWidth="1"/>
    <col min="4101" max="4101" width="8.125" style="955" customWidth="1"/>
    <col min="4102" max="4105" width="7.125" style="955" customWidth="1"/>
    <col min="4106" max="4106" width="8.625" style="955" customWidth="1"/>
    <col min="4107" max="4107" width="8.75390625" style="955" customWidth="1"/>
    <col min="4108" max="4108" width="7.00390625" style="955" customWidth="1"/>
    <col min="4109" max="4109" width="8.875" style="955" customWidth="1"/>
    <col min="4110" max="4110" width="7.625" style="955" customWidth="1"/>
    <col min="4111" max="4111" width="7.75390625" style="955" customWidth="1"/>
    <col min="4112" max="4112" width="8.125" style="955" customWidth="1"/>
    <col min="4113" max="4113" width="12.625" style="955" bestFit="1" customWidth="1"/>
    <col min="4114" max="4114" width="9.75390625" style="955" customWidth="1"/>
    <col min="4115" max="4115" width="9.125" style="955" customWidth="1"/>
    <col min="4116" max="4116" width="16.625" style="955" customWidth="1"/>
    <col min="4117" max="4117" width="10.625" style="955" customWidth="1"/>
    <col min="4118" max="4118" width="9.125" style="955" customWidth="1"/>
    <col min="4119" max="4120" width="10.00390625" style="955" bestFit="1" customWidth="1"/>
    <col min="4121" max="4121" width="9.125" style="955" customWidth="1"/>
    <col min="4122" max="4122" width="10.875" style="955" customWidth="1"/>
    <col min="4123" max="4123" width="8.875" style="955" customWidth="1"/>
    <col min="4124" max="4124" width="8.75390625" style="955" customWidth="1"/>
    <col min="4125" max="4126" width="9.625" style="955" customWidth="1"/>
    <col min="4127" max="4127" width="11.00390625" style="955" bestFit="1" customWidth="1"/>
    <col min="4128" max="4129" width="9.00390625" style="955" hidden="1" customWidth="1"/>
    <col min="4130" max="4350" width="9.125" style="955" customWidth="1"/>
    <col min="4351" max="4351" width="16.375" style="955" customWidth="1"/>
    <col min="4352" max="4352" width="9.25390625" style="955" customWidth="1"/>
    <col min="4353" max="4353" width="8.25390625" style="955" bestFit="1" customWidth="1"/>
    <col min="4354" max="4354" width="8.375" style="955" customWidth="1"/>
    <col min="4355" max="4356" width="9.00390625" style="955" customWidth="1"/>
    <col min="4357" max="4357" width="8.125" style="955" customWidth="1"/>
    <col min="4358" max="4361" width="7.125" style="955" customWidth="1"/>
    <col min="4362" max="4362" width="8.625" style="955" customWidth="1"/>
    <col min="4363" max="4363" width="8.75390625" style="955" customWidth="1"/>
    <col min="4364" max="4364" width="7.00390625" style="955" customWidth="1"/>
    <col min="4365" max="4365" width="8.875" style="955" customWidth="1"/>
    <col min="4366" max="4366" width="7.625" style="955" customWidth="1"/>
    <col min="4367" max="4367" width="7.75390625" style="955" customWidth="1"/>
    <col min="4368" max="4368" width="8.125" style="955" customWidth="1"/>
    <col min="4369" max="4369" width="12.625" style="955" bestFit="1" customWidth="1"/>
    <col min="4370" max="4370" width="9.75390625" style="955" customWidth="1"/>
    <col min="4371" max="4371" width="9.125" style="955" customWidth="1"/>
    <col min="4372" max="4372" width="16.625" style="955" customWidth="1"/>
    <col min="4373" max="4373" width="10.625" style="955" customWidth="1"/>
    <col min="4374" max="4374" width="9.125" style="955" customWidth="1"/>
    <col min="4375" max="4376" width="10.00390625" style="955" bestFit="1" customWidth="1"/>
    <col min="4377" max="4377" width="9.125" style="955" customWidth="1"/>
    <col min="4378" max="4378" width="10.875" style="955" customWidth="1"/>
    <col min="4379" max="4379" width="8.875" style="955" customWidth="1"/>
    <col min="4380" max="4380" width="8.75390625" style="955" customWidth="1"/>
    <col min="4381" max="4382" width="9.625" style="955" customWidth="1"/>
    <col min="4383" max="4383" width="11.00390625" style="955" bestFit="1" customWidth="1"/>
    <col min="4384" max="4385" width="9.00390625" style="955" hidden="1" customWidth="1"/>
    <col min="4386" max="4606" width="9.125" style="955" customWidth="1"/>
    <col min="4607" max="4607" width="16.375" style="955" customWidth="1"/>
    <col min="4608" max="4608" width="9.25390625" style="955" customWidth="1"/>
    <col min="4609" max="4609" width="8.25390625" style="955" bestFit="1" customWidth="1"/>
    <col min="4610" max="4610" width="8.375" style="955" customWidth="1"/>
    <col min="4611" max="4612" width="9.00390625" style="955" customWidth="1"/>
    <col min="4613" max="4613" width="8.125" style="955" customWidth="1"/>
    <col min="4614" max="4617" width="7.125" style="955" customWidth="1"/>
    <col min="4618" max="4618" width="8.625" style="955" customWidth="1"/>
    <col min="4619" max="4619" width="8.75390625" style="955" customWidth="1"/>
    <col min="4620" max="4620" width="7.00390625" style="955" customWidth="1"/>
    <col min="4621" max="4621" width="8.875" style="955" customWidth="1"/>
    <col min="4622" max="4622" width="7.625" style="955" customWidth="1"/>
    <col min="4623" max="4623" width="7.75390625" style="955" customWidth="1"/>
    <col min="4624" max="4624" width="8.125" style="955" customWidth="1"/>
    <col min="4625" max="4625" width="12.625" style="955" bestFit="1" customWidth="1"/>
    <col min="4626" max="4626" width="9.75390625" style="955" customWidth="1"/>
    <col min="4627" max="4627" width="9.125" style="955" customWidth="1"/>
    <col min="4628" max="4628" width="16.625" style="955" customWidth="1"/>
    <col min="4629" max="4629" width="10.625" style="955" customWidth="1"/>
    <col min="4630" max="4630" width="9.125" style="955" customWidth="1"/>
    <col min="4631" max="4632" width="10.00390625" style="955" bestFit="1" customWidth="1"/>
    <col min="4633" max="4633" width="9.125" style="955" customWidth="1"/>
    <col min="4634" max="4634" width="10.875" style="955" customWidth="1"/>
    <col min="4635" max="4635" width="8.875" style="955" customWidth="1"/>
    <col min="4636" max="4636" width="8.75390625" style="955" customWidth="1"/>
    <col min="4637" max="4638" width="9.625" style="955" customWidth="1"/>
    <col min="4639" max="4639" width="11.00390625" style="955" bestFit="1" customWidth="1"/>
    <col min="4640" max="4641" width="9.00390625" style="955" hidden="1" customWidth="1"/>
    <col min="4642" max="4862" width="9.125" style="955" customWidth="1"/>
    <col min="4863" max="4863" width="16.375" style="955" customWidth="1"/>
    <col min="4864" max="4864" width="9.25390625" style="955" customWidth="1"/>
    <col min="4865" max="4865" width="8.25390625" style="955" bestFit="1" customWidth="1"/>
    <col min="4866" max="4866" width="8.375" style="955" customWidth="1"/>
    <col min="4867" max="4868" width="9.00390625" style="955" customWidth="1"/>
    <col min="4869" max="4869" width="8.125" style="955" customWidth="1"/>
    <col min="4870" max="4873" width="7.125" style="955" customWidth="1"/>
    <col min="4874" max="4874" width="8.625" style="955" customWidth="1"/>
    <col min="4875" max="4875" width="8.75390625" style="955" customWidth="1"/>
    <col min="4876" max="4876" width="7.00390625" style="955" customWidth="1"/>
    <col min="4877" max="4877" width="8.875" style="955" customWidth="1"/>
    <col min="4878" max="4878" width="7.625" style="955" customWidth="1"/>
    <col min="4879" max="4879" width="7.75390625" style="955" customWidth="1"/>
    <col min="4880" max="4880" width="8.125" style="955" customWidth="1"/>
    <col min="4881" max="4881" width="12.625" style="955" bestFit="1" customWidth="1"/>
    <col min="4882" max="4882" width="9.75390625" style="955" customWidth="1"/>
    <col min="4883" max="4883" width="9.125" style="955" customWidth="1"/>
    <col min="4884" max="4884" width="16.625" style="955" customWidth="1"/>
    <col min="4885" max="4885" width="10.625" style="955" customWidth="1"/>
    <col min="4886" max="4886" width="9.125" style="955" customWidth="1"/>
    <col min="4887" max="4888" width="10.00390625" style="955" bestFit="1" customWidth="1"/>
    <col min="4889" max="4889" width="9.125" style="955" customWidth="1"/>
    <col min="4890" max="4890" width="10.875" style="955" customWidth="1"/>
    <col min="4891" max="4891" width="8.875" style="955" customWidth="1"/>
    <col min="4892" max="4892" width="8.75390625" style="955" customWidth="1"/>
    <col min="4893" max="4894" width="9.625" style="955" customWidth="1"/>
    <col min="4895" max="4895" width="11.00390625" style="955" bestFit="1" customWidth="1"/>
    <col min="4896" max="4897" width="9.00390625" style="955" hidden="1" customWidth="1"/>
    <col min="4898" max="5118" width="9.125" style="955" customWidth="1"/>
    <col min="5119" max="5119" width="16.375" style="955" customWidth="1"/>
    <col min="5120" max="5120" width="9.25390625" style="955" customWidth="1"/>
    <col min="5121" max="5121" width="8.25390625" style="955" bestFit="1" customWidth="1"/>
    <col min="5122" max="5122" width="8.375" style="955" customWidth="1"/>
    <col min="5123" max="5124" width="9.00390625" style="955" customWidth="1"/>
    <col min="5125" max="5125" width="8.125" style="955" customWidth="1"/>
    <col min="5126" max="5129" width="7.125" style="955" customWidth="1"/>
    <col min="5130" max="5130" width="8.625" style="955" customWidth="1"/>
    <col min="5131" max="5131" width="8.75390625" style="955" customWidth="1"/>
    <col min="5132" max="5132" width="7.00390625" style="955" customWidth="1"/>
    <col min="5133" max="5133" width="8.875" style="955" customWidth="1"/>
    <col min="5134" max="5134" width="7.625" style="955" customWidth="1"/>
    <col min="5135" max="5135" width="7.75390625" style="955" customWidth="1"/>
    <col min="5136" max="5136" width="8.125" style="955" customWidth="1"/>
    <col min="5137" max="5137" width="12.625" style="955" bestFit="1" customWidth="1"/>
    <col min="5138" max="5138" width="9.75390625" style="955" customWidth="1"/>
    <col min="5139" max="5139" width="9.125" style="955" customWidth="1"/>
    <col min="5140" max="5140" width="16.625" style="955" customWidth="1"/>
    <col min="5141" max="5141" width="10.625" style="955" customWidth="1"/>
    <col min="5142" max="5142" width="9.125" style="955" customWidth="1"/>
    <col min="5143" max="5144" width="10.00390625" style="955" bestFit="1" customWidth="1"/>
    <col min="5145" max="5145" width="9.125" style="955" customWidth="1"/>
    <col min="5146" max="5146" width="10.875" style="955" customWidth="1"/>
    <col min="5147" max="5147" width="8.875" style="955" customWidth="1"/>
    <col min="5148" max="5148" width="8.75390625" style="955" customWidth="1"/>
    <col min="5149" max="5150" width="9.625" style="955" customWidth="1"/>
    <col min="5151" max="5151" width="11.00390625" style="955" bestFit="1" customWidth="1"/>
    <col min="5152" max="5153" width="9.00390625" style="955" hidden="1" customWidth="1"/>
    <col min="5154" max="5374" width="9.125" style="955" customWidth="1"/>
    <col min="5375" max="5375" width="16.375" style="955" customWidth="1"/>
    <col min="5376" max="5376" width="9.25390625" style="955" customWidth="1"/>
    <col min="5377" max="5377" width="8.25390625" style="955" bestFit="1" customWidth="1"/>
    <col min="5378" max="5378" width="8.375" style="955" customWidth="1"/>
    <col min="5379" max="5380" width="9.00390625" style="955" customWidth="1"/>
    <col min="5381" max="5381" width="8.125" style="955" customWidth="1"/>
    <col min="5382" max="5385" width="7.125" style="955" customWidth="1"/>
    <col min="5386" max="5386" width="8.625" style="955" customWidth="1"/>
    <col min="5387" max="5387" width="8.75390625" style="955" customWidth="1"/>
    <col min="5388" max="5388" width="7.00390625" style="955" customWidth="1"/>
    <col min="5389" max="5389" width="8.875" style="955" customWidth="1"/>
    <col min="5390" max="5390" width="7.625" style="955" customWidth="1"/>
    <col min="5391" max="5391" width="7.75390625" style="955" customWidth="1"/>
    <col min="5392" max="5392" width="8.125" style="955" customWidth="1"/>
    <col min="5393" max="5393" width="12.625" style="955" bestFit="1" customWidth="1"/>
    <col min="5394" max="5394" width="9.75390625" style="955" customWidth="1"/>
    <col min="5395" max="5395" width="9.125" style="955" customWidth="1"/>
    <col min="5396" max="5396" width="16.625" style="955" customWidth="1"/>
    <col min="5397" max="5397" width="10.625" style="955" customWidth="1"/>
    <col min="5398" max="5398" width="9.125" style="955" customWidth="1"/>
    <col min="5399" max="5400" width="10.00390625" style="955" bestFit="1" customWidth="1"/>
    <col min="5401" max="5401" width="9.125" style="955" customWidth="1"/>
    <col min="5402" max="5402" width="10.875" style="955" customWidth="1"/>
    <col min="5403" max="5403" width="8.875" style="955" customWidth="1"/>
    <col min="5404" max="5404" width="8.75390625" style="955" customWidth="1"/>
    <col min="5405" max="5406" width="9.625" style="955" customWidth="1"/>
    <col min="5407" max="5407" width="11.00390625" style="955" bestFit="1" customWidth="1"/>
    <col min="5408" max="5409" width="9.00390625" style="955" hidden="1" customWidth="1"/>
    <col min="5410" max="5630" width="9.125" style="955" customWidth="1"/>
    <col min="5631" max="5631" width="16.375" style="955" customWidth="1"/>
    <col min="5632" max="5632" width="9.25390625" style="955" customWidth="1"/>
    <col min="5633" max="5633" width="8.25390625" style="955" bestFit="1" customWidth="1"/>
    <col min="5634" max="5634" width="8.375" style="955" customWidth="1"/>
    <col min="5635" max="5636" width="9.00390625" style="955" customWidth="1"/>
    <col min="5637" max="5637" width="8.125" style="955" customWidth="1"/>
    <col min="5638" max="5641" width="7.125" style="955" customWidth="1"/>
    <col min="5642" max="5642" width="8.625" style="955" customWidth="1"/>
    <col min="5643" max="5643" width="8.75390625" style="955" customWidth="1"/>
    <col min="5644" max="5644" width="7.00390625" style="955" customWidth="1"/>
    <col min="5645" max="5645" width="8.875" style="955" customWidth="1"/>
    <col min="5646" max="5646" width="7.625" style="955" customWidth="1"/>
    <col min="5647" max="5647" width="7.75390625" style="955" customWidth="1"/>
    <col min="5648" max="5648" width="8.125" style="955" customWidth="1"/>
    <col min="5649" max="5649" width="12.625" style="955" bestFit="1" customWidth="1"/>
    <col min="5650" max="5650" width="9.75390625" style="955" customWidth="1"/>
    <col min="5651" max="5651" width="9.125" style="955" customWidth="1"/>
    <col min="5652" max="5652" width="16.625" style="955" customWidth="1"/>
    <col min="5653" max="5653" width="10.625" style="955" customWidth="1"/>
    <col min="5654" max="5654" width="9.125" style="955" customWidth="1"/>
    <col min="5655" max="5656" width="10.00390625" style="955" bestFit="1" customWidth="1"/>
    <col min="5657" max="5657" width="9.125" style="955" customWidth="1"/>
    <col min="5658" max="5658" width="10.875" style="955" customWidth="1"/>
    <col min="5659" max="5659" width="8.875" style="955" customWidth="1"/>
    <col min="5660" max="5660" width="8.75390625" style="955" customWidth="1"/>
    <col min="5661" max="5662" width="9.625" style="955" customWidth="1"/>
    <col min="5663" max="5663" width="11.00390625" style="955" bestFit="1" customWidth="1"/>
    <col min="5664" max="5665" width="9.00390625" style="955" hidden="1" customWidth="1"/>
    <col min="5666" max="5886" width="9.125" style="955" customWidth="1"/>
    <col min="5887" max="5887" width="16.375" style="955" customWidth="1"/>
    <col min="5888" max="5888" width="9.25390625" style="955" customWidth="1"/>
    <col min="5889" max="5889" width="8.25390625" style="955" bestFit="1" customWidth="1"/>
    <col min="5890" max="5890" width="8.375" style="955" customWidth="1"/>
    <col min="5891" max="5892" width="9.00390625" style="955" customWidth="1"/>
    <col min="5893" max="5893" width="8.125" style="955" customWidth="1"/>
    <col min="5894" max="5897" width="7.125" style="955" customWidth="1"/>
    <col min="5898" max="5898" width="8.625" style="955" customWidth="1"/>
    <col min="5899" max="5899" width="8.75390625" style="955" customWidth="1"/>
    <col min="5900" max="5900" width="7.00390625" style="955" customWidth="1"/>
    <col min="5901" max="5901" width="8.875" style="955" customWidth="1"/>
    <col min="5902" max="5902" width="7.625" style="955" customWidth="1"/>
    <col min="5903" max="5903" width="7.75390625" style="955" customWidth="1"/>
    <col min="5904" max="5904" width="8.125" style="955" customWidth="1"/>
    <col min="5905" max="5905" width="12.625" style="955" bestFit="1" customWidth="1"/>
    <col min="5906" max="5906" width="9.75390625" style="955" customWidth="1"/>
    <col min="5907" max="5907" width="9.125" style="955" customWidth="1"/>
    <col min="5908" max="5908" width="16.625" style="955" customWidth="1"/>
    <col min="5909" max="5909" width="10.625" style="955" customWidth="1"/>
    <col min="5910" max="5910" width="9.125" style="955" customWidth="1"/>
    <col min="5911" max="5912" width="10.00390625" style="955" bestFit="1" customWidth="1"/>
    <col min="5913" max="5913" width="9.125" style="955" customWidth="1"/>
    <col min="5914" max="5914" width="10.875" style="955" customWidth="1"/>
    <col min="5915" max="5915" width="8.875" style="955" customWidth="1"/>
    <col min="5916" max="5916" width="8.75390625" style="955" customWidth="1"/>
    <col min="5917" max="5918" width="9.625" style="955" customWidth="1"/>
    <col min="5919" max="5919" width="11.00390625" style="955" bestFit="1" customWidth="1"/>
    <col min="5920" max="5921" width="9.00390625" style="955" hidden="1" customWidth="1"/>
    <col min="5922" max="6142" width="9.125" style="955" customWidth="1"/>
    <col min="6143" max="6143" width="16.375" style="955" customWidth="1"/>
    <col min="6144" max="6144" width="9.25390625" style="955" customWidth="1"/>
    <col min="6145" max="6145" width="8.25390625" style="955" bestFit="1" customWidth="1"/>
    <col min="6146" max="6146" width="8.375" style="955" customWidth="1"/>
    <col min="6147" max="6148" width="9.00390625" style="955" customWidth="1"/>
    <col min="6149" max="6149" width="8.125" style="955" customWidth="1"/>
    <col min="6150" max="6153" width="7.125" style="955" customWidth="1"/>
    <col min="6154" max="6154" width="8.625" style="955" customWidth="1"/>
    <col min="6155" max="6155" width="8.75390625" style="955" customWidth="1"/>
    <col min="6156" max="6156" width="7.00390625" style="955" customWidth="1"/>
    <col min="6157" max="6157" width="8.875" style="955" customWidth="1"/>
    <col min="6158" max="6158" width="7.625" style="955" customWidth="1"/>
    <col min="6159" max="6159" width="7.75390625" style="955" customWidth="1"/>
    <col min="6160" max="6160" width="8.125" style="955" customWidth="1"/>
    <col min="6161" max="6161" width="12.625" style="955" bestFit="1" customWidth="1"/>
    <col min="6162" max="6162" width="9.75390625" style="955" customWidth="1"/>
    <col min="6163" max="6163" width="9.125" style="955" customWidth="1"/>
    <col min="6164" max="6164" width="16.625" style="955" customWidth="1"/>
    <col min="6165" max="6165" width="10.625" style="955" customWidth="1"/>
    <col min="6166" max="6166" width="9.125" style="955" customWidth="1"/>
    <col min="6167" max="6168" width="10.00390625" style="955" bestFit="1" customWidth="1"/>
    <col min="6169" max="6169" width="9.125" style="955" customWidth="1"/>
    <col min="6170" max="6170" width="10.875" style="955" customWidth="1"/>
    <col min="6171" max="6171" width="8.875" style="955" customWidth="1"/>
    <col min="6172" max="6172" width="8.75390625" style="955" customWidth="1"/>
    <col min="6173" max="6174" width="9.625" style="955" customWidth="1"/>
    <col min="6175" max="6175" width="11.00390625" style="955" bestFit="1" customWidth="1"/>
    <col min="6176" max="6177" width="9.00390625" style="955" hidden="1" customWidth="1"/>
    <col min="6178" max="6398" width="9.125" style="955" customWidth="1"/>
    <col min="6399" max="6399" width="16.375" style="955" customWidth="1"/>
    <col min="6400" max="6400" width="9.25390625" style="955" customWidth="1"/>
    <col min="6401" max="6401" width="8.25390625" style="955" bestFit="1" customWidth="1"/>
    <col min="6402" max="6402" width="8.375" style="955" customWidth="1"/>
    <col min="6403" max="6404" width="9.00390625" style="955" customWidth="1"/>
    <col min="6405" max="6405" width="8.125" style="955" customWidth="1"/>
    <col min="6406" max="6409" width="7.125" style="955" customWidth="1"/>
    <col min="6410" max="6410" width="8.625" style="955" customWidth="1"/>
    <col min="6411" max="6411" width="8.75390625" style="955" customWidth="1"/>
    <col min="6412" max="6412" width="7.00390625" style="955" customWidth="1"/>
    <col min="6413" max="6413" width="8.875" style="955" customWidth="1"/>
    <col min="6414" max="6414" width="7.625" style="955" customWidth="1"/>
    <col min="6415" max="6415" width="7.75390625" style="955" customWidth="1"/>
    <col min="6416" max="6416" width="8.125" style="955" customWidth="1"/>
    <col min="6417" max="6417" width="12.625" style="955" bestFit="1" customWidth="1"/>
    <col min="6418" max="6418" width="9.75390625" style="955" customWidth="1"/>
    <col min="6419" max="6419" width="9.125" style="955" customWidth="1"/>
    <col min="6420" max="6420" width="16.625" style="955" customWidth="1"/>
    <col min="6421" max="6421" width="10.625" style="955" customWidth="1"/>
    <col min="6422" max="6422" width="9.125" style="955" customWidth="1"/>
    <col min="6423" max="6424" width="10.00390625" style="955" bestFit="1" customWidth="1"/>
    <col min="6425" max="6425" width="9.125" style="955" customWidth="1"/>
    <col min="6426" max="6426" width="10.875" style="955" customWidth="1"/>
    <col min="6427" max="6427" width="8.875" style="955" customWidth="1"/>
    <col min="6428" max="6428" width="8.75390625" style="955" customWidth="1"/>
    <col min="6429" max="6430" width="9.625" style="955" customWidth="1"/>
    <col min="6431" max="6431" width="11.00390625" style="955" bestFit="1" customWidth="1"/>
    <col min="6432" max="6433" width="9.00390625" style="955" hidden="1" customWidth="1"/>
    <col min="6434" max="6654" width="9.125" style="955" customWidth="1"/>
    <col min="6655" max="6655" width="16.375" style="955" customWidth="1"/>
    <col min="6656" max="6656" width="9.25390625" style="955" customWidth="1"/>
    <col min="6657" max="6657" width="8.25390625" style="955" bestFit="1" customWidth="1"/>
    <col min="6658" max="6658" width="8.375" style="955" customWidth="1"/>
    <col min="6659" max="6660" width="9.00390625" style="955" customWidth="1"/>
    <col min="6661" max="6661" width="8.125" style="955" customWidth="1"/>
    <col min="6662" max="6665" width="7.125" style="955" customWidth="1"/>
    <col min="6666" max="6666" width="8.625" style="955" customWidth="1"/>
    <col min="6667" max="6667" width="8.75390625" style="955" customWidth="1"/>
    <col min="6668" max="6668" width="7.00390625" style="955" customWidth="1"/>
    <col min="6669" max="6669" width="8.875" style="955" customWidth="1"/>
    <col min="6670" max="6670" width="7.625" style="955" customWidth="1"/>
    <col min="6671" max="6671" width="7.75390625" style="955" customWidth="1"/>
    <col min="6672" max="6672" width="8.125" style="955" customWidth="1"/>
    <col min="6673" max="6673" width="12.625" style="955" bestFit="1" customWidth="1"/>
    <col min="6674" max="6674" width="9.75390625" style="955" customWidth="1"/>
    <col min="6675" max="6675" width="9.125" style="955" customWidth="1"/>
    <col min="6676" max="6676" width="16.625" style="955" customWidth="1"/>
    <col min="6677" max="6677" width="10.625" style="955" customWidth="1"/>
    <col min="6678" max="6678" width="9.125" style="955" customWidth="1"/>
    <col min="6679" max="6680" width="10.00390625" style="955" bestFit="1" customWidth="1"/>
    <col min="6681" max="6681" width="9.125" style="955" customWidth="1"/>
    <col min="6682" max="6682" width="10.875" style="955" customWidth="1"/>
    <col min="6683" max="6683" width="8.875" style="955" customWidth="1"/>
    <col min="6684" max="6684" width="8.75390625" style="955" customWidth="1"/>
    <col min="6685" max="6686" width="9.625" style="955" customWidth="1"/>
    <col min="6687" max="6687" width="11.00390625" style="955" bestFit="1" customWidth="1"/>
    <col min="6688" max="6689" width="9.00390625" style="955" hidden="1" customWidth="1"/>
    <col min="6690" max="6910" width="9.125" style="955" customWidth="1"/>
    <col min="6911" max="6911" width="16.375" style="955" customWidth="1"/>
    <col min="6912" max="6912" width="9.25390625" style="955" customWidth="1"/>
    <col min="6913" max="6913" width="8.25390625" style="955" bestFit="1" customWidth="1"/>
    <col min="6914" max="6914" width="8.375" style="955" customWidth="1"/>
    <col min="6915" max="6916" width="9.00390625" style="955" customWidth="1"/>
    <col min="6917" max="6917" width="8.125" style="955" customWidth="1"/>
    <col min="6918" max="6921" width="7.125" style="955" customWidth="1"/>
    <col min="6922" max="6922" width="8.625" style="955" customWidth="1"/>
    <col min="6923" max="6923" width="8.75390625" style="955" customWidth="1"/>
    <col min="6924" max="6924" width="7.00390625" style="955" customWidth="1"/>
    <col min="6925" max="6925" width="8.875" style="955" customWidth="1"/>
    <col min="6926" max="6926" width="7.625" style="955" customWidth="1"/>
    <col min="6927" max="6927" width="7.75390625" style="955" customWidth="1"/>
    <col min="6928" max="6928" width="8.125" style="955" customWidth="1"/>
    <col min="6929" max="6929" width="12.625" style="955" bestFit="1" customWidth="1"/>
    <col min="6930" max="6930" width="9.75390625" style="955" customWidth="1"/>
    <col min="6931" max="6931" width="9.125" style="955" customWidth="1"/>
    <col min="6932" max="6932" width="16.625" style="955" customWidth="1"/>
    <col min="6933" max="6933" width="10.625" style="955" customWidth="1"/>
    <col min="6934" max="6934" width="9.125" style="955" customWidth="1"/>
    <col min="6935" max="6936" width="10.00390625" style="955" bestFit="1" customWidth="1"/>
    <col min="6937" max="6937" width="9.125" style="955" customWidth="1"/>
    <col min="6938" max="6938" width="10.875" style="955" customWidth="1"/>
    <col min="6939" max="6939" width="8.875" style="955" customWidth="1"/>
    <col min="6940" max="6940" width="8.75390625" style="955" customWidth="1"/>
    <col min="6941" max="6942" width="9.625" style="955" customWidth="1"/>
    <col min="6943" max="6943" width="11.00390625" style="955" bestFit="1" customWidth="1"/>
    <col min="6944" max="6945" width="9.00390625" style="955" hidden="1" customWidth="1"/>
    <col min="6946" max="7166" width="9.125" style="955" customWidth="1"/>
    <col min="7167" max="7167" width="16.375" style="955" customWidth="1"/>
    <col min="7168" max="7168" width="9.25390625" style="955" customWidth="1"/>
    <col min="7169" max="7169" width="8.25390625" style="955" bestFit="1" customWidth="1"/>
    <col min="7170" max="7170" width="8.375" style="955" customWidth="1"/>
    <col min="7171" max="7172" width="9.00390625" style="955" customWidth="1"/>
    <col min="7173" max="7173" width="8.125" style="955" customWidth="1"/>
    <col min="7174" max="7177" width="7.125" style="955" customWidth="1"/>
    <col min="7178" max="7178" width="8.625" style="955" customWidth="1"/>
    <col min="7179" max="7179" width="8.75390625" style="955" customWidth="1"/>
    <col min="7180" max="7180" width="7.00390625" style="955" customWidth="1"/>
    <col min="7181" max="7181" width="8.875" style="955" customWidth="1"/>
    <col min="7182" max="7182" width="7.625" style="955" customWidth="1"/>
    <col min="7183" max="7183" width="7.75390625" style="955" customWidth="1"/>
    <col min="7184" max="7184" width="8.125" style="955" customWidth="1"/>
    <col min="7185" max="7185" width="12.625" style="955" bestFit="1" customWidth="1"/>
    <col min="7186" max="7186" width="9.75390625" style="955" customWidth="1"/>
    <col min="7187" max="7187" width="9.125" style="955" customWidth="1"/>
    <col min="7188" max="7188" width="16.625" style="955" customWidth="1"/>
    <col min="7189" max="7189" width="10.625" style="955" customWidth="1"/>
    <col min="7190" max="7190" width="9.125" style="955" customWidth="1"/>
    <col min="7191" max="7192" width="10.00390625" style="955" bestFit="1" customWidth="1"/>
    <col min="7193" max="7193" width="9.125" style="955" customWidth="1"/>
    <col min="7194" max="7194" width="10.875" style="955" customWidth="1"/>
    <col min="7195" max="7195" width="8.875" style="955" customWidth="1"/>
    <col min="7196" max="7196" width="8.75390625" style="955" customWidth="1"/>
    <col min="7197" max="7198" width="9.625" style="955" customWidth="1"/>
    <col min="7199" max="7199" width="11.00390625" style="955" bestFit="1" customWidth="1"/>
    <col min="7200" max="7201" width="9.00390625" style="955" hidden="1" customWidth="1"/>
    <col min="7202" max="7422" width="9.125" style="955" customWidth="1"/>
    <col min="7423" max="7423" width="16.375" style="955" customWidth="1"/>
    <col min="7424" max="7424" width="9.25390625" style="955" customWidth="1"/>
    <col min="7425" max="7425" width="8.25390625" style="955" bestFit="1" customWidth="1"/>
    <col min="7426" max="7426" width="8.375" style="955" customWidth="1"/>
    <col min="7427" max="7428" width="9.00390625" style="955" customWidth="1"/>
    <col min="7429" max="7429" width="8.125" style="955" customWidth="1"/>
    <col min="7430" max="7433" width="7.125" style="955" customWidth="1"/>
    <col min="7434" max="7434" width="8.625" style="955" customWidth="1"/>
    <col min="7435" max="7435" width="8.75390625" style="955" customWidth="1"/>
    <col min="7436" max="7436" width="7.00390625" style="955" customWidth="1"/>
    <col min="7437" max="7437" width="8.875" style="955" customWidth="1"/>
    <col min="7438" max="7438" width="7.625" style="955" customWidth="1"/>
    <col min="7439" max="7439" width="7.75390625" style="955" customWidth="1"/>
    <col min="7440" max="7440" width="8.125" style="955" customWidth="1"/>
    <col min="7441" max="7441" width="12.625" style="955" bestFit="1" customWidth="1"/>
    <col min="7442" max="7442" width="9.75390625" style="955" customWidth="1"/>
    <col min="7443" max="7443" width="9.125" style="955" customWidth="1"/>
    <col min="7444" max="7444" width="16.625" style="955" customWidth="1"/>
    <col min="7445" max="7445" width="10.625" style="955" customWidth="1"/>
    <col min="7446" max="7446" width="9.125" style="955" customWidth="1"/>
    <col min="7447" max="7448" width="10.00390625" style="955" bestFit="1" customWidth="1"/>
    <col min="7449" max="7449" width="9.125" style="955" customWidth="1"/>
    <col min="7450" max="7450" width="10.875" style="955" customWidth="1"/>
    <col min="7451" max="7451" width="8.875" style="955" customWidth="1"/>
    <col min="7452" max="7452" width="8.75390625" style="955" customWidth="1"/>
    <col min="7453" max="7454" width="9.625" style="955" customWidth="1"/>
    <col min="7455" max="7455" width="11.00390625" style="955" bestFit="1" customWidth="1"/>
    <col min="7456" max="7457" width="9.00390625" style="955" hidden="1" customWidth="1"/>
    <col min="7458" max="7678" width="9.125" style="955" customWidth="1"/>
    <col min="7679" max="7679" width="16.375" style="955" customWidth="1"/>
    <col min="7680" max="7680" width="9.25390625" style="955" customWidth="1"/>
    <col min="7681" max="7681" width="8.25390625" style="955" bestFit="1" customWidth="1"/>
    <col min="7682" max="7682" width="8.375" style="955" customWidth="1"/>
    <col min="7683" max="7684" width="9.00390625" style="955" customWidth="1"/>
    <col min="7685" max="7685" width="8.125" style="955" customWidth="1"/>
    <col min="7686" max="7689" width="7.125" style="955" customWidth="1"/>
    <col min="7690" max="7690" width="8.625" style="955" customWidth="1"/>
    <col min="7691" max="7691" width="8.75390625" style="955" customWidth="1"/>
    <col min="7692" max="7692" width="7.00390625" style="955" customWidth="1"/>
    <col min="7693" max="7693" width="8.875" style="955" customWidth="1"/>
    <col min="7694" max="7694" width="7.625" style="955" customWidth="1"/>
    <col min="7695" max="7695" width="7.75390625" style="955" customWidth="1"/>
    <col min="7696" max="7696" width="8.125" style="955" customWidth="1"/>
    <col min="7697" max="7697" width="12.625" style="955" bestFit="1" customWidth="1"/>
    <col min="7698" max="7698" width="9.75390625" style="955" customWidth="1"/>
    <col min="7699" max="7699" width="9.125" style="955" customWidth="1"/>
    <col min="7700" max="7700" width="16.625" style="955" customWidth="1"/>
    <col min="7701" max="7701" width="10.625" style="955" customWidth="1"/>
    <col min="7702" max="7702" width="9.125" style="955" customWidth="1"/>
    <col min="7703" max="7704" width="10.00390625" style="955" bestFit="1" customWidth="1"/>
    <col min="7705" max="7705" width="9.125" style="955" customWidth="1"/>
    <col min="7706" max="7706" width="10.875" style="955" customWidth="1"/>
    <col min="7707" max="7707" width="8.875" style="955" customWidth="1"/>
    <col min="7708" max="7708" width="8.75390625" style="955" customWidth="1"/>
    <col min="7709" max="7710" width="9.625" style="955" customWidth="1"/>
    <col min="7711" max="7711" width="11.00390625" style="955" bestFit="1" customWidth="1"/>
    <col min="7712" max="7713" width="9.00390625" style="955" hidden="1" customWidth="1"/>
    <col min="7714" max="7934" width="9.125" style="955" customWidth="1"/>
    <col min="7935" max="7935" width="16.375" style="955" customWidth="1"/>
    <col min="7936" max="7936" width="9.25390625" style="955" customWidth="1"/>
    <col min="7937" max="7937" width="8.25390625" style="955" bestFit="1" customWidth="1"/>
    <col min="7938" max="7938" width="8.375" style="955" customWidth="1"/>
    <col min="7939" max="7940" width="9.00390625" style="955" customWidth="1"/>
    <col min="7941" max="7941" width="8.125" style="955" customWidth="1"/>
    <col min="7942" max="7945" width="7.125" style="955" customWidth="1"/>
    <col min="7946" max="7946" width="8.625" style="955" customWidth="1"/>
    <col min="7947" max="7947" width="8.75390625" style="955" customWidth="1"/>
    <col min="7948" max="7948" width="7.00390625" style="955" customWidth="1"/>
    <col min="7949" max="7949" width="8.875" style="955" customWidth="1"/>
    <col min="7950" max="7950" width="7.625" style="955" customWidth="1"/>
    <col min="7951" max="7951" width="7.75390625" style="955" customWidth="1"/>
    <col min="7952" max="7952" width="8.125" style="955" customWidth="1"/>
    <col min="7953" max="7953" width="12.625" style="955" bestFit="1" customWidth="1"/>
    <col min="7954" max="7954" width="9.75390625" style="955" customWidth="1"/>
    <col min="7955" max="7955" width="9.125" style="955" customWidth="1"/>
    <col min="7956" max="7956" width="16.625" style="955" customWidth="1"/>
    <col min="7957" max="7957" width="10.625" style="955" customWidth="1"/>
    <col min="7958" max="7958" width="9.125" style="955" customWidth="1"/>
    <col min="7959" max="7960" width="10.00390625" style="955" bestFit="1" customWidth="1"/>
    <col min="7961" max="7961" width="9.125" style="955" customWidth="1"/>
    <col min="7962" max="7962" width="10.875" style="955" customWidth="1"/>
    <col min="7963" max="7963" width="8.875" style="955" customWidth="1"/>
    <col min="7964" max="7964" width="8.75390625" style="955" customWidth="1"/>
    <col min="7965" max="7966" width="9.625" style="955" customWidth="1"/>
    <col min="7967" max="7967" width="11.00390625" style="955" bestFit="1" customWidth="1"/>
    <col min="7968" max="7969" width="9.00390625" style="955" hidden="1" customWidth="1"/>
    <col min="7970" max="8190" width="9.125" style="955" customWidth="1"/>
    <col min="8191" max="8191" width="16.375" style="955" customWidth="1"/>
    <col min="8192" max="8192" width="9.25390625" style="955" customWidth="1"/>
    <col min="8193" max="8193" width="8.25390625" style="955" bestFit="1" customWidth="1"/>
    <col min="8194" max="8194" width="8.375" style="955" customWidth="1"/>
    <col min="8195" max="8196" width="9.00390625" style="955" customWidth="1"/>
    <col min="8197" max="8197" width="8.125" style="955" customWidth="1"/>
    <col min="8198" max="8201" width="7.125" style="955" customWidth="1"/>
    <col min="8202" max="8202" width="8.625" style="955" customWidth="1"/>
    <col min="8203" max="8203" width="8.75390625" style="955" customWidth="1"/>
    <col min="8204" max="8204" width="7.00390625" style="955" customWidth="1"/>
    <col min="8205" max="8205" width="8.875" style="955" customWidth="1"/>
    <col min="8206" max="8206" width="7.625" style="955" customWidth="1"/>
    <col min="8207" max="8207" width="7.75390625" style="955" customWidth="1"/>
    <col min="8208" max="8208" width="8.125" style="955" customWidth="1"/>
    <col min="8209" max="8209" width="12.625" style="955" bestFit="1" customWidth="1"/>
    <col min="8210" max="8210" width="9.75390625" style="955" customWidth="1"/>
    <col min="8211" max="8211" width="9.125" style="955" customWidth="1"/>
    <col min="8212" max="8212" width="16.625" style="955" customWidth="1"/>
    <col min="8213" max="8213" width="10.625" style="955" customWidth="1"/>
    <col min="8214" max="8214" width="9.125" style="955" customWidth="1"/>
    <col min="8215" max="8216" width="10.00390625" style="955" bestFit="1" customWidth="1"/>
    <col min="8217" max="8217" width="9.125" style="955" customWidth="1"/>
    <col min="8218" max="8218" width="10.875" style="955" customWidth="1"/>
    <col min="8219" max="8219" width="8.875" style="955" customWidth="1"/>
    <col min="8220" max="8220" width="8.75390625" style="955" customWidth="1"/>
    <col min="8221" max="8222" width="9.625" style="955" customWidth="1"/>
    <col min="8223" max="8223" width="11.00390625" style="955" bestFit="1" customWidth="1"/>
    <col min="8224" max="8225" width="9.00390625" style="955" hidden="1" customWidth="1"/>
    <col min="8226" max="8446" width="9.125" style="955" customWidth="1"/>
    <col min="8447" max="8447" width="16.375" style="955" customWidth="1"/>
    <col min="8448" max="8448" width="9.25390625" style="955" customWidth="1"/>
    <col min="8449" max="8449" width="8.25390625" style="955" bestFit="1" customWidth="1"/>
    <col min="8450" max="8450" width="8.375" style="955" customWidth="1"/>
    <col min="8451" max="8452" width="9.00390625" style="955" customWidth="1"/>
    <col min="8453" max="8453" width="8.125" style="955" customWidth="1"/>
    <col min="8454" max="8457" width="7.125" style="955" customWidth="1"/>
    <col min="8458" max="8458" width="8.625" style="955" customWidth="1"/>
    <col min="8459" max="8459" width="8.75390625" style="955" customWidth="1"/>
    <col min="8460" max="8460" width="7.00390625" style="955" customWidth="1"/>
    <col min="8461" max="8461" width="8.875" style="955" customWidth="1"/>
    <col min="8462" max="8462" width="7.625" style="955" customWidth="1"/>
    <col min="8463" max="8463" width="7.75390625" style="955" customWidth="1"/>
    <col min="8464" max="8464" width="8.125" style="955" customWidth="1"/>
    <col min="8465" max="8465" width="12.625" style="955" bestFit="1" customWidth="1"/>
    <col min="8466" max="8466" width="9.75390625" style="955" customWidth="1"/>
    <col min="8467" max="8467" width="9.125" style="955" customWidth="1"/>
    <col min="8468" max="8468" width="16.625" style="955" customWidth="1"/>
    <col min="8469" max="8469" width="10.625" style="955" customWidth="1"/>
    <col min="8470" max="8470" width="9.125" style="955" customWidth="1"/>
    <col min="8471" max="8472" width="10.00390625" style="955" bestFit="1" customWidth="1"/>
    <col min="8473" max="8473" width="9.125" style="955" customWidth="1"/>
    <col min="8474" max="8474" width="10.875" style="955" customWidth="1"/>
    <col min="8475" max="8475" width="8.875" style="955" customWidth="1"/>
    <col min="8476" max="8476" width="8.75390625" style="955" customWidth="1"/>
    <col min="8477" max="8478" width="9.625" style="955" customWidth="1"/>
    <col min="8479" max="8479" width="11.00390625" style="955" bestFit="1" customWidth="1"/>
    <col min="8480" max="8481" width="9.00390625" style="955" hidden="1" customWidth="1"/>
    <col min="8482" max="8702" width="9.125" style="955" customWidth="1"/>
    <col min="8703" max="8703" width="16.375" style="955" customWidth="1"/>
    <col min="8704" max="8704" width="9.25390625" style="955" customWidth="1"/>
    <col min="8705" max="8705" width="8.25390625" style="955" bestFit="1" customWidth="1"/>
    <col min="8706" max="8706" width="8.375" style="955" customWidth="1"/>
    <col min="8707" max="8708" width="9.00390625" style="955" customWidth="1"/>
    <col min="8709" max="8709" width="8.125" style="955" customWidth="1"/>
    <col min="8710" max="8713" width="7.125" style="955" customWidth="1"/>
    <col min="8714" max="8714" width="8.625" style="955" customWidth="1"/>
    <col min="8715" max="8715" width="8.75390625" style="955" customWidth="1"/>
    <col min="8716" max="8716" width="7.00390625" style="955" customWidth="1"/>
    <col min="8717" max="8717" width="8.875" style="955" customWidth="1"/>
    <col min="8718" max="8718" width="7.625" style="955" customWidth="1"/>
    <col min="8719" max="8719" width="7.75390625" style="955" customWidth="1"/>
    <col min="8720" max="8720" width="8.125" style="955" customWidth="1"/>
    <col min="8721" max="8721" width="12.625" style="955" bestFit="1" customWidth="1"/>
    <col min="8722" max="8722" width="9.75390625" style="955" customWidth="1"/>
    <col min="8723" max="8723" width="9.125" style="955" customWidth="1"/>
    <col min="8724" max="8724" width="16.625" style="955" customWidth="1"/>
    <col min="8725" max="8725" width="10.625" style="955" customWidth="1"/>
    <col min="8726" max="8726" width="9.125" style="955" customWidth="1"/>
    <col min="8727" max="8728" width="10.00390625" style="955" bestFit="1" customWidth="1"/>
    <col min="8729" max="8729" width="9.125" style="955" customWidth="1"/>
    <col min="8730" max="8730" width="10.875" style="955" customWidth="1"/>
    <col min="8731" max="8731" width="8.875" style="955" customWidth="1"/>
    <col min="8732" max="8732" width="8.75390625" style="955" customWidth="1"/>
    <col min="8733" max="8734" width="9.625" style="955" customWidth="1"/>
    <col min="8735" max="8735" width="11.00390625" style="955" bestFit="1" customWidth="1"/>
    <col min="8736" max="8737" width="9.00390625" style="955" hidden="1" customWidth="1"/>
    <col min="8738" max="8958" width="9.125" style="955" customWidth="1"/>
    <col min="8959" max="8959" width="16.375" style="955" customWidth="1"/>
    <col min="8960" max="8960" width="9.25390625" style="955" customWidth="1"/>
    <col min="8961" max="8961" width="8.25390625" style="955" bestFit="1" customWidth="1"/>
    <col min="8962" max="8962" width="8.375" style="955" customWidth="1"/>
    <col min="8963" max="8964" width="9.00390625" style="955" customWidth="1"/>
    <col min="8965" max="8965" width="8.125" style="955" customWidth="1"/>
    <col min="8966" max="8969" width="7.125" style="955" customWidth="1"/>
    <col min="8970" max="8970" width="8.625" style="955" customWidth="1"/>
    <col min="8971" max="8971" width="8.75390625" style="955" customWidth="1"/>
    <col min="8972" max="8972" width="7.00390625" style="955" customWidth="1"/>
    <col min="8973" max="8973" width="8.875" style="955" customWidth="1"/>
    <col min="8974" max="8974" width="7.625" style="955" customWidth="1"/>
    <col min="8975" max="8975" width="7.75390625" style="955" customWidth="1"/>
    <col min="8976" max="8976" width="8.125" style="955" customWidth="1"/>
    <col min="8977" max="8977" width="12.625" style="955" bestFit="1" customWidth="1"/>
    <col min="8978" max="8978" width="9.75390625" style="955" customWidth="1"/>
    <col min="8979" max="8979" width="9.125" style="955" customWidth="1"/>
    <col min="8980" max="8980" width="16.625" style="955" customWidth="1"/>
    <col min="8981" max="8981" width="10.625" style="955" customWidth="1"/>
    <col min="8982" max="8982" width="9.125" style="955" customWidth="1"/>
    <col min="8983" max="8984" width="10.00390625" style="955" bestFit="1" customWidth="1"/>
    <col min="8985" max="8985" width="9.125" style="955" customWidth="1"/>
    <col min="8986" max="8986" width="10.875" style="955" customWidth="1"/>
    <col min="8987" max="8987" width="8.875" style="955" customWidth="1"/>
    <col min="8988" max="8988" width="8.75390625" style="955" customWidth="1"/>
    <col min="8989" max="8990" width="9.625" style="955" customWidth="1"/>
    <col min="8991" max="8991" width="11.00390625" style="955" bestFit="1" customWidth="1"/>
    <col min="8992" max="8993" width="9.00390625" style="955" hidden="1" customWidth="1"/>
    <col min="8994" max="9214" width="9.125" style="955" customWidth="1"/>
    <col min="9215" max="9215" width="16.375" style="955" customWidth="1"/>
    <col min="9216" max="9216" width="9.25390625" style="955" customWidth="1"/>
    <col min="9217" max="9217" width="8.25390625" style="955" bestFit="1" customWidth="1"/>
    <col min="9218" max="9218" width="8.375" style="955" customWidth="1"/>
    <col min="9219" max="9220" width="9.00390625" style="955" customWidth="1"/>
    <col min="9221" max="9221" width="8.125" style="955" customWidth="1"/>
    <col min="9222" max="9225" width="7.125" style="955" customWidth="1"/>
    <col min="9226" max="9226" width="8.625" style="955" customWidth="1"/>
    <col min="9227" max="9227" width="8.75390625" style="955" customWidth="1"/>
    <col min="9228" max="9228" width="7.00390625" style="955" customWidth="1"/>
    <col min="9229" max="9229" width="8.875" style="955" customWidth="1"/>
    <col min="9230" max="9230" width="7.625" style="955" customWidth="1"/>
    <col min="9231" max="9231" width="7.75390625" style="955" customWidth="1"/>
    <col min="9232" max="9232" width="8.125" style="955" customWidth="1"/>
    <col min="9233" max="9233" width="12.625" style="955" bestFit="1" customWidth="1"/>
    <col min="9234" max="9234" width="9.75390625" style="955" customWidth="1"/>
    <col min="9235" max="9235" width="9.125" style="955" customWidth="1"/>
    <col min="9236" max="9236" width="16.625" style="955" customWidth="1"/>
    <col min="9237" max="9237" width="10.625" style="955" customWidth="1"/>
    <col min="9238" max="9238" width="9.125" style="955" customWidth="1"/>
    <col min="9239" max="9240" width="10.00390625" style="955" bestFit="1" customWidth="1"/>
    <col min="9241" max="9241" width="9.125" style="955" customWidth="1"/>
    <col min="9242" max="9242" width="10.875" style="955" customWidth="1"/>
    <col min="9243" max="9243" width="8.875" style="955" customWidth="1"/>
    <col min="9244" max="9244" width="8.75390625" style="955" customWidth="1"/>
    <col min="9245" max="9246" width="9.625" style="955" customWidth="1"/>
    <col min="9247" max="9247" width="11.00390625" style="955" bestFit="1" customWidth="1"/>
    <col min="9248" max="9249" width="9.00390625" style="955" hidden="1" customWidth="1"/>
    <col min="9250" max="9470" width="9.125" style="955" customWidth="1"/>
    <col min="9471" max="9471" width="16.375" style="955" customWidth="1"/>
    <col min="9472" max="9472" width="9.25390625" style="955" customWidth="1"/>
    <col min="9473" max="9473" width="8.25390625" style="955" bestFit="1" customWidth="1"/>
    <col min="9474" max="9474" width="8.375" style="955" customWidth="1"/>
    <col min="9475" max="9476" width="9.00390625" style="955" customWidth="1"/>
    <col min="9477" max="9477" width="8.125" style="955" customWidth="1"/>
    <col min="9478" max="9481" width="7.125" style="955" customWidth="1"/>
    <col min="9482" max="9482" width="8.625" style="955" customWidth="1"/>
    <col min="9483" max="9483" width="8.75390625" style="955" customWidth="1"/>
    <col min="9484" max="9484" width="7.00390625" style="955" customWidth="1"/>
    <col min="9485" max="9485" width="8.875" style="955" customWidth="1"/>
    <col min="9486" max="9486" width="7.625" style="955" customWidth="1"/>
    <col min="9487" max="9487" width="7.75390625" style="955" customWidth="1"/>
    <col min="9488" max="9488" width="8.125" style="955" customWidth="1"/>
    <col min="9489" max="9489" width="12.625" style="955" bestFit="1" customWidth="1"/>
    <col min="9490" max="9490" width="9.75390625" style="955" customWidth="1"/>
    <col min="9491" max="9491" width="9.125" style="955" customWidth="1"/>
    <col min="9492" max="9492" width="16.625" style="955" customWidth="1"/>
    <col min="9493" max="9493" width="10.625" style="955" customWidth="1"/>
    <col min="9494" max="9494" width="9.125" style="955" customWidth="1"/>
    <col min="9495" max="9496" width="10.00390625" style="955" bestFit="1" customWidth="1"/>
    <col min="9497" max="9497" width="9.125" style="955" customWidth="1"/>
    <col min="9498" max="9498" width="10.875" style="955" customWidth="1"/>
    <col min="9499" max="9499" width="8.875" style="955" customWidth="1"/>
    <col min="9500" max="9500" width="8.75390625" style="955" customWidth="1"/>
    <col min="9501" max="9502" width="9.625" style="955" customWidth="1"/>
    <col min="9503" max="9503" width="11.00390625" style="955" bestFit="1" customWidth="1"/>
    <col min="9504" max="9505" width="9.00390625" style="955" hidden="1" customWidth="1"/>
    <col min="9506" max="9726" width="9.125" style="955" customWidth="1"/>
    <col min="9727" max="9727" width="16.375" style="955" customWidth="1"/>
    <col min="9728" max="9728" width="9.25390625" style="955" customWidth="1"/>
    <col min="9729" max="9729" width="8.25390625" style="955" bestFit="1" customWidth="1"/>
    <col min="9730" max="9730" width="8.375" style="955" customWidth="1"/>
    <col min="9731" max="9732" width="9.00390625" style="955" customWidth="1"/>
    <col min="9733" max="9733" width="8.125" style="955" customWidth="1"/>
    <col min="9734" max="9737" width="7.125" style="955" customWidth="1"/>
    <col min="9738" max="9738" width="8.625" style="955" customWidth="1"/>
    <col min="9739" max="9739" width="8.75390625" style="955" customWidth="1"/>
    <col min="9740" max="9740" width="7.00390625" style="955" customWidth="1"/>
    <col min="9741" max="9741" width="8.875" style="955" customWidth="1"/>
    <col min="9742" max="9742" width="7.625" style="955" customWidth="1"/>
    <col min="9743" max="9743" width="7.75390625" style="955" customWidth="1"/>
    <col min="9744" max="9744" width="8.125" style="955" customWidth="1"/>
    <col min="9745" max="9745" width="12.625" style="955" bestFit="1" customWidth="1"/>
    <col min="9746" max="9746" width="9.75390625" style="955" customWidth="1"/>
    <col min="9747" max="9747" width="9.125" style="955" customWidth="1"/>
    <col min="9748" max="9748" width="16.625" style="955" customWidth="1"/>
    <col min="9749" max="9749" width="10.625" style="955" customWidth="1"/>
    <col min="9750" max="9750" width="9.125" style="955" customWidth="1"/>
    <col min="9751" max="9752" width="10.00390625" style="955" bestFit="1" customWidth="1"/>
    <col min="9753" max="9753" width="9.125" style="955" customWidth="1"/>
    <col min="9754" max="9754" width="10.875" style="955" customWidth="1"/>
    <col min="9755" max="9755" width="8.875" style="955" customWidth="1"/>
    <col min="9756" max="9756" width="8.75390625" style="955" customWidth="1"/>
    <col min="9757" max="9758" width="9.625" style="955" customWidth="1"/>
    <col min="9759" max="9759" width="11.00390625" style="955" bestFit="1" customWidth="1"/>
    <col min="9760" max="9761" width="9.00390625" style="955" hidden="1" customWidth="1"/>
    <col min="9762" max="9982" width="9.125" style="955" customWidth="1"/>
    <col min="9983" max="9983" width="16.375" style="955" customWidth="1"/>
    <col min="9984" max="9984" width="9.25390625" style="955" customWidth="1"/>
    <col min="9985" max="9985" width="8.25390625" style="955" bestFit="1" customWidth="1"/>
    <col min="9986" max="9986" width="8.375" style="955" customWidth="1"/>
    <col min="9987" max="9988" width="9.00390625" style="955" customWidth="1"/>
    <col min="9989" max="9989" width="8.125" style="955" customWidth="1"/>
    <col min="9990" max="9993" width="7.125" style="955" customWidth="1"/>
    <col min="9994" max="9994" width="8.625" style="955" customWidth="1"/>
    <col min="9995" max="9995" width="8.75390625" style="955" customWidth="1"/>
    <col min="9996" max="9996" width="7.00390625" style="955" customWidth="1"/>
    <col min="9997" max="9997" width="8.875" style="955" customWidth="1"/>
    <col min="9998" max="9998" width="7.625" style="955" customWidth="1"/>
    <col min="9999" max="9999" width="7.75390625" style="955" customWidth="1"/>
    <col min="10000" max="10000" width="8.125" style="955" customWidth="1"/>
    <col min="10001" max="10001" width="12.625" style="955" bestFit="1" customWidth="1"/>
    <col min="10002" max="10002" width="9.75390625" style="955" customWidth="1"/>
    <col min="10003" max="10003" width="9.125" style="955" customWidth="1"/>
    <col min="10004" max="10004" width="16.625" style="955" customWidth="1"/>
    <col min="10005" max="10005" width="10.625" style="955" customWidth="1"/>
    <col min="10006" max="10006" width="9.125" style="955" customWidth="1"/>
    <col min="10007" max="10008" width="10.00390625" style="955" bestFit="1" customWidth="1"/>
    <col min="10009" max="10009" width="9.125" style="955" customWidth="1"/>
    <col min="10010" max="10010" width="10.875" style="955" customWidth="1"/>
    <col min="10011" max="10011" width="8.875" style="955" customWidth="1"/>
    <col min="10012" max="10012" width="8.75390625" style="955" customWidth="1"/>
    <col min="10013" max="10014" width="9.625" style="955" customWidth="1"/>
    <col min="10015" max="10015" width="11.00390625" style="955" bestFit="1" customWidth="1"/>
    <col min="10016" max="10017" width="9.00390625" style="955" hidden="1" customWidth="1"/>
    <col min="10018" max="10238" width="9.125" style="955" customWidth="1"/>
    <col min="10239" max="10239" width="16.375" style="955" customWidth="1"/>
    <col min="10240" max="10240" width="9.25390625" style="955" customWidth="1"/>
    <col min="10241" max="10241" width="8.25390625" style="955" bestFit="1" customWidth="1"/>
    <col min="10242" max="10242" width="8.375" style="955" customWidth="1"/>
    <col min="10243" max="10244" width="9.00390625" style="955" customWidth="1"/>
    <col min="10245" max="10245" width="8.125" style="955" customWidth="1"/>
    <col min="10246" max="10249" width="7.125" style="955" customWidth="1"/>
    <col min="10250" max="10250" width="8.625" style="955" customWidth="1"/>
    <col min="10251" max="10251" width="8.75390625" style="955" customWidth="1"/>
    <col min="10252" max="10252" width="7.00390625" style="955" customWidth="1"/>
    <col min="10253" max="10253" width="8.875" style="955" customWidth="1"/>
    <col min="10254" max="10254" width="7.625" style="955" customWidth="1"/>
    <col min="10255" max="10255" width="7.75390625" style="955" customWidth="1"/>
    <col min="10256" max="10256" width="8.125" style="955" customWidth="1"/>
    <col min="10257" max="10257" width="12.625" style="955" bestFit="1" customWidth="1"/>
    <col min="10258" max="10258" width="9.75390625" style="955" customWidth="1"/>
    <col min="10259" max="10259" width="9.125" style="955" customWidth="1"/>
    <col min="10260" max="10260" width="16.625" style="955" customWidth="1"/>
    <col min="10261" max="10261" width="10.625" style="955" customWidth="1"/>
    <col min="10262" max="10262" width="9.125" style="955" customWidth="1"/>
    <col min="10263" max="10264" width="10.00390625" style="955" bestFit="1" customWidth="1"/>
    <col min="10265" max="10265" width="9.125" style="955" customWidth="1"/>
    <col min="10266" max="10266" width="10.875" style="955" customWidth="1"/>
    <col min="10267" max="10267" width="8.875" style="955" customWidth="1"/>
    <col min="10268" max="10268" width="8.75390625" style="955" customWidth="1"/>
    <col min="10269" max="10270" width="9.625" style="955" customWidth="1"/>
    <col min="10271" max="10271" width="11.00390625" style="955" bestFit="1" customWidth="1"/>
    <col min="10272" max="10273" width="9.00390625" style="955" hidden="1" customWidth="1"/>
    <col min="10274" max="10494" width="9.125" style="955" customWidth="1"/>
    <col min="10495" max="10495" width="16.375" style="955" customWidth="1"/>
    <col min="10496" max="10496" width="9.25390625" style="955" customWidth="1"/>
    <col min="10497" max="10497" width="8.25390625" style="955" bestFit="1" customWidth="1"/>
    <col min="10498" max="10498" width="8.375" style="955" customWidth="1"/>
    <col min="10499" max="10500" width="9.00390625" style="955" customWidth="1"/>
    <col min="10501" max="10501" width="8.125" style="955" customWidth="1"/>
    <col min="10502" max="10505" width="7.125" style="955" customWidth="1"/>
    <col min="10506" max="10506" width="8.625" style="955" customWidth="1"/>
    <col min="10507" max="10507" width="8.75390625" style="955" customWidth="1"/>
    <col min="10508" max="10508" width="7.00390625" style="955" customWidth="1"/>
    <col min="10509" max="10509" width="8.875" style="955" customWidth="1"/>
    <col min="10510" max="10510" width="7.625" style="955" customWidth="1"/>
    <col min="10511" max="10511" width="7.75390625" style="955" customWidth="1"/>
    <col min="10512" max="10512" width="8.125" style="955" customWidth="1"/>
    <col min="10513" max="10513" width="12.625" style="955" bestFit="1" customWidth="1"/>
    <col min="10514" max="10514" width="9.75390625" style="955" customWidth="1"/>
    <col min="10515" max="10515" width="9.125" style="955" customWidth="1"/>
    <col min="10516" max="10516" width="16.625" style="955" customWidth="1"/>
    <col min="10517" max="10517" width="10.625" style="955" customWidth="1"/>
    <col min="10518" max="10518" width="9.125" style="955" customWidth="1"/>
    <col min="10519" max="10520" width="10.00390625" style="955" bestFit="1" customWidth="1"/>
    <col min="10521" max="10521" width="9.125" style="955" customWidth="1"/>
    <col min="10522" max="10522" width="10.875" style="955" customWidth="1"/>
    <col min="10523" max="10523" width="8.875" style="955" customWidth="1"/>
    <col min="10524" max="10524" width="8.75390625" style="955" customWidth="1"/>
    <col min="10525" max="10526" width="9.625" style="955" customWidth="1"/>
    <col min="10527" max="10527" width="11.00390625" style="955" bestFit="1" customWidth="1"/>
    <col min="10528" max="10529" width="9.00390625" style="955" hidden="1" customWidth="1"/>
    <col min="10530" max="10750" width="9.125" style="955" customWidth="1"/>
    <col min="10751" max="10751" width="16.375" style="955" customWidth="1"/>
    <col min="10752" max="10752" width="9.25390625" style="955" customWidth="1"/>
    <col min="10753" max="10753" width="8.25390625" style="955" bestFit="1" customWidth="1"/>
    <col min="10754" max="10754" width="8.375" style="955" customWidth="1"/>
    <col min="10755" max="10756" width="9.00390625" style="955" customWidth="1"/>
    <col min="10757" max="10757" width="8.125" style="955" customWidth="1"/>
    <col min="10758" max="10761" width="7.125" style="955" customWidth="1"/>
    <col min="10762" max="10762" width="8.625" style="955" customWidth="1"/>
    <col min="10763" max="10763" width="8.75390625" style="955" customWidth="1"/>
    <col min="10764" max="10764" width="7.00390625" style="955" customWidth="1"/>
    <col min="10765" max="10765" width="8.875" style="955" customWidth="1"/>
    <col min="10766" max="10766" width="7.625" style="955" customWidth="1"/>
    <col min="10767" max="10767" width="7.75390625" style="955" customWidth="1"/>
    <col min="10768" max="10768" width="8.125" style="955" customWidth="1"/>
    <col min="10769" max="10769" width="12.625" style="955" bestFit="1" customWidth="1"/>
    <col min="10770" max="10770" width="9.75390625" style="955" customWidth="1"/>
    <col min="10771" max="10771" width="9.125" style="955" customWidth="1"/>
    <col min="10772" max="10772" width="16.625" style="955" customWidth="1"/>
    <col min="10773" max="10773" width="10.625" style="955" customWidth="1"/>
    <col min="10774" max="10774" width="9.125" style="955" customWidth="1"/>
    <col min="10775" max="10776" width="10.00390625" style="955" bestFit="1" customWidth="1"/>
    <col min="10777" max="10777" width="9.125" style="955" customWidth="1"/>
    <col min="10778" max="10778" width="10.875" style="955" customWidth="1"/>
    <col min="10779" max="10779" width="8.875" style="955" customWidth="1"/>
    <col min="10780" max="10780" width="8.75390625" style="955" customWidth="1"/>
    <col min="10781" max="10782" width="9.625" style="955" customWidth="1"/>
    <col min="10783" max="10783" width="11.00390625" style="955" bestFit="1" customWidth="1"/>
    <col min="10784" max="10785" width="9.00390625" style="955" hidden="1" customWidth="1"/>
    <col min="10786" max="11006" width="9.125" style="955" customWidth="1"/>
    <col min="11007" max="11007" width="16.375" style="955" customWidth="1"/>
    <col min="11008" max="11008" width="9.25390625" style="955" customWidth="1"/>
    <col min="11009" max="11009" width="8.25390625" style="955" bestFit="1" customWidth="1"/>
    <col min="11010" max="11010" width="8.375" style="955" customWidth="1"/>
    <col min="11011" max="11012" width="9.00390625" style="955" customWidth="1"/>
    <col min="11013" max="11013" width="8.125" style="955" customWidth="1"/>
    <col min="11014" max="11017" width="7.125" style="955" customWidth="1"/>
    <col min="11018" max="11018" width="8.625" style="955" customWidth="1"/>
    <col min="11019" max="11019" width="8.75390625" style="955" customWidth="1"/>
    <col min="11020" max="11020" width="7.00390625" style="955" customWidth="1"/>
    <col min="11021" max="11021" width="8.875" style="955" customWidth="1"/>
    <col min="11022" max="11022" width="7.625" style="955" customWidth="1"/>
    <col min="11023" max="11023" width="7.75390625" style="955" customWidth="1"/>
    <col min="11024" max="11024" width="8.125" style="955" customWidth="1"/>
    <col min="11025" max="11025" width="12.625" style="955" bestFit="1" customWidth="1"/>
    <col min="11026" max="11026" width="9.75390625" style="955" customWidth="1"/>
    <col min="11027" max="11027" width="9.125" style="955" customWidth="1"/>
    <col min="11028" max="11028" width="16.625" style="955" customWidth="1"/>
    <col min="11029" max="11029" width="10.625" style="955" customWidth="1"/>
    <col min="11030" max="11030" width="9.125" style="955" customWidth="1"/>
    <col min="11031" max="11032" width="10.00390625" style="955" bestFit="1" customWidth="1"/>
    <col min="11033" max="11033" width="9.125" style="955" customWidth="1"/>
    <col min="11034" max="11034" width="10.875" style="955" customWidth="1"/>
    <col min="11035" max="11035" width="8.875" style="955" customWidth="1"/>
    <col min="11036" max="11036" width="8.75390625" style="955" customWidth="1"/>
    <col min="11037" max="11038" width="9.625" style="955" customWidth="1"/>
    <col min="11039" max="11039" width="11.00390625" style="955" bestFit="1" customWidth="1"/>
    <col min="11040" max="11041" width="9.00390625" style="955" hidden="1" customWidth="1"/>
    <col min="11042" max="11262" width="9.125" style="955" customWidth="1"/>
    <col min="11263" max="11263" width="16.375" style="955" customWidth="1"/>
    <col min="11264" max="11264" width="9.25390625" style="955" customWidth="1"/>
    <col min="11265" max="11265" width="8.25390625" style="955" bestFit="1" customWidth="1"/>
    <col min="11266" max="11266" width="8.375" style="955" customWidth="1"/>
    <col min="11267" max="11268" width="9.00390625" style="955" customWidth="1"/>
    <col min="11269" max="11269" width="8.125" style="955" customWidth="1"/>
    <col min="11270" max="11273" width="7.125" style="955" customWidth="1"/>
    <col min="11274" max="11274" width="8.625" style="955" customWidth="1"/>
    <col min="11275" max="11275" width="8.75390625" style="955" customWidth="1"/>
    <col min="11276" max="11276" width="7.00390625" style="955" customWidth="1"/>
    <col min="11277" max="11277" width="8.875" style="955" customWidth="1"/>
    <col min="11278" max="11278" width="7.625" style="955" customWidth="1"/>
    <col min="11279" max="11279" width="7.75390625" style="955" customWidth="1"/>
    <col min="11280" max="11280" width="8.125" style="955" customWidth="1"/>
    <col min="11281" max="11281" width="12.625" style="955" bestFit="1" customWidth="1"/>
    <col min="11282" max="11282" width="9.75390625" style="955" customWidth="1"/>
    <col min="11283" max="11283" width="9.125" style="955" customWidth="1"/>
    <col min="11284" max="11284" width="16.625" style="955" customWidth="1"/>
    <col min="11285" max="11285" width="10.625" style="955" customWidth="1"/>
    <col min="11286" max="11286" width="9.125" style="955" customWidth="1"/>
    <col min="11287" max="11288" width="10.00390625" style="955" bestFit="1" customWidth="1"/>
    <col min="11289" max="11289" width="9.125" style="955" customWidth="1"/>
    <col min="11290" max="11290" width="10.875" style="955" customWidth="1"/>
    <col min="11291" max="11291" width="8.875" style="955" customWidth="1"/>
    <col min="11292" max="11292" width="8.75390625" style="955" customWidth="1"/>
    <col min="11293" max="11294" width="9.625" style="955" customWidth="1"/>
    <col min="11295" max="11295" width="11.00390625" style="955" bestFit="1" customWidth="1"/>
    <col min="11296" max="11297" width="9.00390625" style="955" hidden="1" customWidth="1"/>
    <col min="11298" max="11518" width="9.125" style="955" customWidth="1"/>
    <col min="11519" max="11519" width="16.375" style="955" customWidth="1"/>
    <col min="11520" max="11520" width="9.25390625" style="955" customWidth="1"/>
    <col min="11521" max="11521" width="8.25390625" style="955" bestFit="1" customWidth="1"/>
    <col min="11522" max="11522" width="8.375" style="955" customWidth="1"/>
    <col min="11523" max="11524" width="9.00390625" style="955" customWidth="1"/>
    <col min="11525" max="11525" width="8.125" style="955" customWidth="1"/>
    <col min="11526" max="11529" width="7.125" style="955" customWidth="1"/>
    <col min="11530" max="11530" width="8.625" style="955" customWidth="1"/>
    <col min="11531" max="11531" width="8.75390625" style="955" customWidth="1"/>
    <col min="11532" max="11532" width="7.00390625" style="955" customWidth="1"/>
    <col min="11533" max="11533" width="8.875" style="955" customWidth="1"/>
    <col min="11534" max="11534" width="7.625" style="955" customWidth="1"/>
    <col min="11535" max="11535" width="7.75390625" style="955" customWidth="1"/>
    <col min="11536" max="11536" width="8.125" style="955" customWidth="1"/>
    <col min="11537" max="11537" width="12.625" style="955" bestFit="1" customWidth="1"/>
    <col min="11538" max="11538" width="9.75390625" style="955" customWidth="1"/>
    <col min="11539" max="11539" width="9.125" style="955" customWidth="1"/>
    <col min="11540" max="11540" width="16.625" style="955" customWidth="1"/>
    <col min="11541" max="11541" width="10.625" style="955" customWidth="1"/>
    <col min="11542" max="11542" width="9.125" style="955" customWidth="1"/>
    <col min="11543" max="11544" width="10.00390625" style="955" bestFit="1" customWidth="1"/>
    <col min="11545" max="11545" width="9.125" style="955" customWidth="1"/>
    <col min="11546" max="11546" width="10.875" style="955" customWidth="1"/>
    <col min="11547" max="11547" width="8.875" style="955" customWidth="1"/>
    <col min="11548" max="11548" width="8.75390625" style="955" customWidth="1"/>
    <col min="11549" max="11550" width="9.625" style="955" customWidth="1"/>
    <col min="11551" max="11551" width="11.00390625" style="955" bestFit="1" customWidth="1"/>
    <col min="11552" max="11553" width="9.00390625" style="955" hidden="1" customWidth="1"/>
    <col min="11554" max="11774" width="9.125" style="955" customWidth="1"/>
    <col min="11775" max="11775" width="16.375" style="955" customWidth="1"/>
    <col min="11776" max="11776" width="9.25390625" style="955" customWidth="1"/>
    <col min="11777" max="11777" width="8.25390625" style="955" bestFit="1" customWidth="1"/>
    <col min="11778" max="11778" width="8.375" style="955" customWidth="1"/>
    <col min="11779" max="11780" width="9.00390625" style="955" customWidth="1"/>
    <col min="11781" max="11781" width="8.125" style="955" customWidth="1"/>
    <col min="11782" max="11785" width="7.125" style="955" customWidth="1"/>
    <col min="11786" max="11786" width="8.625" style="955" customWidth="1"/>
    <col min="11787" max="11787" width="8.75390625" style="955" customWidth="1"/>
    <col min="11788" max="11788" width="7.00390625" style="955" customWidth="1"/>
    <col min="11789" max="11789" width="8.875" style="955" customWidth="1"/>
    <col min="11790" max="11790" width="7.625" style="955" customWidth="1"/>
    <col min="11791" max="11791" width="7.75390625" style="955" customWidth="1"/>
    <col min="11792" max="11792" width="8.125" style="955" customWidth="1"/>
    <col min="11793" max="11793" width="12.625" style="955" bestFit="1" customWidth="1"/>
    <col min="11794" max="11794" width="9.75390625" style="955" customWidth="1"/>
    <col min="11795" max="11795" width="9.125" style="955" customWidth="1"/>
    <col min="11796" max="11796" width="16.625" style="955" customWidth="1"/>
    <col min="11797" max="11797" width="10.625" style="955" customWidth="1"/>
    <col min="11798" max="11798" width="9.125" style="955" customWidth="1"/>
    <col min="11799" max="11800" width="10.00390625" style="955" bestFit="1" customWidth="1"/>
    <col min="11801" max="11801" width="9.125" style="955" customWidth="1"/>
    <col min="11802" max="11802" width="10.875" style="955" customWidth="1"/>
    <col min="11803" max="11803" width="8.875" style="955" customWidth="1"/>
    <col min="11804" max="11804" width="8.75390625" style="955" customWidth="1"/>
    <col min="11805" max="11806" width="9.625" style="955" customWidth="1"/>
    <col min="11807" max="11807" width="11.00390625" style="955" bestFit="1" customWidth="1"/>
    <col min="11808" max="11809" width="9.00390625" style="955" hidden="1" customWidth="1"/>
    <col min="11810" max="12030" width="9.125" style="955" customWidth="1"/>
    <col min="12031" max="12031" width="16.375" style="955" customWidth="1"/>
    <col min="12032" max="12032" width="9.25390625" style="955" customWidth="1"/>
    <col min="12033" max="12033" width="8.25390625" style="955" bestFit="1" customWidth="1"/>
    <col min="12034" max="12034" width="8.375" style="955" customWidth="1"/>
    <col min="12035" max="12036" width="9.00390625" style="955" customWidth="1"/>
    <col min="12037" max="12037" width="8.125" style="955" customWidth="1"/>
    <col min="12038" max="12041" width="7.125" style="955" customWidth="1"/>
    <col min="12042" max="12042" width="8.625" style="955" customWidth="1"/>
    <col min="12043" max="12043" width="8.75390625" style="955" customWidth="1"/>
    <col min="12044" max="12044" width="7.00390625" style="955" customWidth="1"/>
    <col min="12045" max="12045" width="8.875" style="955" customWidth="1"/>
    <col min="12046" max="12046" width="7.625" style="955" customWidth="1"/>
    <col min="12047" max="12047" width="7.75390625" style="955" customWidth="1"/>
    <col min="12048" max="12048" width="8.125" style="955" customWidth="1"/>
    <col min="12049" max="12049" width="12.625" style="955" bestFit="1" customWidth="1"/>
    <col min="12050" max="12050" width="9.75390625" style="955" customWidth="1"/>
    <col min="12051" max="12051" width="9.125" style="955" customWidth="1"/>
    <col min="12052" max="12052" width="16.625" style="955" customWidth="1"/>
    <col min="12053" max="12053" width="10.625" style="955" customWidth="1"/>
    <col min="12054" max="12054" width="9.125" style="955" customWidth="1"/>
    <col min="12055" max="12056" width="10.00390625" style="955" bestFit="1" customWidth="1"/>
    <col min="12057" max="12057" width="9.125" style="955" customWidth="1"/>
    <col min="12058" max="12058" width="10.875" style="955" customWidth="1"/>
    <col min="12059" max="12059" width="8.875" style="955" customWidth="1"/>
    <col min="12060" max="12060" width="8.75390625" style="955" customWidth="1"/>
    <col min="12061" max="12062" width="9.625" style="955" customWidth="1"/>
    <col min="12063" max="12063" width="11.00390625" style="955" bestFit="1" customWidth="1"/>
    <col min="12064" max="12065" width="9.00390625" style="955" hidden="1" customWidth="1"/>
    <col min="12066" max="12286" width="9.125" style="955" customWidth="1"/>
    <col min="12287" max="12287" width="16.375" style="955" customWidth="1"/>
    <col min="12288" max="12288" width="9.25390625" style="955" customWidth="1"/>
    <col min="12289" max="12289" width="8.25390625" style="955" bestFit="1" customWidth="1"/>
    <col min="12290" max="12290" width="8.375" style="955" customWidth="1"/>
    <col min="12291" max="12292" width="9.00390625" style="955" customWidth="1"/>
    <col min="12293" max="12293" width="8.125" style="955" customWidth="1"/>
    <col min="12294" max="12297" width="7.125" style="955" customWidth="1"/>
    <col min="12298" max="12298" width="8.625" style="955" customWidth="1"/>
    <col min="12299" max="12299" width="8.75390625" style="955" customWidth="1"/>
    <col min="12300" max="12300" width="7.00390625" style="955" customWidth="1"/>
    <col min="12301" max="12301" width="8.875" style="955" customWidth="1"/>
    <col min="12302" max="12302" width="7.625" style="955" customWidth="1"/>
    <col min="12303" max="12303" width="7.75390625" style="955" customWidth="1"/>
    <col min="12304" max="12304" width="8.125" style="955" customWidth="1"/>
    <col min="12305" max="12305" width="12.625" style="955" bestFit="1" customWidth="1"/>
    <col min="12306" max="12306" width="9.75390625" style="955" customWidth="1"/>
    <col min="12307" max="12307" width="9.125" style="955" customWidth="1"/>
    <col min="12308" max="12308" width="16.625" style="955" customWidth="1"/>
    <col min="12309" max="12309" width="10.625" style="955" customWidth="1"/>
    <col min="12310" max="12310" width="9.125" style="955" customWidth="1"/>
    <col min="12311" max="12312" width="10.00390625" style="955" bestFit="1" customWidth="1"/>
    <col min="12313" max="12313" width="9.125" style="955" customWidth="1"/>
    <col min="12314" max="12314" width="10.875" style="955" customWidth="1"/>
    <col min="12315" max="12315" width="8.875" style="955" customWidth="1"/>
    <col min="12316" max="12316" width="8.75390625" style="955" customWidth="1"/>
    <col min="12317" max="12318" width="9.625" style="955" customWidth="1"/>
    <col min="12319" max="12319" width="11.00390625" style="955" bestFit="1" customWidth="1"/>
    <col min="12320" max="12321" width="9.00390625" style="955" hidden="1" customWidth="1"/>
    <col min="12322" max="12542" width="9.125" style="955" customWidth="1"/>
    <col min="12543" max="12543" width="16.375" style="955" customWidth="1"/>
    <col min="12544" max="12544" width="9.25390625" style="955" customWidth="1"/>
    <col min="12545" max="12545" width="8.25390625" style="955" bestFit="1" customWidth="1"/>
    <col min="12546" max="12546" width="8.375" style="955" customWidth="1"/>
    <col min="12547" max="12548" width="9.00390625" style="955" customWidth="1"/>
    <col min="12549" max="12549" width="8.125" style="955" customWidth="1"/>
    <col min="12550" max="12553" width="7.125" style="955" customWidth="1"/>
    <col min="12554" max="12554" width="8.625" style="955" customWidth="1"/>
    <col min="12555" max="12555" width="8.75390625" style="955" customWidth="1"/>
    <col min="12556" max="12556" width="7.00390625" style="955" customWidth="1"/>
    <col min="12557" max="12557" width="8.875" style="955" customWidth="1"/>
    <col min="12558" max="12558" width="7.625" style="955" customWidth="1"/>
    <col min="12559" max="12559" width="7.75390625" style="955" customWidth="1"/>
    <col min="12560" max="12560" width="8.125" style="955" customWidth="1"/>
    <col min="12561" max="12561" width="12.625" style="955" bestFit="1" customWidth="1"/>
    <col min="12562" max="12562" width="9.75390625" style="955" customWidth="1"/>
    <col min="12563" max="12563" width="9.125" style="955" customWidth="1"/>
    <col min="12564" max="12564" width="16.625" style="955" customWidth="1"/>
    <col min="12565" max="12565" width="10.625" style="955" customWidth="1"/>
    <col min="12566" max="12566" width="9.125" style="955" customWidth="1"/>
    <col min="12567" max="12568" width="10.00390625" style="955" bestFit="1" customWidth="1"/>
    <col min="12569" max="12569" width="9.125" style="955" customWidth="1"/>
    <col min="12570" max="12570" width="10.875" style="955" customWidth="1"/>
    <col min="12571" max="12571" width="8.875" style="955" customWidth="1"/>
    <col min="12572" max="12572" width="8.75390625" style="955" customWidth="1"/>
    <col min="12573" max="12574" width="9.625" style="955" customWidth="1"/>
    <col min="12575" max="12575" width="11.00390625" style="955" bestFit="1" customWidth="1"/>
    <col min="12576" max="12577" width="9.00390625" style="955" hidden="1" customWidth="1"/>
    <col min="12578" max="12798" width="9.125" style="955" customWidth="1"/>
    <col min="12799" max="12799" width="16.375" style="955" customWidth="1"/>
    <col min="12800" max="12800" width="9.25390625" style="955" customWidth="1"/>
    <col min="12801" max="12801" width="8.25390625" style="955" bestFit="1" customWidth="1"/>
    <col min="12802" max="12802" width="8.375" style="955" customWidth="1"/>
    <col min="12803" max="12804" width="9.00390625" style="955" customWidth="1"/>
    <col min="12805" max="12805" width="8.125" style="955" customWidth="1"/>
    <col min="12806" max="12809" width="7.125" style="955" customWidth="1"/>
    <col min="12810" max="12810" width="8.625" style="955" customWidth="1"/>
    <col min="12811" max="12811" width="8.75390625" style="955" customWidth="1"/>
    <col min="12812" max="12812" width="7.00390625" style="955" customWidth="1"/>
    <col min="12813" max="12813" width="8.875" style="955" customWidth="1"/>
    <col min="12814" max="12814" width="7.625" style="955" customWidth="1"/>
    <col min="12815" max="12815" width="7.75390625" style="955" customWidth="1"/>
    <col min="12816" max="12816" width="8.125" style="955" customWidth="1"/>
    <col min="12817" max="12817" width="12.625" style="955" bestFit="1" customWidth="1"/>
    <col min="12818" max="12818" width="9.75390625" style="955" customWidth="1"/>
    <col min="12819" max="12819" width="9.125" style="955" customWidth="1"/>
    <col min="12820" max="12820" width="16.625" style="955" customWidth="1"/>
    <col min="12821" max="12821" width="10.625" style="955" customWidth="1"/>
    <col min="12822" max="12822" width="9.125" style="955" customWidth="1"/>
    <col min="12823" max="12824" width="10.00390625" style="955" bestFit="1" customWidth="1"/>
    <col min="12825" max="12825" width="9.125" style="955" customWidth="1"/>
    <col min="12826" max="12826" width="10.875" style="955" customWidth="1"/>
    <col min="12827" max="12827" width="8.875" style="955" customWidth="1"/>
    <col min="12828" max="12828" width="8.75390625" style="955" customWidth="1"/>
    <col min="12829" max="12830" width="9.625" style="955" customWidth="1"/>
    <col min="12831" max="12831" width="11.00390625" style="955" bestFit="1" customWidth="1"/>
    <col min="12832" max="12833" width="9.00390625" style="955" hidden="1" customWidth="1"/>
    <col min="12834" max="13054" width="9.125" style="955" customWidth="1"/>
    <col min="13055" max="13055" width="16.375" style="955" customWidth="1"/>
    <col min="13056" max="13056" width="9.25390625" style="955" customWidth="1"/>
    <col min="13057" max="13057" width="8.25390625" style="955" bestFit="1" customWidth="1"/>
    <col min="13058" max="13058" width="8.375" style="955" customWidth="1"/>
    <col min="13059" max="13060" width="9.00390625" style="955" customWidth="1"/>
    <col min="13061" max="13061" width="8.125" style="955" customWidth="1"/>
    <col min="13062" max="13065" width="7.125" style="955" customWidth="1"/>
    <col min="13066" max="13066" width="8.625" style="955" customWidth="1"/>
    <col min="13067" max="13067" width="8.75390625" style="955" customWidth="1"/>
    <col min="13068" max="13068" width="7.00390625" style="955" customWidth="1"/>
    <col min="13069" max="13069" width="8.875" style="955" customWidth="1"/>
    <col min="13070" max="13070" width="7.625" style="955" customWidth="1"/>
    <col min="13071" max="13071" width="7.75390625" style="955" customWidth="1"/>
    <col min="13072" max="13072" width="8.125" style="955" customWidth="1"/>
    <col min="13073" max="13073" width="12.625" style="955" bestFit="1" customWidth="1"/>
    <col min="13074" max="13074" width="9.75390625" style="955" customWidth="1"/>
    <col min="13075" max="13075" width="9.125" style="955" customWidth="1"/>
    <col min="13076" max="13076" width="16.625" style="955" customWidth="1"/>
    <col min="13077" max="13077" width="10.625" style="955" customWidth="1"/>
    <col min="13078" max="13078" width="9.125" style="955" customWidth="1"/>
    <col min="13079" max="13080" width="10.00390625" style="955" bestFit="1" customWidth="1"/>
    <col min="13081" max="13081" width="9.125" style="955" customWidth="1"/>
    <col min="13082" max="13082" width="10.875" style="955" customWidth="1"/>
    <col min="13083" max="13083" width="8.875" style="955" customWidth="1"/>
    <col min="13084" max="13084" width="8.75390625" style="955" customWidth="1"/>
    <col min="13085" max="13086" width="9.625" style="955" customWidth="1"/>
    <col min="13087" max="13087" width="11.00390625" style="955" bestFit="1" customWidth="1"/>
    <col min="13088" max="13089" width="9.00390625" style="955" hidden="1" customWidth="1"/>
    <col min="13090" max="13310" width="9.125" style="955" customWidth="1"/>
    <col min="13311" max="13311" width="16.375" style="955" customWidth="1"/>
    <col min="13312" max="13312" width="9.25390625" style="955" customWidth="1"/>
    <col min="13313" max="13313" width="8.25390625" style="955" bestFit="1" customWidth="1"/>
    <col min="13314" max="13314" width="8.375" style="955" customWidth="1"/>
    <col min="13315" max="13316" width="9.00390625" style="955" customWidth="1"/>
    <col min="13317" max="13317" width="8.125" style="955" customWidth="1"/>
    <col min="13318" max="13321" width="7.125" style="955" customWidth="1"/>
    <col min="13322" max="13322" width="8.625" style="955" customWidth="1"/>
    <col min="13323" max="13323" width="8.75390625" style="955" customWidth="1"/>
    <col min="13324" max="13324" width="7.00390625" style="955" customWidth="1"/>
    <col min="13325" max="13325" width="8.875" style="955" customWidth="1"/>
    <col min="13326" max="13326" width="7.625" style="955" customWidth="1"/>
    <col min="13327" max="13327" width="7.75390625" style="955" customWidth="1"/>
    <col min="13328" max="13328" width="8.125" style="955" customWidth="1"/>
    <col min="13329" max="13329" width="12.625" style="955" bestFit="1" customWidth="1"/>
    <col min="13330" max="13330" width="9.75390625" style="955" customWidth="1"/>
    <col min="13331" max="13331" width="9.125" style="955" customWidth="1"/>
    <col min="13332" max="13332" width="16.625" style="955" customWidth="1"/>
    <col min="13333" max="13333" width="10.625" style="955" customWidth="1"/>
    <col min="13334" max="13334" width="9.125" style="955" customWidth="1"/>
    <col min="13335" max="13336" width="10.00390625" style="955" bestFit="1" customWidth="1"/>
    <col min="13337" max="13337" width="9.125" style="955" customWidth="1"/>
    <col min="13338" max="13338" width="10.875" style="955" customWidth="1"/>
    <col min="13339" max="13339" width="8.875" style="955" customWidth="1"/>
    <col min="13340" max="13340" width="8.75390625" style="955" customWidth="1"/>
    <col min="13341" max="13342" width="9.625" style="955" customWidth="1"/>
    <col min="13343" max="13343" width="11.00390625" style="955" bestFit="1" customWidth="1"/>
    <col min="13344" max="13345" width="9.00390625" style="955" hidden="1" customWidth="1"/>
    <col min="13346" max="13566" width="9.125" style="955" customWidth="1"/>
    <col min="13567" max="13567" width="16.375" style="955" customWidth="1"/>
    <col min="13568" max="13568" width="9.25390625" style="955" customWidth="1"/>
    <col min="13569" max="13569" width="8.25390625" style="955" bestFit="1" customWidth="1"/>
    <col min="13570" max="13570" width="8.375" style="955" customWidth="1"/>
    <col min="13571" max="13572" width="9.00390625" style="955" customWidth="1"/>
    <col min="13573" max="13573" width="8.125" style="955" customWidth="1"/>
    <col min="13574" max="13577" width="7.125" style="955" customWidth="1"/>
    <col min="13578" max="13578" width="8.625" style="955" customWidth="1"/>
    <col min="13579" max="13579" width="8.75390625" style="955" customWidth="1"/>
    <col min="13580" max="13580" width="7.00390625" style="955" customWidth="1"/>
    <col min="13581" max="13581" width="8.875" style="955" customWidth="1"/>
    <col min="13582" max="13582" width="7.625" style="955" customWidth="1"/>
    <col min="13583" max="13583" width="7.75390625" style="955" customWidth="1"/>
    <col min="13584" max="13584" width="8.125" style="955" customWidth="1"/>
    <col min="13585" max="13585" width="12.625" style="955" bestFit="1" customWidth="1"/>
    <col min="13586" max="13586" width="9.75390625" style="955" customWidth="1"/>
    <col min="13587" max="13587" width="9.125" style="955" customWidth="1"/>
    <col min="13588" max="13588" width="16.625" style="955" customWidth="1"/>
    <col min="13589" max="13589" width="10.625" style="955" customWidth="1"/>
    <col min="13590" max="13590" width="9.125" style="955" customWidth="1"/>
    <col min="13591" max="13592" width="10.00390625" style="955" bestFit="1" customWidth="1"/>
    <col min="13593" max="13593" width="9.125" style="955" customWidth="1"/>
    <col min="13594" max="13594" width="10.875" style="955" customWidth="1"/>
    <col min="13595" max="13595" width="8.875" style="955" customWidth="1"/>
    <col min="13596" max="13596" width="8.75390625" style="955" customWidth="1"/>
    <col min="13597" max="13598" width="9.625" style="955" customWidth="1"/>
    <col min="13599" max="13599" width="11.00390625" style="955" bestFit="1" customWidth="1"/>
    <col min="13600" max="13601" width="9.00390625" style="955" hidden="1" customWidth="1"/>
    <col min="13602" max="13822" width="9.125" style="955" customWidth="1"/>
    <col min="13823" max="13823" width="16.375" style="955" customWidth="1"/>
    <col min="13824" max="13824" width="9.25390625" style="955" customWidth="1"/>
    <col min="13825" max="13825" width="8.25390625" style="955" bestFit="1" customWidth="1"/>
    <col min="13826" max="13826" width="8.375" style="955" customWidth="1"/>
    <col min="13827" max="13828" width="9.00390625" style="955" customWidth="1"/>
    <col min="13829" max="13829" width="8.125" style="955" customWidth="1"/>
    <col min="13830" max="13833" width="7.125" style="955" customWidth="1"/>
    <col min="13834" max="13834" width="8.625" style="955" customWidth="1"/>
    <col min="13835" max="13835" width="8.75390625" style="955" customWidth="1"/>
    <col min="13836" max="13836" width="7.00390625" style="955" customWidth="1"/>
    <col min="13837" max="13837" width="8.875" style="955" customWidth="1"/>
    <col min="13838" max="13838" width="7.625" style="955" customWidth="1"/>
    <col min="13839" max="13839" width="7.75390625" style="955" customWidth="1"/>
    <col min="13840" max="13840" width="8.125" style="955" customWidth="1"/>
    <col min="13841" max="13841" width="12.625" style="955" bestFit="1" customWidth="1"/>
    <col min="13842" max="13842" width="9.75390625" style="955" customWidth="1"/>
    <col min="13843" max="13843" width="9.125" style="955" customWidth="1"/>
    <col min="13844" max="13844" width="16.625" style="955" customWidth="1"/>
    <col min="13845" max="13845" width="10.625" style="955" customWidth="1"/>
    <col min="13846" max="13846" width="9.125" style="955" customWidth="1"/>
    <col min="13847" max="13848" width="10.00390625" style="955" bestFit="1" customWidth="1"/>
    <col min="13849" max="13849" width="9.125" style="955" customWidth="1"/>
    <col min="13850" max="13850" width="10.875" style="955" customWidth="1"/>
    <col min="13851" max="13851" width="8.875" style="955" customWidth="1"/>
    <col min="13852" max="13852" width="8.75390625" style="955" customWidth="1"/>
    <col min="13853" max="13854" width="9.625" style="955" customWidth="1"/>
    <col min="13855" max="13855" width="11.00390625" style="955" bestFit="1" customWidth="1"/>
    <col min="13856" max="13857" width="9.00390625" style="955" hidden="1" customWidth="1"/>
    <col min="13858" max="14078" width="9.125" style="955" customWidth="1"/>
    <col min="14079" max="14079" width="16.375" style="955" customWidth="1"/>
    <col min="14080" max="14080" width="9.25390625" style="955" customWidth="1"/>
    <col min="14081" max="14081" width="8.25390625" style="955" bestFit="1" customWidth="1"/>
    <col min="14082" max="14082" width="8.375" style="955" customWidth="1"/>
    <col min="14083" max="14084" width="9.00390625" style="955" customWidth="1"/>
    <col min="14085" max="14085" width="8.125" style="955" customWidth="1"/>
    <col min="14086" max="14089" width="7.125" style="955" customWidth="1"/>
    <col min="14090" max="14090" width="8.625" style="955" customWidth="1"/>
    <col min="14091" max="14091" width="8.75390625" style="955" customWidth="1"/>
    <col min="14092" max="14092" width="7.00390625" style="955" customWidth="1"/>
    <col min="14093" max="14093" width="8.875" style="955" customWidth="1"/>
    <col min="14094" max="14094" width="7.625" style="955" customWidth="1"/>
    <col min="14095" max="14095" width="7.75390625" style="955" customWidth="1"/>
    <col min="14096" max="14096" width="8.125" style="955" customWidth="1"/>
    <col min="14097" max="14097" width="12.625" style="955" bestFit="1" customWidth="1"/>
    <col min="14098" max="14098" width="9.75390625" style="955" customWidth="1"/>
    <col min="14099" max="14099" width="9.125" style="955" customWidth="1"/>
    <col min="14100" max="14100" width="16.625" style="955" customWidth="1"/>
    <col min="14101" max="14101" width="10.625" style="955" customWidth="1"/>
    <col min="14102" max="14102" width="9.125" style="955" customWidth="1"/>
    <col min="14103" max="14104" width="10.00390625" style="955" bestFit="1" customWidth="1"/>
    <col min="14105" max="14105" width="9.125" style="955" customWidth="1"/>
    <col min="14106" max="14106" width="10.875" style="955" customWidth="1"/>
    <col min="14107" max="14107" width="8.875" style="955" customWidth="1"/>
    <col min="14108" max="14108" width="8.75390625" style="955" customWidth="1"/>
    <col min="14109" max="14110" width="9.625" style="955" customWidth="1"/>
    <col min="14111" max="14111" width="11.00390625" style="955" bestFit="1" customWidth="1"/>
    <col min="14112" max="14113" width="9.00390625" style="955" hidden="1" customWidth="1"/>
    <col min="14114" max="14334" width="9.125" style="955" customWidth="1"/>
    <col min="14335" max="14335" width="16.375" style="955" customWidth="1"/>
    <col min="14336" max="14336" width="9.25390625" style="955" customWidth="1"/>
    <col min="14337" max="14337" width="8.25390625" style="955" bestFit="1" customWidth="1"/>
    <col min="14338" max="14338" width="8.375" style="955" customWidth="1"/>
    <col min="14339" max="14340" width="9.00390625" style="955" customWidth="1"/>
    <col min="14341" max="14341" width="8.125" style="955" customWidth="1"/>
    <col min="14342" max="14345" width="7.125" style="955" customWidth="1"/>
    <col min="14346" max="14346" width="8.625" style="955" customWidth="1"/>
    <col min="14347" max="14347" width="8.75390625" style="955" customWidth="1"/>
    <col min="14348" max="14348" width="7.00390625" style="955" customWidth="1"/>
    <col min="14349" max="14349" width="8.875" style="955" customWidth="1"/>
    <col min="14350" max="14350" width="7.625" style="955" customWidth="1"/>
    <col min="14351" max="14351" width="7.75390625" style="955" customWidth="1"/>
    <col min="14352" max="14352" width="8.125" style="955" customWidth="1"/>
    <col min="14353" max="14353" width="12.625" style="955" bestFit="1" customWidth="1"/>
    <col min="14354" max="14354" width="9.75390625" style="955" customWidth="1"/>
    <col min="14355" max="14355" width="9.125" style="955" customWidth="1"/>
    <col min="14356" max="14356" width="16.625" style="955" customWidth="1"/>
    <col min="14357" max="14357" width="10.625" style="955" customWidth="1"/>
    <col min="14358" max="14358" width="9.125" style="955" customWidth="1"/>
    <col min="14359" max="14360" width="10.00390625" style="955" bestFit="1" customWidth="1"/>
    <col min="14361" max="14361" width="9.125" style="955" customWidth="1"/>
    <col min="14362" max="14362" width="10.875" style="955" customWidth="1"/>
    <col min="14363" max="14363" width="8.875" style="955" customWidth="1"/>
    <col min="14364" max="14364" width="8.75390625" style="955" customWidth="1"/>
    <col min="14365" max="14366" width="9.625" style="955" customWidth="1"/>
    <col min="14367" max="14367" width="11.00390625" style="955" bestFit="1" customWidth="1"/>
    <col min="14368" max="14369" width="9.00390625" style="955" hidden="1" customWidth="1"/>
    <col min="14370" max="14590" width="9.125" style="955" customWidth="1"/>
    <col min="14591" max="14591" width="16.375" style="955" customWidth="1"/>
    <col min="14592" max="14592" width="9.25390625" style="955" customWidth="1"/>
    <col min="14593" max="14593" width="8.25390625" style="955" bestFit="1" customWidth="1"/>
    <col min="14594" max="14594" width="8.375" style="955" customWidth="1"/>
    <col min="14595" max="14596" width="9.00390625" style="955" customWidth="1"/>
    <col min="14597" max="14597" width="8.125" style="955" customWidth="1"/>
    <col min="14598" max="14601" width="7.125" style="955" customWidth="1"/>
    <col min="14602" max="14602" width="8.625" style="955" customWidth="1"/>
    <col min="14603" max="14603" width="8.75390625" style="955" customWidth="1"/>
    <col min="14604" max="14604" width="7.00390625" style="955" customWidth="1"/>
    <col min="14605" max="14605" width="8.875" style="955" customWidth="1"/>
    <col min="14606" max="14606" width="7.625" style="955" customWidth="1"/>
    <col min="14607" max="14607" width="7.75390625" style="955" customWidth="1"/>
    <col min="14608" max="14608" width="8.125" style="955" customWidth="1"/>
    <col min="14609" max="14609" width="12.625" style="955" bestFit="1" customWidth="1"/>
    <col min="14610" max="14610" width="9.75390625" style="955" customWidth="1"/>
    <col min="14611" max="14611" width="9.125" style="955" customWidth="1"/>
    <col min="14612" max="14612" width="16.625" style="955" customWidth="1"/>
    <col min="14613" max="14613" width="10.625" style="955" customWidth="1"/>
    <col min="14614" max="14614" width="9.125" style="955" customWidth="1"/>
    <col min="14615" max="14616" width="10.00390625" style="955" bestFit="1" customWidth="1"/>
    <col min="14617" max="14617" width="9.125" style="955" customWidth="1"/>
    <col min="14618" max="14618" width="10.875" style="955" customWidth="1"/>
    <col min="14619" max="14619" width="8.875" style="955" customWidth="1"/>
    <col min="14620" max="14620" width="8.75390625" style="955" customWidth="1"/>
    <col min="14621" max="14622" width="9.625" style="955" customWidth="1"/>
    <col min="14623" max="14623" width="11.00390625" style="955" bestFit="1" customWidth="1"/>
    <col min="14624" max="14625" width="9.00390625" style="955" hidden="1" customWidth="1"/>
    <col min="14626" max="14846" width="9.125" style="955" customWidth="1"/>
    <col min="14847" max="14847" width="16.375" style="955" customWidth="1"/>
    <col min="14848" max="14848" width="9.25390625" style="955" customWidth="1"/>
    <col min="14849" max="14849" width="8.25390625" style="955" bestFit="1" customWidth="1"/>
    <col min="14850" max="14850" width="8.375" style="955" customWidth="1"/>
    <col min="14851" max="14852" width="9.00390625" style="955" customWidth="1"/>
    <col min="14853" max="14853" width="8.125" style="955" customWidth="1"/>
    <col min="14854" max="14857" width="7.125" style="955" customWidth="1"/>
    <col min="14858" max="14858" width="8.625" style="955" customWidth="1"/>
    <col min="14859" max="14859" width="8.75390625" style="955" customWidth="1"/>
    <col min="14860" max="14860" width="7.00390625" style="955" customWidth="1"/>
    <col min="14861" max="14861" width="8.875" style="955" customWidth="1"/>
    <col min="14862" max="14862" width="7.625" style="955" customWidth="1"/>
    <col min="14863" max="14863" width="7.75390625" style="955" customWidth="1"/>
    <col min="14864" max="14864" width="8.125" style="955" customWidth="1"/>
    <col min="14865" max="14865" width="12.625" style="955" bestFit="1" customWidth="1"/>
    <col min="14866" max="14866" width="9.75390625" style="955" customWidth="1"/>
    <col min="14867" max="14867" width="9.125" style="955" customWidth="1"/>
    <col min="14868" max="14868" width="16.625" style="955" customWidth="1"/>
    <col min="14869" max="14869" width="10.625" style="955" customWidth="1"/>
    <col min="14870" max="14870" width="9.125" style="955" customWidth="1"/>
    <col min="14871" max="14872" width="10.00390625" style="955" bestFit="1" customWidth="1"/>
    <col min="14873" max="14873" width="9.125" style="955" customWidth="1"/>
    <col min="14874" max="14874" width="10.875" style="955" customWidth="1"/>
    <col min="14875" max="14875" width="8.875" style="955" customWidth="1"/>
    <col min="14876" max="14876" width="8.75390625" style="955" customWidth="1"/>
    <col min="14877" max="14878" width="9.625" style="955" customWidth="1"/>
    <col min="14879" max="14879" width="11.00390625" style="955" bestFit="1" customWidth="1"/>
    <col min="14880" max="14881" width="9.00390625" style="955" hidden="1" customWidth="1"/>
    <col min="14882" max="15102" width="9.125" style="955" customWidth="1"/>
    <col min="15103" max="15103" width="16.375" style="955" customWidth="1"/>
    <col min="15104" max="15104" width="9.25390625" style="955" customWidth="1"/>
    <col min="15105" max="15105" width="8.25390625" style="955" bestFit="1" customWidth="1"/>
    <col min="15106" max="15106" width="8.375" style="955" customWidth="1"/>
    <col min="15107" max="15108" width="9.00390625" style="955" customWidth="1"/>
    <col min="15109" max="15109" width="8.125" style="955" customWidth="1"/>
    <col min="15110" max="15113" width="7.125" style="955" customWidth="1"/>
    <col min="15114" max="15114" width="8.625" style="955" customWidth="1"/>
    <col min="15115" max="15115" width="8.75390625" style="955" customWidth="1"/>
    <col min="15116" max="15116" width="7.00390625" style="955" customWidth="1"/>
    <col min="15117" max="15117" width="8.875" style="955" customWidth="1"/>
    <col min="15118" max="15118" width="7.625" style="955" customWidth="1"/>
    <col min="15119" max="15119" width="7.75390625" style="955" customWidth="1"/>
    <col min="15120" max="15120" width="8.125" style="955" customWidth="1"/>
    <col min="15121" max="15121" width="12.625" style="955" bestFit="1" customWidth="1"/>
    <col min="15122" max="15122" width="9.75390625" style="955" customWidth="1"/>
    <col min="15123" max="15123" width="9.125" style="955" customWidth="1"/>
    <col min="15124" max="15124" width="16.625" style="955" customWidth="1"/>
    <col min="15125" max="15125" width="10.625" style="955" customWidth="1"/>
    <col min="15126" max="15126" width="9.125" style="955" customWidth="1"/>
    <col min="15127" max="15128" width="10.00390625" style="955" bestFit="1" customWidth="1"/>
    <col min="15129" max="15129" width="9.125" style="955" customWidth="1"/>
    <col min="15130" max="15130" width="10.875" style="955" customWidth="1"/>
    <col min="15131" max="15131" width="8.875" style="955" customWidth="1"/>
    <col min="15132" max="15132" width="8.75390625" style="955" customWidth="1"/>
    <col min="15133" max="15134" width="9.625" style="955" customWidth="1"/>
    <col min="15135" max="15135" width="11.00390625" style="955" bestFit="1" customWidth="1"/>
    <col min="15136" max="15137" width="9.00390625" style="955" hidden="1" customWidth="1"/>
    <col min="15138" max="15358" width="9.125" style="955" customWidth="1"/>
    <col min="15359" max="15359" width="16.375" style="955" customWidth="1"/>
    <col min="15360" max="15360" width="9.25390625" style="955" customWidth="1"/>
    <col min="15361" max="15361" width="8.25390625" style="955" bestFit="1" customWidth="1"/>
    <col min="15362" max="15362" width="8.375" style="955" customWidth="1"/>
    <col min="15363" max="15364" width="9.00390625" style="955" customWidth="1"/>
    <col min="15365" max="15365" width="8.125" style="955" customWidth="1"/>
    <col min="15366" max="15369" width="7.125" style="955" customWidth="1"/>
    <col min="15370" max="15370" width="8.625" style="955" customWidth="1"/>
    <col min="15371" max="15371" width="8.75390625" style="955" customWidth="1"/>
    <col min="15372" max="15372" width="7.00390625" style="955" customWidth="1"/>
    <col min="15373" max="15373" width="8.875" style="955" customWidth="1"/>
    <col min="15374" max="15374" width="7.625" style="955" customWidth="1"/>
    <col min="15375" max="15375" width="7.75390625" style="955" customWidth="1"/>
    <col min="15376" max="15376" width="8.125" style="955" customWidth="1"/>
    <col min="15377" max="15377" width="12.625" style="955" bestFit="1" customWidth="1"/>
    <col min="15378" max="15378" width="9.75390625" style="955" customWidth="1"/>
    <col min="15379" max="15379" width="9.125" style="955" customWidth="1"/>
    <col min="15380" max="15380" width="16.625" style="955" customWidth="1"/>
    <col min="15381" max="15381" width="10.625" style="955" customWidth="1"/>
    <col min="15382" max="15382" width="9.125" style="955" customWidth="1"/>
    <col min="15383" max="15384" width="10.00390625" style="955" bestFit="1" customWidth="1"/>
    <col min="15385" max="15385" width="9.125" style="955" customWidth="1"/>
    <col min="15386" max="15386" width="10.875" style="955" customWidth="1"/>
    <col min="15387" max="15387" width="8.875" style="955" customWidth="1"/>
    <col min="15388" max="15388" width="8.75390625" style="955" customWidth="1"/>
    <col min="15389" max="15390" width="9.625" style="955" customWidth="1"/>
    <col min="15391" max="15391" width="11.00390625" style="955" bestFit="1" customWidth="1"/>
    <col min="15392" max="15393" width="9.00390625" style="955" hidden="1" customWidth="1"/>
    <col min="15394" max="15614" width="9.125" style="955" customWidth="1"/>
    <col min="15615" max="15615" width="16.375" style="955" customWidth="1"/>
    <col min="15616" max="15616" width="9.25390625" style="955" customWidth="1"/>
    <col min="15617" max="15617" width="8.25390625" style="955" bestFit="1" customWidth="1"/>
    <col min="15618" max="15618" width="8.375" style="955" customWidth="1"/>
    <col min="15619" max="15620" width="9.00390625" style="955" customWidth="1"/>
    <col min="15621" max="15621" width="8.125" style="955" customWidth="1"/>
    <col min="15622" max="15625" width="7.125" style="955" customWidth="1"/>
    <col min="15626" max="15626" width="8.625" style="955" customWidth="1"/>
    <col min="15627" max="15627" width="8.75390625" style="955" customWidth="1"/>
    <col min="15628" max="15628" width="7.00390625" style="955" customWidth="1"/>
    <col min="15629" max="15629" width="8.875" style="955" customWidth="1"/>
    <col min="15630" max="15630" width="7.625" style="955" customWidth="1"/>
    <col min="15631" max="15631" width="7.75390625" style="955" customWidth="1"/>
    <col min="15632" max="15632" width="8.125" style="955" customWidth="1"/>
    <col min="15633" max="15633" width="12.625" style="955" bestFit="1" customWidth="1"/>
    <col min="15634" max="15634" width="9.75390625" style="955" customWidth="1"/>
    <col min="15635" max="15635" width="9.125" style="955" customWidth="1"/>
    <col min="15636" max="15636" width="16.625" style="955" customWidth="1"/>
    <col min="15637" max="15637" width="10.625" style="955" customWidth="1"/>
    <col min="15638" max="15638" width="9.125" style="955" customWidth="1"/>
    <col min="15639" max="15640" width="10.00390625" style="955" bestFit="1" customWidth="1"/>
    <col min="15641" max="15641" width="9.125" style="955" customWidth="1"/>
    <col min="15642" max="15642" width="10.875" style="955" customWidth="1"/>
    <col min="15643" max="15643" width="8.875" style="955" customWidth="1"/>
    <col min="15644" max="15644" width="8.75390625" style="955" customWidth="1"/>
    <col min="15645" max="15646" width="9.625" style="955" customWidth="1"/>
    <col min="15647" max="15647" width="11.00390625" style="955" bestFit="1" customWidth="1"/>
    <col min="15648" max="15649" width="9.00390625" style="955" hidden="1" customWidth="1"/>
    <col min="15650" max="15870" width="9.125" style="955" customWidth="1"/>
    <col min="15871" max="15871" width="16.375" style="955" customWidth="1"/>
    <col min="15872" max="15872" width="9.25390625" style="955" customWidth="1"/>
    <col min="15873" max="15873" width="8.25390625" style="955" bestFit="1" customWidth="1"/>
    <col min="15874" max="15874" width="8.375" style="955" customWidth="1"/>
    <col min="15875" max="15876" width="9.00390625" style="955" customWidth="1"/>
    <col min="15877" max="15877" width="8.125" style="955" customWidth="1"/>
    <col min="15878" max="15881" width="7.125" style="955" customWidth="1"/>
    <col min="15882" max="15882" width="8.625" style="955" customWidth="1"/>
    <col min="15883" max="15883" width="8.75390625" style="955" customWidth="1"/>
    <col min="15884" max="15884" width="7.00390625" style="955" customWidth="1"/>
    <col min="15885" max="15885" width="8.875" style="955" customWidth="1"/>
    <col min="15886" max="15886" width="7.625" style="955" customWidth="1"/>
    <col min="15887" max="15887" width="7.75390625" style="955" customWidth="1"/>
    <col min="15888" max="15888" width="8.125" style="955" customWidth="1"/>
    <col min="15889" max="15889" width="12.625" style="955" bestFit="1" customWidth="1"/>
    <col min="15890" max="15890" width="9.75390625" style="955" customWidth="1"/>
    <col min="15891" max="15891" width="9.125" style="955" customWidth="1"/>
    <col min="15892" max="15892" width="16.625" style="955" customWidth="1"/>
    <col min="15893" max="15893" width="10.625" style="955" customWidth="1"/>
    <col min="15894" max="15894" width="9.125" style="955" customWidth="1"/>
    <col min="15895" max="15896" width="10.00390625" style="955" bestFit="1" customWidth="1"/>
    <col min="15897" max="15897" width="9.125" style="955" customWidth="1"/>
    <col min="15898" max="15898" width="10.875" style="955" customWidth="1"/>
    <col min="15899" max="15899" width="8.875" style="955" customWidth="1"/>
    <col min="15900" max="15900" width="8.75390625" style="955" customWidth="1"/>
    <col min="15901" max="15902" width="9.625" style="955" customWidth="1"/>
    <col min="15903" max="15903" width="11.00390625" style="955" bestFit="1" customWidth="1"/>
    <col min="15904" max="15905" width="9.00390625" style="955" hidden="1" customWidth="1"/>
    <col min="15906" max="16126" width="9.125" style="955" customWidth="1"/>
    <col min="16127" max="16127" width="16.375" style="955" customWidth="1"/>
    <col min="16128" max="16128" width="9.25390625" style="955" customWidth="1"/>
    <col min="16129" max="16129" width="8.25390625" style="955" bestFit="1" customWidth="1"/>
    <col min="16130" max="16130" width="8.375" style="955" customWidth="1"/>
    <col min="16131" max="16132" width="9.00390625" style="955" customWidth="1"/>
    <col min="16133" max="16133" width="8.125" style="955" customWidth="1"/>
    <col min="16134" max="16137" width="7.125" style="955" customWidth="1"/>
    <col min="16138" max="16138" width="8.625" style="955" customWidth="1"/>
    <col min="16139" max="16139" width="8.75390625" style="955" customWidth="1"/>
    <col min="16140" max="16140" width="7.00390625" style="955" customWidth="1"/>
    <col min="16141" max="16141" width="8.875" style="955" customWidth="1"/>
    <col min="16142" max="16142" width="7.625" style="955" customWidth="1"/>
    <col min="16143" max="16143" width="7.75390625" style="955" customWidth="1"/>
    <col min="16144" max="16144" width="8.125" style="955" customWidth="1"/>
    <col min="16145" max="16145" width="12.625" style="955" bestFit="1" customWidth="1"/>
    <col min="16146" max="16146" width="9.75390625" style="955" customWidth="1"/>
    <col min="16147" max="16147" width="9.125" style="955" customWidth="1"/>
    <col min="16148" max="16148" width="16.625" style="955" customWidth="1"/>
    <col min="16149" max="16149" width="10.625" style="955" customWidth="1"/>
    <col min="16150" max="16150" width="9.125" style="955" customWidth="1"/>
    <col min="16151" max="16152" width="10.00390625" style="955" bestFit="1" customWidth="1"/>
    <col min="16153" max="16153" width="9.125" style="955" customWidth="1"/>
    <col min="16154" max="16154" width="10.875" style="955" customWidth="1"/>
    <col min="16155" max="16155" width="8.875" style="955" customWidth="1"/>
    <col min="16156" max="16156" width="8.75390625" style="955" customWidth="1"/>
    <col min="16157" max="16158" width="9.625" style="955" customWidth="1"/>
    <col min="16159" max="16159" width="11.00390625" style="955" bestFit="1" customWidth="1"/>
    <col min="16160" max="16161" width="9.00390625" style="955" hidden="1" customWidth="1"/>
    <col min="16162" max="16384" width="9.125" style="955" customWidth="1"/>
  </cols>
  <sheetData>
    <row r="1" spans="1:31" ht="18" customHeight="1">
      <c r="A1" s="1099" t="s">
        <v>1043</v>
      </c>
      <c r="B1" s="1099"/>
      <c r="C1" s="1099"/>
      <c r="D1" s="1099"/>
      <c r="E1" s="1099"/>
      <c r="F1" s="1099"/>
      <c r="G1" s="1099"/>
      <c r="H1" s="1099"/>
      <c r="I1" s="1099"/>
      <c r="J1" s="1099"/>
      <c r="K1" s="1099"/>
      <c r="L1" s="1099"/>
      <c r="M1" s="1099"/>
      <c r="N1" s="1099"/>
      <c r="O1" s="1099"/>
      <c r="P1" s="1099"/>
      <c r="Q1" s="1099"/>
      <c r="R1" s="1099"/>
      <c r="S1" s="1099"/>
      <c r="T1" s="1099"/>
      <c r="U1" s="1099"/>
      <c r="V1" s="1100" t="s">
        <v>160</v>
      </c>
      <c r="W1" s="1100"/>
      <c r="X1" s="1100"/>
      <c r="Y1" s="1100"/>
      <c r="Z1" s="1100"/>
      <c r="AA1" s="1100"/>
      <c r="AB1" s="1100"/>
      <c r="AC1" s="1100"/>
      <c r="AD1" s="1100"/>
      <c r="AE1" s="1100"/>
    </row>
    <row r="2" spans="1:31" ht="18" customHeight="1">
      <c r="A2" s="948"/>
      <c r="B2" s="948"/>
      <c r="C2" s="948"/>
      <c r="D2" s="948"/>
      <c r="E2" s="948"/>
      <c r="F2" s="948"/>
      <c r="G2" s="948"/>
      <c r="H2" s="948"/>
      <c r="I2" s="948"/>
      <c r="J2" s="948"/>
      <c r="K2" s="948"/>
      <c r="L2" s="948"/>
      <c r="M2" s="948"/>
      <c r="N2" s="948"/>
      <c r="O2" s="948"/>
      <c r="P2" s="948"/>
      <c r="Q2" s="948"/>
      <c r="R2" s="948"/>
      <c r="S2" s="948"/>
      <c r="T2" s="948"/>
      <c r="U2" s="948"/>
      <c r="V2" s="949"/>
      <c r="W2" s="949"/>
      <c r="X2" s="949"/>
      <c r="Y2" s="949"/>
      <c r="Z2" s="949"/>
      <c r="AA2" s="949"/>
      <c r="AB2" s="949"/>
      <c r="AC2" s="949"/>
      <c r="AD2" s="949"/>
      <c r="AE2" s="949"/>
    </row>
    <row r="3" spans="1:31" ht="12.75" customHeight="1">
      <c r="A3" s="1101" t="s">
        <v>161</v>
      </c>
      <c r="B3" s="1101" t="s">
        <v>162</v>
      </c>
      <c r="C3" s="1102" t="s">
        <v>1075</v>
      </c>
      <c r="D3" s="1110" t="s">
        <v>22</v>
      </c>
      <c r="E3" s="1111"/>
      <c r="F3" s="1111"/>
      <c r="G3" s="1111"/>
      <c r="H3" s="1111"/>
      <c r="I3" s="1111"/>
      <c r="J3" s="1111"/>
      <c r="K3" s="1112"/>
      <c r="L3" s="1101" t="s">
        <v>163</v>
      </c>
      <c r="M3" s="1101"/>
      <c r="N3" s="1101"/>
      <c r="O3" s="1101"/>
      <c r="P3" s="1101" t="s">
        <v>760</v>
      </c>
      <c r="Q3" s="1101" t="s">
        <v>164</v>
      </c>
      <c r="R3" s="1101"/>
      <c r="S3" s="1101" t="s">
        <v>957</v>
      </c>
      <c r="T3" s="1101" t="s">
        <v>165</v>
      </c>
      <c r="U3" s="1101" t="s">
        <v>761</v>
      </c>
      <c r="V3" s="1101" t="s">
        <v>161</v>
      </c>
      <c r="W3" s="1101" t="s">
        <v>162</v>
      </c>
      <c r="X3" s="1101" t="s">
        <v>1075</v>
      </c>
      <c r="Y3" s="1103" t="s">
        <v>114</v>
      </c>
      <c r="Z3" s="1103"/>
      <c r="AA3" s="1103"/>
      <c r="AB3" s="1103"/>
      <c r="AC3" s="1103" t="s">
        <v>115</v>
      </c>
      <c r="AD3" s="1103"/>
      <c r="AE3" s="1101" t="s">
        <v>166</v>
      </c>
    </row>
    <row r="4" spans="1:33" ht="89.25" customHeight="1">
      <c r="A4" s="1101"/>
      <c r="B4" s="1101"/>
      <c r="C4" s="1102"/>
      <c r="D4" s="947" t="s">
        <v>958</v>
      </c>
      <c r="E4" s="947" t="s">
        <v>762</v>
      </c>
      <c r="F4" s="947" t="s">
        <v>1124</v>
      </c>
      <c r="G4" s="947" t="s">
        <v>30</v>
      </c>
      <c r="H4" s="947" t="s">
        <v>167</v>
      </c>
      <c r="I4" s="947" t="s">
        <v>1123</v>
      </c>
      <c r="J4" s="947" t="s">
        <v>1122</v>
      </c>
      <c r="K4" s="947" t="s">
        <v>1044</v>
      </c>
      <c r="L4" s="947" t="s">
        <v>1090</v>
      </c>
      <c r="M4" s="947" t="s">
        <v>1091</v>
      </c>
      <c r="N4" s="947" t="s">
        <v>1076</v>
      </c>
      <c r="O4" s="947" t="s">
        <v>1092</v>
      </c>
      <c r="P4" s="1101"/>
      <c r="Q4" s="947" t="s">
        <v>1121</v>
      </c>
      <c r="R4" s="947" t="s">
        <v>1077</v>
      </c>
      <c r="S4" s="1101"/>
      <c r="T4" s="1101"/>
      <c r="U4" s="1101"/>
      <c r="V4" s="1101"/>
      <c r="W4" s="1101"/>
      <c r="X4" s="1101"/>
      <c r="Y4" s="947" t="s">
        <v>168</v>
      </c>
      <c r="Z4" s="947" t="s">
        <v>169</v>
      </c>
      <c r="AA4" s="947" t="s">
        <v>116</v>
      </c>
      <c r="AB4" s="947" t="s">
        <v>170</v>
      </c>
      <c r="AC4" s="947" t="s">
        <v>70</v>
      </c>
      <c r="AD4" s="947" t="s">
        <v>72</v>
      </c>
      <c r="AE4" s="1101"/>
      <c r="AG4" s="956" t="s">
        <v>316</v>
      </c>
    </row>
    <row r="5" spans="1:33" ht="12.75">
      <c r="A5" s="1104" t="s">
        <v>171</v>
      </c>
      <c r="B5" s="957" t="s">
        <v>121</v>
      </c>
      <c r="C5" s="958" t="s">
        <v>4</v>
      </c>
      <c r="D5" s="958"/>
      <c r="E5" s="959">
        <v>970</v>
      </c>
      <c r="F5" s="959"/>
      <c r="G5" s="959">
        <v>1596</v>
      </c>
      <c r="H5" s="959">
        <v>693</v>
      </c>
      <c r="I5" s="959"/>
      <c r="J5" s="959"/>
      <c r="K5" s="959"/>
      <c r="L5" s="959">
        <v>0</v>
      </c>
      <c r="M5" s="959">
        <v>0</v>
      </c>
      <c r="N5" s="959">
        <v>0</v>
      </c>
      <c r="O5" s="959">
        <v>0</v>
      </c>
      <c r="P5" s="959">
        <v>0</v>
      </c>
      <c r="Q5" s="959">
        <v>0</v>
      </c>
      <c r="R5" s="959">
        <v>0</v>
      </c>
      <c r="S5" s="959">
        <v>92135</v>
      </c>
      <c r="T5" s="959">
        <f aca="true" t="shared" si="0" ref="T5:T8">SUM(D5:R5)</f>
        <v>3259</v>
      </c>
      <c r="U5" s="960">
        <f aca="true" t="shared" si="1" ref="U5:U43">SUM(S5:T5)</f>
        <v>95394</v>
      </c>
      <c r="V5" s="1107" t="s">
        <v>171</v>
      </c>
      <c r="W5" s="957" t="s">
        <v>121</v>
      </c>
      <c r="X5" s="958" t="s">
        <v>4</v>
      </c>
      <c r="Y5" s="959">
        <v>60939</v>
      </c>
      <c r="Z5" s="959">
        <v>16348</v>
      </c>
      <c r="AA5" s="959">
        <v>17622</v>
      </c>
      <c r="AB5" s="959">
        <v>7316</v>
      </c>
      <c r="AC5" s="959">
        <v>485</v>
      </c>
      <c r="AD5" s="959">
        <v>0</v>
      </c>
      <c r="AE5" s="960">
        <f aca="true" t="shared" si="2" ref="AE5:AE43">SUM(Y5:AD5)-AB5</f>
        <v>95394</v>
      </c>
      <c r="AG5" s="961">
        <v>95394</v>
      </c>
    </row>
    <row r="6" spans="1:33" ht="12.75" customHeight="1">
      <c r="A6" s="1105"/>
      <c r="B6" s="957" t="s">
        <v>121</v>
      </c>
      <c r="C6" s="958" t="s">
        <v>565</v>
      </c>
      <c r="D6" s="958"/>
      <c r="E6" s="959">
        <v>970</v>
      </c>
      <c r="F6" s="959"/>
      <c r="G6" s="959">
        <v>1596</v>
      </c>
      <c r="H6" s="959">
        <v>693</v>
      </c>
      <c r="I6" s="959"/>
      <c r="J6" s="959"/>
      <c r="K6" s="959"/>
      <c r="L6" s="959">
        <v>0</v>
      </c>
      <c r="M6" s="959">
        <v>0</v>
      </c>
      <c r="N6" s="959">
        <v>0</v>
      </c>
      <c r="O6" s="959">
        <v>0</v>
      </c>
      <c r="P6" s="959">
        <v>0</v>
      </c>
      <c r="Q6" s="959">
        <v>0</v>
      </c>
      <c r="R6" s="959">
        <v>0</v>
      </c>
      <c r="S6" s="959">
        <v>92252</v>
      </c>
      <c r="T6" s="959">
        <f t="shared" si="0"/>
        <v>3259</v>
      </c>
      <c r="U6" s="960">
        <f t="shared" si="1"/>
        <v>95511</v>
      </c>
      <c r="V6" s="1108"/>
      <c r="W6" s="957" t="s">
        <v>121</v>
      </c>
      <c r="X6" s="958" t="s">
        <v>565</v>
      </c>
      <c r="Y6" s="959">
        <v>61031</v>
      </c>
      <c r="Z6" s="959">
        <v>16373</v>
      </c>
      <c r="AA6" s="959">
        <v>17622</v>
      </c>
      <c r="AB6" s="959">
        <v>7316</v>
      </c>
      <c r="AC6" s="959">
        <v>485</v>
      </c>
      <c r="AD6" s="959">
        <v>0</v>
      </c>
      <c r="AE6" s="960">
        <f t="shared" si="2"/>
        <v>95511</v>
      </c>
      <c r="AG6" s="961"/>
    </row>
    <row r="7" spans="1:33" ht="12.75" customHeight="1">
      <c r="A7" s="1105"/>
      <c r="B7" s="957" t="s">
        <v>121</v>
      </c>
      <c r="C7" s="962" t="s">
        <v>763</v>
      </c>
      <c r="D7" s="962"/>
      <c r="E7" s="959">
        <v>970</v>
      </c>
      <c r="F7" s="959"/>
      <c r="G7" s="959">
        <v>1596</v>
      </c>
      <c r="H7" s="959">
        <v>693</v>
      </c>
      <c r="I7" s="959"/>
      <c r="J7" s="959"/>
      <c r="K7" s="959"/>
      <c r="L7" s="959">
        <v>0</v>
      </c>
      <c r="M7" s="959">
        <v>0</v>
      </c>
      <c r="N7" s="959">
        <v>0</v>
      </c>
      <c r="O7" s="959">
        <v>0</v>
      </c>
      <c r="P7" s="959">
        <v>0</v>
      </c>
      <c r="Q7" s="959">
        <v>2948</v>
      </c>
      <c r="R7" s="959">
        <v>0</v>
      </c>
      <c r="S7" s="959">
        <v>90833</v>
      </c>
      <c r="T7" s="959">
        <f t="shared" si="0"/>
        <v>6207</v>
      </c>
      <c r="U7" s="960">
        <f t="shared" si="1"/>
        <v>97040</v>
      </c>
      <c r="V7" s="1108"/>
      <c r="W7" s="957" t="s">
        <v>121</v>
      </c>
      <c r="X7" s="958" t="s">
        <v>763</v>
      </c>
      <c r="Y7" s="959">
        <v>62156</v>
      </c>
      <c r="Z7" s="959">
        <v>16677</v>
      </c>
      <c r="AA7" s="959">
        <v>17722</v>
      </c>
      <c r="AB7" s="959">
        <v>7316</v>
      </c>
      <c r="AC7" s="959">
        <v>485</v>
      </c>
      <c r="AD7" s="959">
        <v>0</v>
      </c>
      <c r="AE7" s="960">
        <f t="shared" si="2"/>
        <v>97040</v>
      </c>
      <c r="AG7" s="961"/>
    </row>
    <row r="8" spans="1:33" ht="12.75" customHeight="1">
      <c r="A8" s="1105"/>
      <c r="B8" s="957" t="s">
        <v>121</v>
      </c>
      <c r="C8" s="962" t="s">
        <v>924</v>
      </c>
      <c r="D8" s="962"/>
      <c r="E8" s="959">
        <v>970</v>
      </c>
      <c r="F8" s="959"/>
      <c r="G8" s="959">
        <v>1596</v>
      </c>
      <c r="H8" s="959">
        <v>693</v>
      </c>
      <c r="I8" s="959"/>
      <c r="J8" s="959"/>
      <c r="K8" s="959"/>
      <c r="L8" s="959">
        <v>0</v>
      </c>
      <c r="M8" s="959">
        <v>0</v>
      </c>
      <c r="N8" s="959">
        <v>0</v>
      </c>
      <c r="O8" s="959">
        <v>0</v>
      </c>
      <c r="P8" s="959">
        <v>0</v>
      </c>
      <c r="Q8" s="959">
        <v>2948</v>
      </c>
      <c r="R8" s="959">
        <v>0</v>
      </c>
      <c r="S8" s="959">
        <v>91518</v>
      </c>
      <c r="T8" s="959">
        <f t="shared" si="0"/>
        <v>6207</v>
      </c>
      <c r="U8" s="960">
        <f t="shared" si="1"/>
        <v>97725</v>
      </c>
      <c r="V8" s="1108"/>
      <c r="W8" s="957" t="s">
        <v>121</v>
      </c>
      <c r="X8" s="962" t="s">
        <v>924</v>
      </c>
      <c r="Y8" s="959">
        <v>62680</v>
      </c>
      <c r="Z8" s="959">
        <v>16838</v>
      </c>
      <c r="AA8" s="959">
        <v>17722</v>
      </c>
      <c r="AB8" s="959">
        <v>7316</v>
      </c>
      <c r="AC8" s="959">
        <v>485</v>
      </c>
      <c r="AD8" s="959">
        <v>0</v>
      </c>
      <c r="AE8" s="960">
        <f t="shared" si="2"/>
        <v>97725</v>
      </c>
      <c r="AG8" s="961"/>
    </row>
    <row r="9" spans="1:33" ht="12.75" customHeight="1">
      <c r="A9" s="1106"/>
      <c r="B9" s="957" t="s">
        <v>121</v>
      </c>
      <c r="C9" s="962" t="s">
        <v>1045</v>
      </c>
      <c r="D9" s="962"/>
      <c r="E9" s="959">
        <v>970</v>
      </c>
      <c r="F9" s="959"/>
      <c r="G9" s="959">
        <v>1596</v>
      </c>
      <c r="H9" s="959">
        <v>693</v>
      </c>
      <c r="I9" s="959">
        <v>28</v>
      </c>
      <c r="J9" s="959"/>
      <c r="K9" s="959"/>
      <c r="L9" s="959">
        <v>0</v>
      </c>
      <c r="M9" s="959">
        <v>0</v>
      </c>
      <c r="N9" s="959">
        <v>0</v>
      </c>
      <c r="O9" s="959">
        <v>0</v>
      </c>
      <c r="P9" s="959">
        <v>0</v>
      </c>
      <c r="Q9" s="959">
        <v>2948</v>
      </c>
      <c r="R9" s="959">
        <v>0</v>
      </c>
      <c r="S9" s="959">
        <v>90068</v>
      </c>
      <c r="T9" s="959">
        <f aca="true" t="shared" si="3" ref="T9:T43">SUM(D9:R9)</f>
        <v>6235</v>
      </c>
      <c r="U9" s="960">
        <f t="shared" si="1"/>
        <v>96303</v>
      </c>
      <c r="V9" s="1109"/>
      <c r="W9" s="957" t="s">
        <v>121</v>
      </c>
      <c r="X9" s="962" t="s">
        <v>1045</v>
      </c>
      <c r="Y9" s="959">
        <v>62715</v>
      </c>
      <c r="Z9" s="959">
        <v>16853</v>
      </c>
      <c r="AA9" s="959">
        <v>16250</v>
      </c>
      <c r="AB9" s="959">
        <v>7316</v>
      </c>
      <c r="AC9" s="959">
        <v>485</v>
      </c>
      <c r="AD9" s="959">
        <v>0</v>
      </c>
      <c r="AE9" s="960">
        <f t="shared" si="2"/>
        <v>96303</v>
      </c>
      <c r="AG9" s="961"/>
    </row>
    <row r="10" spans="1:33" ht="12.75">
      <c r="A10" s="1104" t="s">
        <v>172</v>
      </c>
      <c r="B10" s="957" t="s">
        <v>121</v>
      </c>
      <c r="C10" s="958" t="s">
        <v>4</v>
      </c>
      <c r="D10" s="958"/>
      <c r="E10" s="959">
        <v>126</v>
      </c>
      <c r="F10" s="959"/>
      <c r="G10" s="959">
        <v>2056</v>
      </c>
      <c r="H10" s="959">
        <v>889</v>
      </c>
      <c r="I10" s="959"/>
      <c r="J10" s="959"/>
      <c r="K10" s="959"/>
      <c r="L10" s="959">
        <v>0</v>
      </c>
      <c r="M10" s="959">
        <v>0</v>
      </c>
      <c r="N10" s="959">
        <v>0</v>
      </c>
      <c r="O10" s="959">
        <v>0</v>
      </c>
      <c r="P10" s="959">
        <v>0</v>
      </c>
      <c r="Q10" s="959">
        <v>0</v>
      </c>
      <c r="R10" s="959">
        <v>0</v>
      </c>
      <c r="S10" s="959">
        <v>72982</v>
      </c>
      <c r="T10" s="959">
        <f t="shared" si="3"/>
        <v>3071</v>
      </c>
      <c r="U10" s="960">
        <f t="shared" si="1"/>
        <v>76053</v>
      </c>
      <c r="V10" s="1107" t="s">
        <v>172</v>
      </c>
      <c r="W10" s="957" t="s">
        <v>121</v>
      </c>
      <c r="X10" s="958" t="s">
        <v>4</v>
      </c>
      <c r="Y10" s="959">
        <v>49217</v>
      </c>
      <c r="Z10" s="959">
        <v>13204</v>
      </c>
      <c r="AA10" s="959">
        <v>13232</v>
      </c>
      <c r="AB10" s="959">
        <v>6360</v>
      </c>
      <c r="AC10" s="959">
        <v>0</v>
      </c>
      <c r="AD10" s="959">
        <v>400</v>
      </c>
      <c r="AE10" s="960">
        <f t="shared" si="2"/>
        <v>76053</v>
      </c>
      <c r="AG10" s="961">
        <v>76053</v>
      </c>
    </row>
    <row r="11" spans="1:33" ht="12.75">
      <c r="A11" s="1105"/>
      <c r="B11" s="957" t="s">
        <v>121</v>
      </c>
      <c r="C11" s="958" t="s">
        <v>565</v>
      </c>
      <c r="D11" s="958"/>
      <c r="E11" s="959">
        <v>126</v>
      </c>
      <c r="F11" s="959"/>
      <c r="G11" s="959">
        <v>2056</v>
      </c>
      <c r="H11" s="959">
        <v>889</v>
      </c>
      <c r="I11" s="959"/>
      <c r="J11" s="959"/>
      <c r="K11" s="959"/>
      <c r="L11" s="959">
        <v>0</v>
      </c>
      <c r="M11" s="959">
        <v>0</v>
      </c>
      <c r="N11" s="959">
        <v>0</v>
      </c>
      <c r="O11" s="959">
        <v>0</v>
      </c>
      <c r="P11" s="959">
        <v>0</v>
      </c>
      <c r="Q11" s="959">
        <v>0</v>
      </c>
      <c r="R11" s="959">
        <v>0</v>
      </c>
      <c r="S11" s="959">
        <v>73212</v>
      </c>
      <c r="T11" s="959">
        <f t="shared" si="3"/>
        <v>3071</v>
      </c>
      <c r="U11" s="960">
        <f t="shared" si="1"/>
        <v>76283</v>
      </c>
      <c r="V11" s="1108"/>
      <c r="W11" s="957" t="s">
        <v>121</v>
      </c>
      <c r="X11" s="958" t="s">
        <v>565</v>
      </c>
      <c r="Y11" s="959">
        <v>49398</v>
      </c>
      <c r="Z11" s="959">
        <v>13253</v>
      </c>
      <c r="AA11" s="959">
        <v>13232</v>
      </c>
      <c r="AB11" s="959">
        <v>6360</v>
      </c>
      <c r="AC11" s="959">
        <v>0</v>
      </c>
      <c r="AD11" s="959">
        <v>400</v>
      </c>
      <c r="AE11" s="960">
        <f t="shared" si="2"/>
        <v>76283</v>
      </c>
      <c r="AG11" s="961"/>
    </row>
    <row r="12" spans="1:33" ht="12.75">
      <c r="A12" s="1105"/>
      <c r="B12" s="957" t="s">
        <v>121</v>
      </c>
      <c r="C12" s="962" t="s">
        <v>763</v>
      </c>
      <c r="D12" s="962"/>
      <c r="E12" s="959">
        <v>126</v>
      </c>
      <c r="F12" s="959"/>
      <c r="G12" s="959">
        <v>2056</v>
      </c>
      <c r="H12" s="959">
        <v>889</v>
      </c>
      <c r="I12" s="959"/>
      <c r="J12" s="959"/>
      <c r="K12" s="959"/>
      <c r="L12" s="959">
        <v>0</v>
      </c>
      <c r="M12" s="959">
        <v>0</v>
      </c>
      <c r="N12" s="959">
        <v>0</v>
      </c>
      <c r="O12" s="959">
        <v>0</v>
      </c>
      <c r="P12" s="959">
        <v>0</v>
      </c>
      <c r="Q12" s="959">
        <v>3156</v>
      </c>
      <c r="R12" s="959">
        <v>0</v>
      </c>
      <c r="S12" s="959">
        <v>71250</v>
      </c>
      <c r="T12" s="959">
        <f t="shared" si="3"/>
        <v>6227</v>
      </c>
      <c r="U12" s="960">
        <f t="shared" si="1"/>
        <v>77477</v>
      </c>
      <c r="V12" s="1108"/>
      <c r="W12" s="957" t="s">
        <v>121</v>
      </c>
      <c r="X12" s="958" t="s">
        <v>763</v>
      </c>
      <c r="Y12" s="959">
        <v>50338</v>
      </c>
      <c r="Z12" s="959">
        <v>13507</v>
      </c>
      <c r="AA12" s="959">
        <v>12882</v>
      </c>
      <c r="AB12" s="959">
        <v>6360</v>
      </c>
      <c r="AC12" s="959">
        <v>10</v>
      </c>
      <c r="AD12" s="959">
        <v>740</v>
      </c>
      <c r="AE12" s="960">
        <f t="shared" si="2"/>
        <v>77477</v>
      </c>
      <c r="AG12" s="961"/>
    </row>
    <row r="13" spans="1:33" ht="12.75">
      <c r="A13" s="1105"/>
      <c r="B13" s="957" t="s">
        <v>121</v>
      </c>
      <c r="C13" s="962" t="s">
        <v>924</v>
      </c>
      <c r="D13" s="962"/>
      <c r="E13" s="959">
        <v>126</v>
      </c>
      <c r="F13" s="959"/>
      <c r="G13" s="959">
        <v>2056</v>
      </c>
      <c r="H13" s="959">
        <v>889</v>
      </c>
      <c r="I13" s="959"/>
      <c r="J13" s="959"/>
      <c r="K13" s="959"/>
      <c r="L13" s="959">
        <v>0</v>
      </c>
      <c r="M13" s="959">
        <v>0</v>
      </c>
      <c r="N13" s="959">
        <v>0</v>
      </c>
      <c r="O13" s="959">
        <v>0</v>
      </c>
      <c r="P13" s="959">
        <v>0</v>
      </c>
      <c r="Q13" s="959">
        <v>3156</v>
      </c>
      <c r="R13" s="959">
        <v>0</v>
      </c>
      <c r="S13" s="959">
        <v>72597</v>
      </c>
      <c r="T13" s="959">
        <f t="shared" si="3"/>
        <v>6227</v>
      </c>
      <c r="U13" s="960">
        <f t="shared" si="1"/>
        <v>78824</v>
      </c>
      <c r="V13" s="1108"/>
      <c r="W13" s="957" t="s">
        <v>121</v>
      </c>
      <c r="X13" s="962" t="s">
        <v>924</v>
      </c>
      <c r="Y13" s="959">
        <v>51144</v>
      </c>
      <c r="Z13" s="959">
        <v>13798</v>
      </c>
      <c r="AA13" s="959">
        <v>13051</v>
      </c>
      <c r="AB13" s="959">
        <v>6360</v>
      </c>
      <c r="AC13" s="959">
        <v>91</v>
      </c>
      <c r="AD13" s="959">
        <v>740</v>
      </c>
      <c r="AE13" s="960">
        <f t="shared" si="2"/>
        <v>78824</v>
      </c>
      <c r="AG13" s="961"/>
    </row>
    <row r="14" spans="1:33" ht="12.75">
      <c r="A14" s="1106"/>
      <c r="B14" s="957" t="s">
        <v>121</v>
      </c>
      <c r="C14" s="962" t="s">
        <v>1045</v>
      </c>
      <c r="D14" s="962"/>
      <c r="E14" s="959">
        <v>126</v>
      </c>
      <c r="F14" s="959"/>
      <c r="G14" s="959">
        <v>2056</v>
      </c>
      <c r="H14" s="959">
        <v>889</v>
      </c>
      <c r="I14" s="959"/>
      <c r="J14" s="959"/>
      <c r="K14" s="959"/>
      <c r="L14" s="959">
        <v>0</v>
      </c>
      <c r="M14" s="959">
        <v>0</v>
      </c>
      <c r="N14" s="959">
        <v>0</v>
      </c>
      <c r="O14" s="959">
        <v>0</v>
      </c>
      <c r="P14" s="959">
        <v>0</v>
      </c>
      <c r="Q14" s="959">
        <v>3156</v>
      </c>
      <c r="R14" s="959">
        <v>0</v>
      </c>
      <c r="S14" s="959">
        <v>72716</v>
      </c>
      <c r="T14" s="959">
        <f t="shared" si="3"/>
        <v>6227</v>
      </c>
      <c r="U14" s="960">
        <f t="shared" si="1"/>
        <v>78943</v>
      </c>
      <c r="V14" s="1109"/>
      <c r="W14" s="957" t="s">
        <v>121</v>
      </c>
      <c r="X14" s="962" t="s">
        <v>1045</v>
      </c>
      <c r="Y14" s="959">
        <v>51227</v>
      </c>
      <c r="Z14" s="959">
        <v>13834</v>
      </c>
      <c r="AA14" s="959">
        <v>13051</v>
      </c>
      <c r="AB14" s="959">
        <v>6360</v>
      </c>
      <c r="AC14" s="959">
        <v>91</v>
      </c>
      <c r="AD14" s="959">
        <v>740</v>
      </c>
      <c r="AE14" s="960">
        <f t="shared" si="2"/>
        <v>78943</v>
      </c>
      <c r="AG14" s="961"/>
    </row>
    <row r="15" spans="1:33" ht="12.75" customHeight="1">
      <c r="A15" s="1104" t="s">
        <v>173</v>
      </c>
      <c r="B15" s="957" t="s">
        <v>121</v>
      </c>
      <c r="C15" s="958" t="s">
        <v>4</v>
      </c>
      <c r="D15" s="958"/>
      <c r="E15" s="959">
        <v>0</v>
      </c>
      <c r="F15" s="959"/>
      <c r="G15" s="959">
        <v>546</v>
      </c>
      <c r="H15" s="959">
        <v>147</v>
      </c>
      <c r="I15" s="959"/>
      <c r="J15" s="959"/>
      <c r="K15" s="959"/>
      <c r="L15" s="959">
        <v>0</v>
      </c>
      <c r="M15" s="959">
        <v>0</v>
      </c>
      <c r="N15" s="959">
        <v>0</v>
      </c>
      <c r="O15" s="959">
        <v>0</v>
      </c>
      <c r="P15" s="959">
        <v>0</v>
      </c>
      <c r="Q15" s="959">
        <v>0</v>
      </c>
      <c r="R15" s="959">
        <v>0</v>
      </c>
      <c r="S15" s="959">
        <v>16351</v>
      </c>
      <c r="T15" s="959">
        <f t="shared" si="3"/>
        <v>693</v>
      </c>
      <c r="U15" s="960">
        <f t="shared" si="1"/>
        <v>17044</v>
      </c>
      <c r="V15" s="1104" t="s">
        <v>173</v>
      </c>
      <c r="W15" s="957" t="s">
        <v>121</v>
      </c>
      <c r="X15" s="958" t="s">
        <v>4</v>
      </c>
      <c r="Y15" s="959">
        <v>9871</v>
      </c>
      <c r="Z15" s="959">
        <v>2665</v>
      </c>
      <c r="AA15" s="959">
        <v>4258</v>
      </c>
      <c r="AB15" s="959">
        <v>1399</v>
      </c>
      <c r="AC15" s="959">
        <v>250</v>
      </c>
      <c r="AD15" s="959">
        <v>0</v>
      </c>
      <c r="AE15" s="960">
        <f t="shared" si="2"/>
        <v>17044</v>
      </c>
      <c r="AF15" s="959">
        <v>0</v>
      </c>
      <c r="AG15" s="959">
        <v>0</v>
      </c>
    </row>
    <row r="16" spans="1:33" ht="12.75">
      <c r="A16" s="1105"/>
      <c r="B16" s="957" t="s">
        <v>121</v>
      </c>
      <c r="C16" s="958" t="s">
        <v>565</v>
      </c>
      <c r="D16" s="958"/>
      <c r="E16" s="959">
        <v>0</v>
      </c>
      <c r="F16" s="959"/>
      <c r="G16" s="959">
        <v>546</v>
      </c>
      <c r="H16" s="959">
        <v>147</v>
      </c>
      <c r="I16" s="959"/>
      <c r="J16" s="959"/>
      <c r="K16" s="959"/>
      <c r="L16" s="959">
        <v>0</v>
      </c>
      <c r="M16" s="959">
        <v>0</v>
      </c>
      <c r="N16" s="959">
        <v>0</v>
      </c>
      <c r="O16" s="959">
        <v>0</v>
      </c>
      <c r="P16" s="959">
        <v>0</v>
      </c>
      <c r="Q16" s="959">
        <v>0</v>
      </c>
      <c r="R16" s="959">
        <v>0</v>
      </c>
      <c r="S16" s="959">
        <v>16351</v>
      </c>
      <c r="T16" s="959">
        <f t="shared" si="3"/>
        <v>693</v>
      </c>
      <c r="U16" s="960">
        <f t="shared" si="1"/>
        <v>17044</v>
      </c>
      <c r="V16" s="1105"/>
      <c r="W16" s="957" t="s">
        <v>121</v>
      </c>
      <c r="X16" s="958" t="s">
        <v>565</v>
      </c>
      <c r="Y16" s="959">
        <v>9871</v>
      </c>
      <c r="Z16" s="959">
        <v>2665</v>
      </c>
      <c r="AA16" s="959">
        <v>4258</v>
      </c>
      <c r="AB16" s="959">
        <v>1399</v>
      </c>
      <c r="AC16" s="959">
        <v>250</v>
      </c>
      <c r="AD16" s="959">
        <v>0</v>
      </c>
      <c r="AE16" s="960">
        <f t="shared" si="2"/>
        <v>17044</v>
      </c>
      <c r="AF16" s="963"/>
      <c r="AG16" s="963"/>
    </row>
    <row r="17" spans="1:33" ht="12.75">
      <c r="A17" s="1105"/>
      <c r="B17" s="957" t="s">
        <v>121</v>
      </c>
      <c r="C17" s="962" t="s">
        <v>763</v>
      </c>
      <c r="D17" s="962"/>
      <c r="E17" s="959">
        <v>0</v>
      </c>
      <c r="F17" s="959"/>
      <c r="G17" s="959">
        <v>546</v>
      </c>
      <c r="H17" s="959">
        <v>147</v>
      </c>
      <c r="I17" s="959"/>
      <c r="J17" s="959"/>
      <c r="K17" s="959"/>
      <c r="L17" s="959">
        <v>0</v>
      </c>
      <c r="M17" s="959"/>
      <c r="N17" s="959">
        <v>0</v>
      </c>
      <c r="O17" s="959">
        <v>0</v>
      </c>
      <c r="P17" s="959">
        <v>0</v>
      </c>
      <c r="Q17" s="959">
        <v>0</v>
      </c>
      <c r="R17" s="959">
        <v>0</v>
      </c>
      <c r="S17" s="959">
        <v>16775</v>
      </c>
      <c r="T17" s="959">
        <f t="shared" si="3"/>
        <v>693</v>
      </c>
      <c r="U17" s="960">
        <f t="shared" si="1"/>
        <v>17468</v>
      </c>
      <c r="V17" s="1105"/>
      <c r="W17" s="957" t="s">
        <v>121</v>
      </c>
      <c r="X17" s="958" t="s">
        <v>763</v>
      </c>
      <c r="Y17" s="959">
        <v>10087</v>
      </c>
      <c r="Z17" s="959">
        <v>2723</v>
      </c>
      <c r="AA17" s="959">
        <v>4268</v>
      </c>
      <c r="AB17" s="959">
        <v>1399</v>
      </c>
      <c r="AC17" s="959">
        <v>390</v>
      </c>
      <c r="AD17" s="959">
        <v>0</v>
      </c>
      <c r="AE17" s="960">
        <f t="shared" si="2"/>
        <v>17468</v>
      </c>
      <c r="AF17" s="963"/>
      <c r="AG17" s="963"/>
    </row>
    <row r="18" spans="1:33" ht="12.75">
      <c r="A18" s="1105"/>
      <c r="B18" s="957" t="s">
        <v>121</v>
      </c>
      <c r="C18" s="962" t="s">
        <v>924</v>
      </c>
      <c r="D18" s="962"/>
      <c r="E18" s="959">
        <v>0</v>
      </c>
      <c r="F18" s="959"/>
      <c r="G18" s="959">
        <v>546</v>
      </c>
      <c r="H18" s="959">
        <v>147</v>
      </c>
      <c r="I18" s="959"/>
      <c r="J18" s="959"/>
      <c r="K18" s="959"/>
      <c r="L18" s="959">
        <v>0</v>
      </c>
      <c r="M18" s="959"/>
      <c r="N18" s="959">
        <v>0</v>
      </c>
      <c r="O18" s="959">
        <v>0</v>
      </c>
      <c r="P18" s="959">
        <v>0</v>
      </c>
      <c r="Q18" s="959">
        <v>0</v>
      </c>
      <c r="R18" s="959">
        <v>0</v>
      </c>
      <c r="S18" s="959">
        <v>17165</v>
      </c>
      <c r="T18" s="959">
        <f t="shared" si="3"/>
        <v>693</v>
      </c>
      <c r="U18" s="960">
        <f t="shared" si="1"/>
        <v>17858</v>
      </c>
      <c r="V18" s="1105"/>
      <c r="W18" s="957" t="s">
        <v>121</v>
      </c>
      <c r="X18" s="962" t="s">
        <v>924</v>
      </c>
      <c r="Y18" s="959">
        <v>10387</v>
      </c>
      <c r="Z18" s="959">
        <v>2813</v>
      </c>
      <c r="AA18" s="959">
        <v>4268</v>
      </c>
      <c r="AB18" s="959">
        <v>1399</v>
      </c>
      <c r="AC18" s="959">
        <v>390</v>
      </c>
      <c r="AD18" s="959">
        <v>0</v>
      </c>
      <c r="AE18" s="960">
        <f t="shared" si="2"/>
        <v>17858</v>
      </c>
      <c r="AF18" s="963"/>
      <c r="AG18" s="963"/>
    </row>
    <row r="19" spans="1:33" ht="12.75">
      <c r="A19" s="1106"/>
      <c r="B19" s="957" t="s">
        <v>121</v>
      </c>
      <c r="C19" s="962" t="s">
        <v>1045</v>
      </c>
      <c r="D19" s="962"/>
      <c r="E19" s="959">
        <v>186</v>
      </c>
      <c r="F19" s="959"/>
      <c r="G19" s="959">
        <v>648</v>
      </c>
      <c r="H19" s="959">
        <v>175</v>
      </c>
      <c r="I19" s="959"/>
      <c r="J19" s="959"/>
      <c r="K19" s="959"/>
      <c r="L19" s="959">
        <v>0</v>
      </c>
      <c r="M19" s="959"/>
      <c r="N19" s="959">
        <v>0</v>
      </c>
      <c r="O19" s="959">
        <v>0</v>
      </c>
      <c r="P19" s="959">
        <v>0</v>
      </c>
      <c r="Q19" s="959">
        <v>0</v>
      </c>
      <c r="R19" s="959">
        <v>0</v>
      </c>
      <c r="S19" s="959">
        <v>17165</v>
      </c>
      <c r="T19" s="959">
        <f t="shared" si="3"/>
        <v>1009</v>
      </c>
      <c r="U19" s="960">
        <f t="shared" si="1"/>
        <v>18174</v>
      </c>
      <c r="V19" s="1106"/>
      <c r="W19" s="957" t="s">
        <v>121</v>
      </c>
      <c r="X19" s="962" t="s">
        <v>1045</v>
      </c>
      <c r="Y19" s="959">
        <v>10387</v>
      </c>
      <c r="Z19" s="959">
        <v>2813</v>
      </c>
      <c r="AA19" s="959">
        <v>4529</v>
      </c>
      <c r="AB19" s="959">
        <v>1399</v>
      </c>
      <c r="AC19" s="959">
        <v>445</v>
      </c>
      <c r="AD19" s="959">
        <v>0</v>
      </c>
      <c r="AE19" s="960">
        <f t="shared" si="2"/>
        <v>18174</v>
      </c>
      <c r="AF19" s="963"/>
      <c r="AG19" s="963"/>
    </row>
    <row r="20" spans="1:33" ht="12.75" customHeight="1">
      <c r="A20" s="1104" t="s">
        <v>174</v>
      </c>
      <c r="B20" s="957" t="s">
        <v>121</v>
      </c>
      <c r="C20" s="958" t="s">
        <v>4</v>
      </c>
      <c r="D20" s="958"/>
      <c r="E20" s="959">
        <v>5476</v>
      </c>
      <c r="F20" s="959"/>
      <c r="G20" s="959">
        <v>2626</v>
      </c>
      <c r="H20" s="959">
        <v>2188</v>
      </c>
      <c r="I20" s="959"/>
      <c r="J20" s="959"/>
      <c r="K20" s="959"/>
      <c r="L20" s="959">
        <v>0</v>
      </c>
      <c r="M20" s="959">
        <v>0</v>
      </c>
      <c r="N20" s="959">
        <v>0</v>
      </c>
      <c r="O20" s="959">
        <v>0</v>
      </c>
      <c r="P20" s="959">
        <v>0</v>
      </c>
      <c r="Q20" s="959">
        <v>0</v>
      </c>
      <c r="R20" s="959">
        <v>0</v>
      </c>
      <c r="S20" s="959">
        <v>97728</v>
      </c>
      <c r="T20" s="959">
        <f t="shared" si="3"/>
        <v>10290</v>
      </c>
      <c r="U20" s="960">
        <f t="shared" si="1"/>
        <v>108018</v>
      </c>
      <c r="V20" s="1107" t="s">
        <v>174</v>
      </c>
      <c r="W20" s="957" t="s">
        <v>121</v>
      </c>
      <c r="X20" s="958" t="s">
        <v>4</v>
      </c>
      <c r="Y20" s="959">
        <v>62550</v>
      </c>
      <c r="Z20" s="959">
        <v>16501</v>
      </c>
      <c r="AA20" s="959">
        <v>28290</v>
      </c>
      <c r="AB20" s="959">
        <v>7486</v>
      </c>
      <c r="AC20" s="959">
        <v>0</v>
      </c>
      <c r="AD20" s="959">
        <v>677</v>
      </c>
      <c r="AE20" s="960">
        <f t="shared" si="2"/>
        <v>108018</v>
      </c>
      <c r="AG20" s="961">
        <v>108018</v>
      </c>
    </row>
    <row r="21" spans="1:33" ht="12.75">
      <c r="A21" s="1105"/>
      <c r="B21" s="957" t="s">
        <v>121</v>
      </c>
      <c r="C21" s="958" t="s">
        <v>565</v>
      </c>
      <c r="D21" s="958"/>
      <c r="E21" s="959">
        <v>5476</v>
      </c>
      <c r="F21" s="959"/>
      <c r="G21" s="959">
        <v>2626</v>
      </c>
      <c r="H21" s="959">
        <v>2188</v>
      </c>
      <c r="I21" s="959"/>
      <c r="J21" s="959"/>
      <c r="K21" s="959"/>
      <c r="L21" s="959">
        <v>0</v>
      </c>
      <c r="M21" s="959">
        <v>0</v>
      </c>
      <c r="N21" s="959">
        <v>0</v>
      </c>
      <c r="O21" s="959">
        <v>0</v>
      </c>
      <c r="P21" s="959">
        <v>0</v>
      </c>
      <c r="Q21" s="959">
        <v>0</v>
      </c>
      <c r="R21" s="959">
        <v>0</v>
      </c>
      <c r="S21" s="959">
        <v>97759</v>
      </c>
      <c r="T21" s="959">
        <f t="shared" si="3"/>
        <v>10290</v>
      </c>
      <c r="U21" s="960">
        <f t="shared" si="1"/>
        <v>108049</v>
      </c>
      <c r="V21" s="1108"/>
      <c r="W21" s="957" t="s">
        <v>121</v>
      </c>
      <c r="X21" s="958" t="s">
        <v>565</v>
      </c>
      <c r="Y21" s="959">
        <v>62574</v>
      </c>
      <c r="Z21" s="959">
        <v>16508</v>
      </c>
      <c r="AA21" s="959">
        <v>28262</v>
      </c>
      <c r="AB21" s="959">
        <v>7486</v>
      </c>
      <c r="AC21" s="959">
        <v>28</v>
      </c>
      <c r="AD21" s="959">
        <v>677</v>
      </c>
      <c r="AE21" s="960">
        <f t="shared" si="2"/>
        <v>108049</v>
      </c>
      <c r="AG21" s="961"/>
    </row>
    <row r="22" spans="1:33" ht="12.75">
      <c r="A22" s="1105"/>
      <c r="B22" s="957" t="s">
        <v>121</v>
      </c>
      <c r="C22" s="962" t="s">
        <v>763</v>
      </c>
      <c r="D22" s="962"/>
      <c r="E22" s="959">
        <v>4076</v>
      </c>
      <c r="F22" s="959"/>
      <c r="G22" s="959">
        <v>2626</v>
      </c>
      <c r="H22" s="959">
        <v>2188</v>
      </c>
      <c r="I22" s="959"/>
      <c r="J22" s="959"/>
      <c r="K22" s="959"/>
      <c r="L22" s="959">
        <v>0</v>
      </c>
      <c r="M22" s="959">
        <v>0</v>
      </c>
      <c r="N22" s="959">
        <v>0</v>
      </c>
      <c r="O22" s="959">
        <v>0</v>
      </c>
      <c r="P22" s="959">
        <v>0</v>
      </c>
      <c r="Q22" s="959">
        <v>3680</v>
      </c>
      <c r="R22" s="959">
        <v>0</v>
      </c>
      <c r="S22" s="959">
        <v>103409</v>
      </c>
      <c r="T22" s="959">
        <f t="shared" si="3"/>
        <v>12570</v>
      </c>
      <c r="U22" s="960">
        <f t="shared" si="1"/>
        <v>115979</v>
      </c>
      <c r="V22" s="1108"/>
      <c r="W22" s="957" t="s">
        <v>121</v>
      </c>
      <c r="X22" s="958" t="s">
        <v>763</v>
      </c>
      <c r="Y22" s="959">
        <v>68246</v>
      </c>
      <c r="Z22" s="959">
        <v>18039</v>
      </c>
      <c r="AA22" s="959">
        <v>28989</v>
      </c>
      <c r="AB22" s="959">
        <v>7486</v>
      </c>
      <c r="AC22" s="959">
        <v>28</v>
      </c>
      <c r="AD22" s="959">
        <v>677</v>
      </c>
      <c r="AE22" s="960">
        <f t="shared" si="2"/>
        <v>115979</v>
      </c>
      <c r="AG22" s="961"/>
    </row>
    <row r="23" spans="1:33" ht="12.75">
      <c r="A23" s="1105"/>
      <c r="B23" s="957" t="s">
        <v>121</v>
      </c>
      <c r="C23" s="962" t="s">
        <v>924</v>
      </c>
      <c r="D23" s="962"/>
      <c r="E23" s="959">
        <v>4076</v>
      </c>
      <c r="F23" s="959"/>
      <c r="G23" s="959">
        <v>2626</v>
      </c>
      <c r="H23" s="959">
        <v>2188</v>
      </c>
      <c r="I23" s="959"/>
      <c r="J23" s="959"/>
      <c r="K23" s="959"/>
      <c r="L23" s="959">
        <v>0</v>
      </c>
      <c r="M23" s="959">
        <v>0</v>
      </c>
      <c r="N23" s="959">
        <v>0</v>
      </c>
      <c r="O23" s="959">
        <v>0</v>
      </c>
      <c r="P23" s="959">
        <v>0</v>
      </c>
      <c r="Q23" s="959">
        <v>3680</v>
      </c>
      <c r="R23" s="959">
        <v>0</v>
      </c>
      <c r="S23" s="959">
        <v>102965</v>
      </c>
      <c r="T23" s="959">
        <f t="shared" si="3"/>
        <v>12570</v>
      </c>
      <c r="U23" s="960">
        <f t="shared" si="1"/>
        <v>115535</v>
      </c>
      <c r="V23" s="1108"/>
      <c r="W23" s="957" t="s">
        <v>121</v>
      </c>
      <c r="X23" s="962" t="s">
        <v>924</v>
      </c>
      <c r="Y23" s="959">
        <v>67663</v>
      </c>
      <c r="Z23" s="959">
        <v>18178</v>
      </c>
      <c r="AA23" s="959">
        <v>28989</v>
      </c>
      <c r="AB23" s="959">
        <v>7486</v>
      </c>
      <c r="AC23" s="959">
        <v>28</v>
      </c>
      <c r="AD23" s="959">
        <v>677</v>
      </c>
      <c r="AE23" s="960">
        <f t="shared" si="2"/>
        <v>115535</v>
      </c>
      <c r="AG23" s="961"/>
    </row>
    <row r="24" spans="1:33" ht="12.75">
      <c r="A24" s="1106"/>
      <c r="B24" s="957" t="s">
        <v>121</v>
      </c>
      <c r="C24" s="962" t="s">
        <v>1045</v>
      </c>
      <c r="D24" s="962"/>
      <c r="E24" s="959">
        <v>4076</v>
      </c>
      <c r="F24" s="959"/>
      <c r="G24" s="959">
        <v>2626</v>
      </c>
      <c r="H24" s="959">
        <v>2188</v>
      </c>
      <c r="I24" s="959"/>
      <c r="J24" s="959"/>
      <c r="K24" s="959"/>
      <c r="L24" s="959">
        <v>0</v>
      </c>
      <c r="M24" s="959">
        <v>0</v>
      </c>
      <c r="N24" s="959">
        <v>0</v>
      </c>
      <c r="O24" s="959">
        <v>0</v>
      </c>
      <c r="P24" s="959">
        <v>0</v>
      </c>
      <c r="Q24" s="959">
        <v>3680</v>
      </c>
      <c r="R24" s="959">
        <v>0</v>
      </c>
      <c r="S24" s="959">
        <v>102628</v>
      </c>
      <c r="T24" s="959">
        <f t="shared" si="3"/>
        <v>12570</v>
      </c>
      <c r="U24" s="960">
        <f t="shared" si="1"/>
        <v>115198</v>
      </c>
      <c r="V24" s="1109"/>
      <c r="W24" s="957" t="s">
        <v>121</v>
      </c>
      <c r="X24" s="962" t="s">
        <v>1045</v>
      </c>
      <c r="Y24" s="959">
        <v>67672</v>
      </c>
      <c r="Z24" s="959">
        <v>18182</v>
      </c>
      <c r="AA24" s="959">
        <v>28529</v>
      </c>
      <c r="AB24" s="959">
        <v>7486</v>
      </c>
      <c r="AC24" s="959">
        <v>138</v>
      </c>
      <c r="AD24" s="959">
        <v>677</v>
      </c>
      <c r="AE24" s="960">
        <f t="shared" si="2"/>
        <v>115198</v>
      </c>
      <c r="AG24" s="961"/>
    </row>
    <row r="25" spans="1:33" ht="12.75">
      <c r="A25" s="1104" t="s">
        <v>175</v>
      </c>
      <c r="B25" s="957" t="s">
        <v>121</v>
      </c>
      <c r="C25" s="958" t="s">
        <v>4</v>
      </c>
      <c r="D25" s="958"/>
      <c r="E25" s="959">
        <v>20134</v>
      </c>
      <c r="F25" s="959"/>
      <c r="G25" s="959">
        <v>1649</v>
      </c>
      <c r="H25" s="959">
        <v>5881</v>
      </c>
      <c r="I25" s="959"/>
      <c r="J25" s="959"/>
      <c r="K25" s="959"/>
      <c r="L25" s="959">
        <v>0</v>
      </c>
      <c r="M25" s="959">
        <v>0</v>
      </c>
      <c r="N25" s="959">
        <v>0</v>
      </c>
      <c r="O25" s="959">
        <v>0</v>
      </c>
      <c r="P25" s="959">
        <v>0</v>
      </c>
      <c r="Q25" s="959">
        <v>0</v>
      </c>
      <c r="R25" s="959">
        <v>0</v>
      </c>
      <c r="S25" s="959">
        <v>62273</v>
      </c>
      <c r="T25" s="959">
        <f t="shared" si="3"/>
        <v>27664</v>
      </c>
      <c r="U25" s="960">
        <f t="shared" si="1"/>
        <v>89937</v>
      </c>
      <c r="V25" s="1107" t="s">
        <v>175</v>
      </c>
      <c r="W25" s="957" t="s">
        <v>121</v>
      </c>
      <c r="X25" s="958" t="s">
        <v>4</v>
      </c>
      <c r="Y25" s="959">
        <v>41749</v>
      </c>
      <c r="Z25" s="959">
        <v>11156</v>
      </c>
      <c r="AA25" s="959">
        <v>37032</v>
      </c>
      <c r="AB25" s="959">
        <v>4059</v>
      </c>
      <c r="AC25" s="959">
        <v>0</v>
      </c>
      <c r="AD25" s="959">
        <v>0</v>
      </c>
      <c r="AE25" s="960">
        <f t="shared" si="2"/>
        <v>89937</v>
      </c>
      <c r="AG25" s="961">
        <v>89937</v>
      </c>
    </row>
    <row r="26" spans="1:33" ht="12.75">
      <c r="A26" s="1105"/>
      <c r="B26" s="957" t="s">
        <v>121</v>
      </c>
      <c r="C26" s="958" t="s">
        <v>565</v>
      </c>
      <c r="D26" s="958"/>
      <c r="E26" s="959">
        <v>20134</v>
      </c>
      <c r="F26" s="959"/>
      <c r="G26" s="959">
        <v>1649</v>
      </c>
      <c r="H26" s="959">
        <v>5881</v>
      </c>
      <c r="I26" s="959"/>
      <c r="J26" s="959"/>
      <c r="K26" s="959"/>
      <c r="L26" s="959">
        <v>0</v>
      </c>
      <c r="M26" s="959">
        <v>0</v>
      </c>
      <c r="N26" s="959">
        <v>0</v>
      </c>
      <c r="O26" s="959">
        <v>0</v>
      </c>
      <c r="P26" s="959">
        <v>0</v>
      </c>
      <c r="Q26" s="959">
        <v>0</v>
      </c>
      <c r="R26" s="959">
        <v>0</v>
      </c>
      <c r="S26" s="959">
        <v>62408</v>
      </c>
      <c r="T26" s="959">
        <f t="shared" si="3"/>
        <v>27664</v>
      </c>
      <c r="U26" s="960">
        <f t="shared" si="1"/>
        <v>90072</v>
      </c>
      <c r="V26" s="1108"/>
      <c r="W26" s="957" t="s">
        <v>121</v>
      </c>
      <c r="X26" s="958" t="s">
        <v>565</v>
      </c>
      <c r="Y26" s="959">
        <v>41855</v>
      </c>
      <c r="Z26" s="959">
        <v>11185</v>
      </c>
      <c r="AA26" s="959">
        <v>36995</v>
      </c>
      <c r="AB26" s="959">
        <v>4059</v>
      </c>
      <c r="AC26" s="959">
        <v>37</v>
      </c>
      <c r="AD26" s="959">
        <v>0</v>
      </c>
      <c r="AE26" s="960">
        <f t="shared" si="2"/>
        <v>90072</v>
      </c>
      <c r="AG26" s="961"/>
    </row>
    <row r="27" spans="1:33" ht="12.75">
      <c r="A27" s="1105"/>
      <c r="B27" s="957" t="s">
        <v>121</v>
      </c>
      <c r="C27" s="962" t="s">
        <v>763</v>
      </c>
      <c r="D27" s="962"/>
      <c r="E27" s="959">
        <v>14634</v>
      </c>
      <c r="F27" s="959"/>
      <c r="G27" s="959">
        <v>1649</v>
      </c>
      <c r="H27" s="959">
        <v>4871</v>
      </c>
      <c r="I27" s="959"/>
      <c r="J27" s="959"/>
      <c r="K27" s="959"/>
      <c r="L27" s="959">
        <v>0</v>
      </c>
      <c r="M27" s="959">
        <v>0</v>
      </c>
      <c r="N27" s="959">
        <v>0</v>
      </c>
      <c r="O27" s="959">
        <v>0</v>
      </c>
      <c r="P27" s="959">
        <v>0</v>
      </c>
      <c r="Q27" s="959">
        <v>2872</v>
      </c>
      <c r="R27" s="959">
        <v>0</v>
      </c>
      <c r="S27" s="959">
        <v>65676</v>
      </c>
      <c r="T27" s="959">
        <f t="shared" si="3"/>
        <v>24026</v>
      </c>
      <c r="U27" s="960">
        <f t="shared" si="1"/>
        <v>89702</v>
      </c>
      <c r="V27" s="1108"/>
      <c r="W27" s="957" t="s">
        <v>121</v>
      </c>
      <c r="X27" s="958" t="s">
        <v>763</v>
      </c>
      <c r="Y27" s="959">
        <v>42683</v>
      </c>
      <c r="Z27" s="959">
        <v>11409</v>
      </c>
      <c r="AA27" s="959">
        <v>33119</v>
      </c>
      <c r="AB27" s="959">
        <v>4059</v>
      </c>
      <c r="AC27" s="959">
        <v>263</v>
      </c>
      <c r="AD27" s="959">
        <v>2228</v>
      </c>
      <c r="AE27" s="960">
        <f t="shared" si="2"/>
        <v>89702</v>
      </c>
      <c r="AG27" s="961"/>
    </row>
    <row r="28" spans="1:33" ht="12.75">
      <c r="A28" s="1105"/>
      <c r="B28" s="957" t="s">
        <v>121</v>
      </c>
      <c r="C28" s="962" t="s">
        <v>924</v>
      </c>
      <c r="D28" s="962"/>
      <c r="E28" s="959">
        <v>16634</v>
      </c>
      <c r="F28" s="959"/>
      <c r="G28" s="959">
        <v>1649</v>
      </c>
      <c r="H28" s="959">
        <v>4871</v>
      </c>
      <c r="I28" s="959"/>
      <c r="J28" s="959"/>
      <c r="K28" s="959"/>
      <c r="L28" s="959">
        <v>0</v>
      </c>
      <c r="M28" s="959">
        <v>0</v>
      </c>
      <c r="N28" s="959">
        <v>0</v>
      </c>
      <c r="O28" s="959">
        <v>0</v>
      </c>
      <c r="P28" s="959">
        <v>0</v>
      </c>
      <c r="Q28" s="959">
        <v>2872</v>
      </c>
      <c r="R28" s="959">
        <v>0</v>
      </c>
      <c r="S28" s="959">
        <v>61422</v>
      </c>
      <c r="T28" s="959">
        <f t="shared" si="3"/>
        <v>26026</v>
      </c>
      <c r="U28" s="960">
        <f t="shared" si="1"/>
        <v>87448</v>
      </c>
      <c r="V28" s="1108"/>
      <c r="W28" s="957" t="s">
        <v>121</v>
      </c>
      <c r="X28" s="962" t="s">
        <v>924</v>
      </c>
      <c r="Y28" s="959">
        <v>40881</v>
      </c>
      <c r="Z28" s="959">
        <v>10957</v>
      </c>
      <c r="AA28" s="959">
        <v>33119</v>
      </c>
      <c r="AB28" s="959">
        <v>4059</v>
      </c>
      <c r="AC28" s="959">
        <v>803</v>
      </c>
      <c r="AD28" s="959">
        <v>1688</v>
      </c>
      <c r="AE28" s="960">
        <f t="shared" si="2"/>
        <v>87448</v>
      </c>
      <c r="AG28" s="961"/>
    </row>
    <row r="29" spans="1:33" ht="12.75">
      <c r="A29" s="1106"/>
      <c r="B29" s="957" t="s">
        <v>121</v>
      </c>
      <c r="C29" s="962" t="s">
        <v>1045</v>
      </c>
      <c r="D29" s="962"/>
      <c r="E29" s="959">
        <v>13634</v>
      </c>
      <c r="F29" s="959"/>
      <c r="G29" s="959">
        <v>1649</v>
      </c>
      <c r="H29" s="959">
        <v>4871</v>
      </c>
      <c r="I29" s="959">
        <v>80</v>
      </c>
      <c r="J29" s="959">
        <v>30</v>
      </c>
      <c r="K29" s="959"/>
      <c r="L29" s="959">
        <v>0</v>
      </c>
      <c r="M29" s="959">
        <v>0</v>
      </c>
      <c r="N29" s="959">
        <v>0</v>
      </c>
      <c r="O29" s="959">
        <v>0</v>
      </c>
      <c r="P29" s="959">
        <v>0</v>
      </c>
      <c r="Q29" s="959">
        <v>2872</v>
      </c>
      <c r="R29" s="959">
        <v>0</v>
      </c>
      <c r="S29" s="959">
        <v>58679</v>
      </c>
      <c r="T29" s="959">
        <f t="shared" si="3"/>
        <v>23136</v>
      </c>
      <c r="U29" s="960">
        <f t="shared" si="1"/>
        <v>81815</v>
      </c>
      <c r="V29" s="1109"/>
      <c r="W29" s="957" t="s">
        <v>121</v>
      </c>
      <c r="X29" s="962" t="s">
        <v>1045</v>
      </c>
      <c r="Y29" s="959">
        <v>40921</v>
      </c>
      <c r="Z29" s="959">
        <v>10974</v>
      </c>
      <c r="AA29" s="959">
        <v>27429</v>
      </c>
      <c r="AB29" s="959">
        <v>4059</v>
      </c>
      <c r="AC29" s="959">
        <v>803</v>
      </c>
      <c r="AD29" s="959">
        <v>1688</v>
      </c>
      <c r="AE29" s="960">
        <f t="shared" si="2"/>
        <v>81815</v>
      </c>
      <c r="AG29" s="961"/>
    </row>
    <row r="30" spans="1:33" ht="12.75">
      <c r="A30" s="1104" t="s">
        <v>176</v>
      </c>
      <c r="B30" s="957" t="s">
        <v>121</v>
      </c>
      <c r="C30" s="958" t="s">
        <v>4</v>
      </c>
      <c r="D30" s="958"/>
      <c r="E30" s="959">
        <v>0</v>
      </c>
      <c r="F30" s="959"/>
      <c r="G30" s="959">
        <v>2051</v>
      </c>
      <c r="H30" s="959">
        <v>854</v>
      </c>
      <c r="I30" s="959"/>
      <c r="J30" s="959"/>
      <c r="K30" s="959"/>
      <c r="L30" s="959">
        <v>0</v>
      </c>
      <c r="M30" s="959">
        <v>0</v>
      </c>
      <c r="N30" s="959">
        <v>0</v>
      </c>
      <c r="O30" s="959">
        <v>0</v>
      </c>
      <c r="P30" s="959">
        <v>0</v>
      </c>
      <c r="Q30" s="959">
        <v>0</v>
      </c>
      <c r="R30" s="959">
        <v>0</v>
      </c>
      <c r="S30" s="959">
        <v>75199</v>
      </c>
      <c r="T30" s="959">
        <f t="shared" si="3"/>
        <v>2905</v>
      </c>
      <c r="U30" s="960">
        <f t="shared" si="1"/>
        <v>78104</v>
      </c>
      <c r="V30" s="1107" t="s">
        <v>176</v>
      </c>
      <c r="W30" s="957" t="s">
        <v>121</v>
      </c>
      <c r="X30" s="958" t="s">
        <v>4</v>
      </c>
      <c r="Y30" s="959">
        <v>48352</v>
      </c>
      <c r="Z30" s="959">
        <v>13055</v>
      </c>
      <c r="AA30" s="959">
        <v>14232</v>
      </c>
      <c r="AB30" s="959">
        <v>6484</v>
      </c>
      <c r="AC30" s="959">
        <v>319</v>
      </c>
      <c r="AD30" s="959">
        <v>2146</v>
      </c>
      <c r="AE30" s="960">
        <f t="shared" si="2"/>
        <v>78104</v>
      </c>
      <c r="AG30" s="961">
        <v>78104</v>
      </c>
    </row>
    <row r="31" spans="1:33" ht="12.75">
      <c r="A31" s="1105"/>
      <c r="B31" s="957" t="s">
        <v>121</v>
      </c>
      <c r="C31" s="958" t="s">
        <v>565</v>
      </c>
      <c r="D31" s="958"/>
      <c r="E31" s="959">
        <v>0</v>
      </c>
      <c r="F31" s="959"/>
      <c r="G31" s="959">
        <v>2051</v>
      </c>
      <c r="H31" s="959">
        <v>854</v>
      </c>
      <c r="I31" s="959"/>
      <c r="J31" s="959"/>
      <c r="K31" s="959"/>
      <c r="L31" s="959">
        <v>0</v>
      </c>
      <c r="M31" s="959">
        <v>1037</v>
      </c>
      <c r="N31" s="959">
        <v>0</v>
      </c>
      <c r="O31" s="959">
        <v>0</v>
      </c>
      <c r="P31" s="959">
        <v>0</v>
      </c>
      <c r="Q31" s="959">
        <v>0</v>
      </c>
      <c r="R31" s="959">
        <v>0</v>
      </c>
      <c r="S31" s="959">
        <v>75482</v>
      </c>
      <c r="T31" s="959">
        <f t="shared" si="3"/>
        <v>3942</v>
      </c>
      <c r="U31" s="960">
        <f t="shared" si="1"/>
        <v>79424</v>
      </c>
      <c r="V31" s="1108"/>
      <c r="W31" s="957" t="s">
        <v>121</v>
      </c>
      <c r="X31" s="958" t="s">
        <v>565</v>
      </c>
      <c r="Y31" s="959">
        <v>49391</v>
      </c>
      <c r="Z31" s="959">
        <v>13336</v>
      </c>
      <c r="AA31" s="959">
        <v>14232</v>
      </c>
      <c r="AB31" s="959">
        <v>6484</v>
      </c>
      <c r="AC31" s="959">
        <v>319</v>
      </c>
      <c r="AD31" s="959">
        <v>2146</v>
      </c>
      <c r="AE31" s="960">
        <f t="shared" si="2"/>
        <v>79424</v>
      </c>
      <c r="AG31" s="961"/>
    </row>
    <row r="32" spans="1:33" ht="12.75">
      <c r="A32" s="1105"/>
      <c r="B32" s="957" t="s">
        <v>121</v>
      </c>
      <c r="C32" s="962" t="s">
        <v>763</v>
      </c>
      <c r="D32" s="962"/>
      <c r="E32" s="959">
        <v>0</v>
      </c>
      <c r="F32" s="959"/>
      <c r="G32" s="959">
        <v>2051</v>
      </c>
      <c r="H32" s="959">
        <v>854</v>
      </c>
      <c r="I32" s="959"/>
      <c r="J32" s="959"/>
      <c r="K32" s="959"/>
      <c r="L32" s="959">
        <v>0</v>
      </c>
      <c r="M32" s="959">
        <v>1248</v>
      </c>
      <c r="N32" s="959">
        <v>0</v>
      </c>
      <c r="O32" s="959">
        <v>0</v>
      </c>
      <c r="P32" s="959">
        <v>0</v>
      </c>
      <c r="Q32" s="959">
        <v>3928</v>
      </c>
      <c r="R32" s="959">
        <v>0</v>
      </c>
      <c r="S32" s="959">
        <v>72002</v>
      </c>
      <c r="T32" s="959">
        <f t="shared" si="3"/>
        <v>8081</v>
      </c>
      <c r="U32" s="960">
        <f t="shared" si="1"/>
        <v>80083</v>
      </c>
      <c r="V32" s="1108"/>
      <c r="W32" s="957" t="s">
        <v>121</v>
      </c>
      <c r="X32" s="958" t="s">
        <v>763</v>
      </c>
      <c r="Y32" s="959">
        <v>49643</v>
      </c>
      <c r="Z32" s="959">
        <v>13405</v>
      </c>
      <c r="AA32" s="959">
        <v>14441</v>
      </c>
      <c r="AB32" s="959">
        <v>6484</v>
      </c>
      <c r="AC32" s="959">
        <v>357</v>
      </c>
      <c r="AD32" s="959">
        <v>2237</v>
      </c>
      <c r="AE32" s="960">
        <f t="shared" si="2"/>
        <v>80083</v>
      </c>
      <c r="AG32" s="961"/>
    </row>
    <row r="33" spans="1:33" ht="12.75">
      <c r="A33" s="1105"/>
      <c r="B33" s="957" t="s">
        <v>121</v>
      </c>
      <c r="C33" s="962" t="s">
        <v>924</v>
      </c>
      <c r="D33" s="962"/>
      <c r="E33" s="959">
        <v>0</v>
      </c>
      <c r="F33" s="959"/>
      <c r="G33" s="959">
        <v>2051</v>
      </c>
      <c r="H33" s="959">
        <v>854</v>
      </c>
      <c r="I33" s="959"/>
      <c r="J33" s="959"/>
      <c r="K33" s="959"/>
      <c r="L33" s="959">
        <v>0</v>
      </c>
      <c r="M33" s="959">
        <v>1248</v>
      </c>
      <c r="N33" s="959">
        <v>0</v>
      </c>
      <c r="O33" s="959">
        <v>0</v>
      </c>
      <c r="P33" s="959">
        <v>0</v>
      </c>
      <c r="Q33" s="959">
        <v>3928</v>
      </c>
      <c r="R33" s="959">
        <v>0</v>
      </c>
      <c r="S33" s="959">
        <v>73638</v>
      </c>
      <c r="T33" s="959">
        <f t="shared" si="3"/>
        <v>8081</v>
      </c>
      <c r="U33" s="960">
        <f t="shared" si="1"/>
        <v>81719</v>
      </c>
      <c r="V33" s="1108"/>
      <c r="W33" s="957" t="s">
        <v>121</v>
      </c>
      <c r="X33" s="962" t="s">
        <v>924</v>
      </c>
      <c r="Y33" s="959">
        <v>50974</v>
      </c>
      <c r="Z33" s="959">
        <v>13710</v>
      </c>
      <c r="AA33" s="959">
        <v>14216</v>
      </c>
      <c r="AB33" s="959">
        <v>6484</v>
      </c>
      <c r="AC33" s="959">
        <v>582</v>
      </c>
      <c r="AD33" s="959">
        <v>2237</v>
      </c>
      <c r="AE33" s="960">
        <f t="shared" si="2"/>
        <v>81719</v>
      </c>
      <c r="AG33" s="961"/>
    </row>
    <row r="34" spans="1:33" ht="12.75">
      <c r="A34" s="1106"/>
      <c r="B34" s="957" t="s">
        <v>121</v>
      </c>
      <c r="C34" s="962" t="s">
        <v>1045</v>
      </c>
      <c r="D34" s="962"/>
      <c r="E34" s="959">
        <v>128</v>
      </c>
      <c r="F34" s="959"/>
      <c r="G34" s="959">
        <v>2051</v>
      </c>
      <c r="H34" s="959">
        <v>854</v>
      </c>
      <c r="I34" s="959"/>
      <c r="J34" s="959"/>
      <c r="K34" s="959">
        <v>2</v>
      </c>
      <c r="L34" s="959">
        <v>0</v>
      </c>
      <c r="M34" s="959">
        <v>1249</v>
      </c>
      <c r="N34" s="959">
        <v>0</v>
      </c>
      <c r="O34" s="959">
        <v>0</v>
      </c>
      <c r="P34" s="959">
        <v>0</v>
      </c>
      <c r="Q34" s="959">
        <v>3928</v>
      </c>
      <c r="R34" s="959">
        <v>0</v>
      </c>
      <c r="S34" s="959">
        <v>73759</v>
      </c>
      <c r="T34" s="959">
        <f t="shared" si="3"/>
        <v>8212</v>
      </c>
      <c r="U34" s="960">
        <f t="shared" si="1"/>
        <v>81971</v>
      </c>
      <c r="V34" s="1109"/>
      <c r="W34" s="957" t="s">
        <v>121</v>
      </c>
      <c r="X34" s="962" t="s">
        <v>1045</v>
      </c>
      <c r="Y34" s="959">
        <v>51059</v>
      </c>
      <c r="Z34" s="959">
        <v>13746</v>
      </c>
      <c r="AA34" s="959">
        <v>14171</v>
      </c>
      <c r="AB34" s="959">
        <v>6484</v>
      </c>
      <c r="AC34" s="959">
        <v>758</v>
      </c>
      <c r="AD34" s="959">
        <v>2237</v>
      </c>
      <c r="AE34" s="960">
        <f t="shared" si="2"/>
        <v>81971</v>
      </c>
      <c r="AG34" s="961"/>
    </row>
    <row r="35" spans="1:33" ht="12.75" customHeight="1">
      <c r="A35" s="1104" t="s">
        <v>177</v>
      </c>
      <c r="B35" s="957" t="s">
        <v>121</v>
      </c>
      <c r="C35" s="958" t="s">
        <v>4</v>
      </c>
      <c r="D35" s="958"/>
      <c r="E35" s="959">
        <v>1</v>
      </c>
      <c r="F35" s="959"/>
      <c r="G35" s="959">
        <v>64</v>
      </c>
      <c r="H35" s="959">
        <v>17</v>
      </c>
      <c r="I35" s="959"/>
      <c r="J35" s="959"/>
      <c r="K35" s="959"/>
      <c r="L35" s="959">
        <v>0</v>
      </c>
      <c r="M35" s="959">
        <v>0</v>
      </c>
      <c r="N35" s="959">
        <v>0</v>
      </c>
      <c r="O35" s="959">
        <v>0</v>
      </c>
      <c r="P35" s="959">
        <v>0</v>
      </c>
      <c r="Q35" s="959">
        <v>0</v>
      </c>
      <c r="R35" s="959">
        <v>0</v>
      </c>
      <c r="S35" s="959">
        <v>32276</v>
      </c>
      <c r="T35" s="959">
        <f t="shared" si="3"/>
        <v>82</v>
      </c>
      <c r="U35" s="960">
        <f t="shared" si="1"/>
        <v>32358</v>
      </c>
      <c r="V35" s="1107" t="s">
        <v>177</v>
      </c>
      <c r="W35" s="957" t="s">
        <v>121</v>
      </c>
      <c r="X35" s="958" t="s">
        <v>4</v>
      </c>
      <c r="Y35" s="959">
        <v>19665</v>
      </c>
      <c r="Z35" s="959">
        <v>5249</v>
      </c>
      <c r="AA35" s="959">
        <v>7044</v>
      </c>
      <c r="AB35" s="959">
        <v>3048</v>
      </c>
      <c r="AC35" s="959">
        <v>0</v>
      </c>
      <c r="AD35" s="959">
        <v>400</v>
      </c>
      <c r="AE35" s="960">
        <f t="shared" si="2"/>
        <v>32358</v>
      </c>
      <c r="AG35" s="961">
        <v>32358</v>
      </c>
    </row>
    <row r="36" spans="1:33" ht="12.75">
      <c r="A36" s="1105"/>
      <c r="B36" s="957" t="s">
        <v>121</v>
      </c>
      <c r="C36" s="958" t="s">
        <v>565</v>
      </c>
      <c r="D36" s="958"/>
      <c r="E36" s="959">
        <v>1</v>
      </c>
      <c r="F36" s="959"/>
      <c r="G36" s="959">
        <v>64</v>
      </c>
      <c r="H36" s="959">
        <v>17</v>
      </c>
      <c r="I36" s="959"/>
      <c r="J36" s="959"/>
      <c r="K36" s="959"/>
      <c r="L36" s="959">
        <v>0</v>
      </c>
      <c r="M36" s="959">
        <v>0</v>
      </c>
      <c r="N36" s="959">
        <v>0</v>
      </c>
      <c r="O36" s="959">
        <v>0</v>
      </c>
      <c r="P36" s="959">
        <v>0</v>
      </c>
      <c r="Q36" s="959">
        <v>0</v>
      </c>
      <c r="R36" s="959">
        <v>0</v>
      </c>
      <c r="S36" s="959">
        <v>32276</v>
      </c>
      <c r="T36" s="959">
        <f t="shared" si="3"/>
        <v>82</v>
      </c>
      <c r="U36" s="960">
        <f t="shared" si="1"/>
        <v>32358</v>
      </c>
      <c r="V36" s="1108"/>
      <c r="W36" s="957" t="s">
        <v>121</v>
      </c>
      <c r="X36" s="958" t="s">
        <v>565</v>
      </c>
      <c r="Y36" s="959">
        <v>19665</v>
      </c>
      <c r="Z36" s="959">
        <v>5249</v>
      </c>
      <c r="AA36" s="959">
        <v>7003</v>
      </c>
      <c r="AB36" s="959">
        <v>3048</v>
      </c>
      <c r="AC36" s="959">
        <v>41</v>
      </c>
      <c r="AD36" s="959">
        <v>400</v>
      </c>
      <c r="AE36" s="960">
        <f t="shared" si="2"/>
        <v>32358</v>
      </c>
      <c r="AG36" s="961"/>
    </row>
    <row r="37" spans="1:33" ht="12.75">
      <c r="A37" s="1105"/>
      <c r="B37" s="957" t="s">
        <v>121</v>
      </c>
      <c r="C37" s="962" t="s">
        <v>763</v>
      </c>
      <c r="D37" s="962"/>
      <c r="E37" s="959">
        <v>1</v>
      </c>
      <c r="F37" s="959"/>
      <c r="G37" s="959">
        <v>64</v>
      </c>
      <c r="H37" s="959">
        <v>17</v>
      </c>
      <c r="I37" s="959"/>
      <c r="J37" s="959"/>
      <c r="K37" s="959"/>
      <c r="L37" s="959">
        <v>0</v>
      </c>
      <c r="M37" s="959">
        <v>0</v>
      </c>
      <c r="N37" s="959">
        <v>0</v>
      </c>
      <c r="O37" s="959">
        <v>0</v>
      </c>
      <c r="P37" s="959">
        <v>0</v>
      </c>
      <c r="Q37" s="959">
        <v>0</v>
      </c>
      <c r="R37" s="959">
        <v>0</v>
      </c>
      <c r="S37" s="959">
        <v>33825</v>
      </c>
      <c r="T37" s="959">
        <f t="shared" si="3"/>
        <v>82</v>
      </c>
      <c r="U37" s="960">
        <f t="shared" si="1"/>
        <v>33907</v>
      </c>
      <c r="V37" s="1108"/>
      <c r="W37" s="957" t="s">
        <v>121</v>
      </c>
      <c r="X37" s="958" t="s">
        <v>763</v>
      </c>
      <c r="Y37" s="959">
        <v>19897</v>
      </c>
      <c r="Z37" s="959">
        <v>5311</v>
      </c>
      <c r="AA37" s="959">
        <v>7003</v>
      </c>
      <c r="AB37" s="959">
        <v>3048</v>
      </c>
      <c r="AC37" s="959">
        <v>41</v>
      </c>
      <c r="AD37" s="959">
        <v>1655</v>
      </c>
      <c r="AE37" s="960">
        <f t="shared" si="2"/>
        <v>33907</v>
      </c>
      <c r="AG37" s="961"/>
    </row>
    <row r="38" spans="1:33" ht="12.75">
      <c r="A38" s="1105"/>
      <c r="B38" s="957" t="s">
        <v>121</v>
      </c>
      <c r="C38" s="962" t="s">
        <v>924</v>
      </c>
      <c r="D38" s="962"/>
      <c r="E38" s="959">
        <v>1</v>
      </c>
      <c r="F38" s="959"/>
      <c r="G38" s="959">
        <v>64</v>
      </c>
      <c r="H38" s="959">
        <v>17</v>
      </c>
      <c r="I38" s="959"/>
      <c r="J38" s="959"/>
      <c r="K38" s="959"/>
      <c r="L38" s="959">
        <v>0</v>
      </c>
      <c r="M38" s="959">
        <v>0</v>
      </c>
      <c r="N38" s="959">
        <v>0</v>
      </c>
      <c r="O38" s="959">
        <v>0</v>
      </c>
      <c r="P38" s="959">
        <v>0</v>
      </c>
      <c r="Q38" s="959">
        <v>0</v>
      </c>
      <c r="R38" s="959">
        <v>0</v>
      </c>
      <c r="S38" s="959">
        <v>34331</v>
      </c>
      <c r="T38" s="959">
        <f t="shared" si="3"/>
        <v>82</v>
      </c>
      <c r="U38" s="960">
        <f t="shared" si="1"/>
        <v>34413</v>
      </c>
      <c r="V38" s="1108"/>
      <c r="W38" s="957" t="s">
        <v>121</v>
      </c>
      <c r="X38" s="962" t="s">
        <v>924</v>
      </c>
      <c r="Y38" s="959">
        <v>20272</v>
      </c>
      <c r="Z38" s="959">
        <v>5442</v>
      </c>
      <c r="AA38" s="959">
        <v>6968</v>
      </c>
      <c r="AB38" s="959">
        <v>3048</v>
      </c>
      <c r="AC38" s="959">
        <v>76</v>
      </c>
      <c r="AD38" s="959">
        <v>1655</v>
      </c>
      <c r="AE38" s="960">
        <f t="shared" si="2"/>
        <v>34413</v>
      </c>
      <c r="AG38" s="961"/>
    </row>
    <row r="39" spans="1:33" ht="12.75">
      <c r="A39" s="1106"/>
      <c r="B39" s="957" t="s">
        <v>121</v>
      </c>
      <c r="C39" s="962" t="s">
        <v>1045</v>
      </c>
      <c r="D39" s="962"/>
      <c r="E39" s="959">
        <v>33</v>
      </c>
      <c r="F39" s="959"/>
      <c r="G39" s="959">
        <v>269</v>
      </c>
      <c r="H39" s="959">
        <v>82</v>
      </c>
      <c r="I39" s="959"/>
      <c r="J39" s="959"/>
      <c r="K39" s="959"/>
      <c r="L39" s="959">
        <v>0</v>
      </c>
      <c r="M39" s="959">
        <v>0</v>
      </c>
      <c r="N39" s="959">
        <v>0</v>
      </c>
      <c r="O39" s="959">
        <v>0</v>
      </c>
      <c r="P39" s="959">
        <v>0</v>
      </c>
      <c r="Q39" s="959">
        <v>0</v>
      </c>
      <c r="R39" s="959">
        <v>0</v>
      </c>
      <c r="S39" s="959">
        <v>34331</v>
      </c>
      <c r="T39" s="959">
        <f t="shared" si="3"/>
        <v>384</v>
      </c>
      <c r="U39" s="960">
        <f t="shared" si="1"/>
        <v>34715</v>
      </c>
      <c r="V39" s="1109"/>
      <c r="W39" s="957" t="s">
        <v>121</v>
      </c>
      <c r="X39" s="962" t="s">
        <v>1045</v>
      </c>
      <c r="Y39" s="959">
        <v>20272</v>
      </c>
      <c r="Z39" s="959">
        <v>5442</v>
      </c>
      <c r="AA39" s="959">
        <v>7237</v>
      </c>
      <c r="AB39" s="959">
        <v>3048</v>
      </c>
      <c r="AC39" s="959">
        <v>81</v>
      </c>
      <c r="AD39" s="959">
        <v>1683</v>
      </c>
      <c r="AE39" s="960">
        <f t="shared" si="2"/>
        <v>34715</v>
      </c>
      <c r="AG39" s="961"/>
    </row>
    <row r="40" spans="1:33" ht="12.75">
      <c r="A40" s="1104" t="s">
        <v>959</v>
      </c>
      <c r="B40" s="957" t="s">
        <v>121</v>
      </c>
      <c r="C40" s="958" t="s">
        <v>4</v>
      </c>
      <c r="D40" s="958"/>
      <c r="E40" s="959">
        <v>19049</v>
      </c>
      <c r="F40" s="959"/>
      <c r="G40" s="959">
        <v>1730</v>
      </c>
      <c r="H40" s="959">
        <v>3920</v>
      </c>
      <c r="I40" s="959"/>
      <c r="J40" s="959"/>
      <c r="K40" s="959"/>
      <c r="L40" s="959">
        <v>0</v>
      </c>
      <c r="M40" s="959">
        <v>0</v>
      </c>
      <c r="N40" s="959">
        <v>0</v>
      </c>
      <c r="O40" s="959">
        <v>0</v>
      </c>
      <c r="P40" s="959">
        <v>0</v>
      </c>
      <c r="Q40" s="959">
        <v>0</v>
      </c>
      <c r="R40" s="959">
        <v>0</v>
      </c>
      <c r="S40" s="959">
        <v>86480</v>
      </c>
      <c r="T40" s="959">
        <f t="shared" si="3"/>
        <v>24699</v>
      </c>
      <c r="U40" s="960">
        <f t="shared" si="1"/>
        <v>111179</v>
      </c>
      <c r="V40" s="1107" t="s">
        <v>959</v>
      </c>
      <c r="W40" s="957" t="s">
        <v>121</v>
      </c>
      <c r="X40" s="958" t="s">
        <v>4</v>
      </c>
      <c r="Y40" s="959">
        <v>58658</v>
      </c>
      <c r="Z40" s="959">
        <v>14988</v>
      </c>
      <c r="AA40" s="959">
        <v>34993</v>
      </c>
      <c r="AB40" s="959">
        <v>6054</v>
      </c>
      <c r="AC40" s="959">
        <v>1460</v>
      </c>
      <c r="AD40" s="959">
        <v>1080</v>
      </c>
      <c r="AE40" s="960">
        <f t="shared" si="2"/>
        <v>111179</v>
      </c>
      <c r="AG40" s="961">
        <v>111179</v>
      </c>
    </row>
    <row r="41" spans="1:33" ht="12.75">
      <c r="A41" s="1105"/>
      <c r="B41" s="957" t="s">
        <v>121</v>
      </c>
      <c r="C41" s="958" t="s">
        <v>565</v>
      </c>
      <c r="D41" s="958"/>
      <c r="E41" s="959">
        <v>19049</v>
      </c>
      <c r="F41" s="959"/>
      <c r="G41" s="959">
        <v>1730</v>
      </c>
      <c r="H41" s="959">
        <v>3920</v>
      </c>
      <c r="I41" s="959"/>
      <c r="J41" s="959"/>
      <c r="K41" s="959"/>
      <c r="L41" s="959">
        <v>0</v>
      </c>
      <c r="M41" s="959">
        <v>0</v>
      </c>
      <c r="N41" s="959">
        <v>0</v>
      </c>
      <c r="O41" s="959">
        <v>0</v>
      </c>
      <c r="P41" s="959">
        <v>0</v>
      </c>
      <c r="Q41" s="959">
        <v>0</v>
      </c>
      <c r="R41" s="959">
        <v>0</v>
      </c>
      <c r="S41" s="959">
        <v>96022</v>
      </c>
      <c r="T41" s="959">
        <f t="shared" si="3"/>
        <v>24699</v>
      </c>
      <c r="U41" s="960">
        <f t="shared" si="1"/>
        <v>120721</v>
      </c>
      <c r="V41" s="1108"/>
      <c r="W41" s="957" t="s">
        <v>121</v>
      </c>
      <c r="X41" s="958" t="s">
        <v>565</v>
      </c>
      <c r="Y41" s="959">
        <v>64918</v>
      </c>
      <c r="Z41" s="959">
        <v>18270</v>
      </c>
      <c r="AA41" s="959">
        <v>34993</v>
      </c>
      <c r="AB41" s="959">
        <v>6054</v>
      </c>
      <c r="AC41" s="959">
        <v>1460</v>
      </c>
      <c r="AD41" s="959">
        <v>1080</v>
      </c>
      <c r="AE41" s="960">
        <f t="shared" si="2"/>
        <v>120721</v>
      </c>
      <c r="AG41" s="961"/>
    </row>
    <row r="42" spans="1:33" ht="12.75">
      <c r="A42" s="1105"/>
      <c r="B42" s="957" t="s">
        <v>121</v>
      </c>
      <c r="C42" s="962" t="s">
        <v>763</v>
      </c>
      <c r="D42" s="962"/>
      <c r="E42" s="959">
        <v>20049</v>
      </c>
      <c r="F42" s="959"/>
      <c r="G42" s="959">
        <v>1730</v>
      </c>
      <c r="H42" s="959">
        <v>3920</v>
      </c>
      <c r="I42" s="959"/>
      <c r="J42" s="959"/>
      <c r="K42" s="959"/>
      <c r="L42" s="959">
        <v>0</v>
      </c>
      <c r="M42" s="959">
        <v>0</v>
      </c>
      <c r="N42" s="959">
        <v>0</v>
      </c>
      <c r="O42" s="959">
        <v>0</v>
      </c>
      <c r="P42" s="959">
        <v>0</v>
      </c>
      <c r="Q42" s="959">
        <v>5346</v>
      </c>
      <c r="R42" s="959">
        <v>0</v>
      </c>
      <c r="S42" s="959">
        <v>100136</v>
      </c>
      <c r="T42" s="959">
        <f t="shared" si="3"/>
        <v>31045</v>
      </c>
      <c r="U42" s="960">
        <f t="shared" si="1"/>
        <v>131181</v>
      </c>
      <c r="V42" s="1108"/>
      <c r="W42" s="957" t="s">
        <v>121</v>
      </c>
      <c r="X42" s="958" t="s">
        <v>763</v>
      </c>
      <c r="Y42" s="959">
        <v>73586</v>
      </c>
      <c r="Z42" s="959">
        <v>20612</v>
      </c>
      <c r="AA42" s="959">
        <v>35523</v>
      </c>
      <c r="AB42" s="959">
        <v>6054</v>
      </c>
      <c r="AC42" s="959">
        <v>1460</v>
      </c>
      <c r="AD42" s="959">
        <v>0</v>
      </c>
      <c r="AE42" s="960">
        <f t="shared" si="2"/>
        <v>131181</v>
      </c>
      <c r="AG42" s="961"/>
    </row>
    <row r="43" spans="1:33" ht="12.75">
      <c r="A43" s="1105"/>
      <c r="B43" s="957" t="s">
        <v>121</v>
      </c>
      <c r="C43" s="962" t="s">
        <v>924</v>
      </c>
      <c r="D43" s="962"/>
      <c r="E43" s="959">
        <v>12049</v>
      </c>
      <c r="F43" s="959"/>
      <c r="G43" s="959">
        <v>9730</v>
      </c>
      <c r="H43" s="959">
        <v>3920</v>
      </c>
      <c r="I43" s="959"/>
      <c r="J43" s="959"/>
      <c r="K43" s="959"/>
      <c r="L43" s="959">
        <v>0</v>
      </c>
      <c r="M43" s="959">
        <v>0</v>
      </c>
      <c r="N43" s="959">
        <v>0</v>
      </c>
      <c r="O43" s="959">
        <v>0</v>
      </c>
      <c r="P43" s="959">
        <v>0</v>
      </c>
      <c r="Q43" s="959">
        <v>5346</v>
      </c>
      <c r="R43" s="959">
        <v>0</v>
      </c>
      <c r="S43" s="959">
        <v>104771</v>
      </c>
      <c r="T43" s="959">
        <f t="shared" si="3"/>
        <v>31045</v>
      </c>
      <c r="U43" s="960">
        <f t="shared" si="1"/>
        <v>135816</v>
      </c>
      <c r="V43" s="1108"/>
      <c r="W43" s="957" t="s">
        <v>121</v>
      </c>
      <c r="X43" s="962" t="s">
        <v>924</v>
      </c>
      <c r="Y43" s="959">
        <v>76225</v>
      </c>
      <c r="Z43" s="959">
        <v>22608</v>
      </c>
      <c r="AA43" s="959">
        <v>35423</v>
      </c>
      <c r="AB43" s="959">
        <v>6054</v>
      </c>
      <c r="AC43" s="959">
        <v>1560</v>
      </c>
      <c r="AD43" s="959">
        <v>0</v>
      </c>
      <c r="AE43" s="960">
        <f t="shared" si="2"/>
        <v>135816</v>
      </c>
      <c r="AG43" s="961"/>
    </row>
    <row r="44" spans="1:33" ht="12.75">
      <c r="A44" s="1106"/>
      <c r="B44" s="957" t="s">
        <v>121</v>
      </c>
      <c r="C44" s="962" t="s">
        <v>1045</v>
      </c>
      <c r="D44" s="962"/>
      <c r="E44" s="959">
        <v>10649</v>
      </c>
      <c r="F44" s="959"/>
      <c r="G44" s="959">
        <v>9630</v>
      </c>
      <c r="H44" s="959">
        <v>3920</v>
      </c>
      <c r="I44" s="959"/>
      <c r="J44" s="959"/>
      <c r="K44" s="959"/>
      <c r="L44" s="959">
        <v>0</v>
      </c>
      <c r="M44" s="959">
        <v>0</v>
      </c>
      <c r="N44" s="959">
        <v>0</v>
      </c>
      <c r="O44" s="959">
        <v>0</v>
      </c>
      <c r="P44" s="959">
        <v>0</v>
      </c>
      <c r="Q44" s="959">
        <v>5346</v>
      </c>
      <c r="R44" s="959">
        <v>0</v>
      </c>
      <c r="S44" s="959">
        <v>106014</v>
      </c>
      <c r="T44" s="959">
        <f aca="true" t="shared" si="4" ref="T44:T75">SUM(D44:R44)</f>
        <v>29545</v>
      </c>
      <c r="U44" s="960">
        <f aca="true" t="shared" si="5" ref="U44:U75">SUM(S44:T44)</f>
        <v>135559</v>
      </c>
      <c r="V44" s="1109"/>
      <c r="W44" s="957" t="s">
        <v>121</v>
      </c>
      <c r="X44" s="962" t="s">
        <v>1045</v>
      </c>
      <c r="Y44" s="959">
        <v>77100</v>
      </c>
      <c r="Z44" s="959">
        <v>22875</v>
      </c>
      <c r="AA44" s="959">
        <v>34024</v>
      </c>
      <c r="AB44" s="959">
        <v>6054</v>
      </c>
      <c r="AC44" s="959">
        <v>1560</v>
      </c>
      <c r="AD44" s="959">
        <v>0</v>
      </c>
      <c r="AE44" s="960">
        <f aca="true" t="shared" si="6" ref="AE44:AE75">SUM(Y44:AD44)-AB44</f>
        <v>135559</v>
      </c>
      <c r="AG44" s="961"/>
    </row>
    <row r="45" spans="1:33" ht="12.75" customHeight="1">
      <c r="A45" s="1104" t="s">
        <v>178</v>
      </c>
      <c r="B45" s="957" t="s">
        <v>121</v>
      </c>
      <c r="C45" s="958" t="s">
        <v>4</v>
      </c>
      <c r="D45" s="958"/>
      <c r="E45" s="959">
        <v>3400</v>
      </c>
      <c r="F45" s="959"/>
      <c r="G45" s="959">
        <v>17065</v>
      </c>
      <c r="H45" s="959">
        <v>5526</v>
      </c>
      <c r="I45" s="959"/>
      <c r="J45" s="959"/>
      <c r="K45" s="959"/>
      <c r="L45" s="959">
        <v>0</v>
      </c>
      <c r="M45" s="959">
        <v>0</v>
      </c>
      <c r="N45" s="959">
        <v>0</v>
      </c>
      <c r="O45" s="959">
        <v>0</v>
      </c>
      <c r="P45" s="959">
        <v>0</v>
      </c>
      <c r="Q45" s="959">
        <v>0</v>
      </c>
      <c r="R45" s="959">
        <v>0</v>
      </c>
      <c r="S45" s="959">
        <v>97446</v>
      </c>
      <c r="T45" s="959">
        <f t="shared" si="4"/>
        <v>25991</v>
      </c>
      <c r="U45" s="960">
        <f t="shared" si="5"/>
        <v>123437</v>
      </c>
      <c r="V45" s="1107" t="s">
        <v>178</v>
      </c>
      <c r="W45" s="957" t="s">
        <v>121</v>
      </c>
      <c r="X45" s="958" t="s">
        <v>4</v>
      </c>
      <c r="Y45" s="959">
        <v>0</v>
      </c>
      <c r="Z45" s="959">
        <v>0</v>
      </c>
      <c r="AA45" s="959">
        <v>90537</v>
      </c>
      <c r="AB45" s="959">
        <v>50303</v>
      </c>
      <c r="AC45" s="959">
        <v>400</v>
      </c>
      <c r="AD45" s="959">
        <v>32500</v>
      </c>
      <c r="AE45" s="960">
        <f t="shared" si="6"/>
        <v>123437</v>
      </c>
      <c r="AG45" s="961">
        <v>123437</v>
      </c>
    </row>
    <row r="46" spans="1:33" ht="12.75">
      <c r="A46" s="1105"/>
      <c r="B46" s="957" t="s">
        <v>121</v>
      </c>
      <c r="C46" s="958" t="s">
        <v>565</v>
      </c>
      <c r="D46" s="958"/>
      <c r="E46" s="959">
        <v>3400</v>
      </c>
      <c r="F46" s="959"/>
      <c r="G46" s="959">
        <v>17065</v>
      </c>
      <c r="H46" s="959">
        <v>5526</v>
      </c>
      <c r="I46" s="959"/>
      <c r="J46" s="959"/>
      <c r="K46" s="959"/>
      <c r="L46" s="959">
        <v>0</v>
      </c>
      <c r="M46" s="959">
        <v>0</v>
      </c>
      <c r="N46" s="959">
        <v>0</v>
      </c>
      <c r="O46" s="959">
        <v>0</v>
      </c>
      <c r="P46" s="959">
        <v>0</v>
      </c>
      <c r="Q46" s="959">
        <v>0</v>
      </c>
      <c r="R46" s="959">
        <v>0</v>
      </c>
      <c r="S46" s="959">
        <v>97446</v>
      </c>
      <c r="T46" s="959">
        <f t="shared" si="4"/>
        <v>25991</v>
      </c>
      <c r="U46" s="960">
        <f t="shared" si="5"/>
        <v>123437</v>
      </c>
      <c r="V46" s="1108"/>
      <c r="W46" s="957" t="s">
        <v>121</v>
      </c>
      <c r="X46" s="958" t="s">
        <v>565</v>
      </c>
      <c r="Y46" s="959">
        <v>0</v>
      </c>
      <c r="Z46" s="959">
        <v>0</v>
      </c>
      <c r="AA46" s="959">
        <v>90492</v>
      </c>
      <c r="AB46" s="959">
        <v>50303</v>
      </c>
      <c r="AC46" s="959">
        <v>445</v>
      </c>
      <c r="AD46" s="959">
        <v>32500</v>
      </c>
      <c r="AE46" s="960">
        <f t="shared" si="6"/>
        <v>123437</v>
      </c>
      <c r="AG46" s="961"/>
    </row>
    <row r="47" spans="1:33" ht="12.75">
      <c r="A47" s="1105"/>
      <c r="B47" s="957" t="s">
        <v>121</v>
      </c>
      <c r="C47" s="962" t="s">
        <v>763</v>
      </c>
      <c r="D47" s="962"/>
      <c r="E47" s="959">
        <v>3400</v>
      </c>
      <c r="F47" s="959"/>
      <c r="G47" s="959">
        <v>17065</v>
      </c>
      <c r="H47" s="959">
        <v>5526</v>
      </c>
      <c r="I47" s="959"/>
      <c r="J47" s="959"/>
      <c r="K47" s="959"/>
      <c r="L47" s="959">
        <v>0</v>
      </c>
      <c r="M47" s="959">
        <v>0</v>
      </c>
      <c r="N47" s="959">
        <v>0</v>
      </c>
      <c r="O47" s="959">
        <v>0</v>
      </c>
      <c r="P47" s="959">
        <v>0</v>
      </c>
      <c r="Q47" s="959">
        <v>0</v>
      </c>
      <c r="R47" s="959">
        <v>0</v>
      </c>
      <c r="S47" s="959">
        <v>97446</v>
      </c>
      <c r="T47" s="959">
        <f t="shared" si="4"/>
        <v>25991</v>
      </c>
      <c r="U47" s="960">
        <f t="shared" si="5"/>
        <v>123437</v>
      </c>
      <c r="V47" s="1108"/>
      <c r="W47" s="957" t="s">
        <v>121</v>
      </c>
      <c r="X47" s="958" t="s">
        <v>763</v>
      </c>
      <c r="Y47" s="959">
        <v>0</v>
      </c>
      <c r="Z47" s="959">
        <v>0</v>
      </c>
      <c r="AA47" s="959">
        <v>90492</v>
      </c>
      <c r="AB47" s="959">
        <v>50303</v>
      </c>
      <c r="AC47" s="959">
        <v>445</v>
      </c>
      <c r="AD47" s="959">
        <v>32500</v>
      </c>
      <c r="AE47" s="960">
        <f t="shared" si="6"/>
        <v>123437</v>
      </c>
      <c r="AG47" s="961"/>
    </row>
    <row r="48" spans="1:33" ht="12.75">
      <c r="A48" s="1105"/>
      <c r="B48" s="957" t="s">
        <v>121</v>
      </c>
      <c r="C48" s="962" t="s">
        <v>924</v>
      </c>
      <c r="D48" s="962"/>
      <c r="E48" s="959">
        <v>3400</v>
      </c>
      <c r="F48" s="959"/>
      <c r="G48" s="959">
        <v>17065</v>
      </c>
      <c r="H48" s="959">
        <v>5526</v>
      </c>
      <c r="I48" s="959"/>
      <c r="J48" s="959"/>
      <c r="K48" s="959"/>
      <c r="L48" s="959">
        <v>0</v>
      </c>
      <c r="M48" s="959">
        <v>0</v>
      </c>
      <c r="N48" s="959">
        <v>0</v>
      </c>
      <c r="O48" s="959">
        <v>0</v>
      </c>
      <c r="P48" s="959">
        <v>0</v>
      </c>
      <c r="Q48" s="959">
        <v>0</v>
      </c>
      <c r="R48" s="959">
        <v>0</v>
      </c>
      <c r="S48" s="959">
        <v>97446</v>
      </c>
      <c r="T48" s="959">
        <f t="shared" si="4"/>
        <v>25991</v>
      </c>
      <c r="U48" s="960">
        <f t="shared" si="5"/>
        <v>123437</v>
      </c>
      <c r="V48" s="1108"/>
      <c r="W48" s="957" t="s">
        <v>121</v>
      </c>
      <c r="X48" s="962" t="s">
        <v>924</v>
      </c>
      <c r="Y48" s="959">
        <v>0</v>
      </c>
      <c r="Z48" s="959">
        <v>0</v>
      </c>
      <c r="AA48" s="959">
        <v>90492</v>
      </c>
      <c r="AB48" s="959">
        <v>50303</v>
      </c>
      <c r="AC48" s="959">
        <v>445</v>
      </c>
      <c r="AD48" s="959">
        <v>32500</v>
      </c>
      <c r="AE48" s="960">
        <f t="shared" si="6"/>
        <v>123437</v>
      </c>
      <c r="AG48" s="961"/>
    </row>
    <row r="49" spans="1:33" ht="12.75">
      <c r="A49" s="1106"/>
      <c r="B49" s="957" t="s">
        <v>121</v>
      </c>
      <c r="C49" s="962" t="s">
        <v>1045</v>
      </c>
      <c r="D49" s="962"/>
      <c r="E49" s="959">
        <v>3400</v>
      </c>
      <c r="F49" s="959"/>
      <c r="G49" s="959">
        <v>17615</v>
      </c>
      <c r="H49" s="959">
        <v>5526</v>
      </c>
      <c r="I49" s="959"/>
      <c r="J49" s="959"/>
      <c r="K49" s="959"/>
      <c r="L49" s="959">
        <v>0</v>
      </c>
      <c r="M49" s="959">
        <v>0</v>
      </c>
      <c r="N49" s="959">
        <v>0</v>
      </c>
      <c r="O49" s="959">
        <v>0</v>
      </c>
      <c r="P49" s="959">
        <v>0</v>
      </c>
      <c r="Q49" s="959">
        <v>0</v>
      </c>
      <c r="R49" s="959">
        <v>0</v>
      </c>
      <c r="S49" s="959">
        <v>94446</v>
      </c>
      <c r="T49" s="959">
        <f t="shared" si="4"/>
        <v>26541</v>
      </c>
      <c r="U49" s="960">
        <f t="shared" si="5"/>
        <v>120987</v>
      </c>
      <c r="V49" s="1109"/>
      <c r="W49" s="957" t="s">
        <v>121</v>
      </c>
      <c r="X49" s="962" t="s">
        <v>1045</v>
      </c>
      <c r="Y49" s="959">
        <v>0</v>
      </c>
      <c r="Z49" s="959"/>
      <c r="AA49" s="959">
        <v>88042</v>
      </c>
      <c r="AB49" s="959">
        <v>50303</v>
      </c>
      <c r="AC49" s="959">
        <v>445</v>
      </c>
      <c r="AD49" s="959">
        <v>32500</v>
      </c>
      <c r="AE49" s="960">
        <f t="shared" si="6"/>
        <v>120987</v>
      </c>
      <c r="AG49" s="961"/>
    </row>
    <row r="50" spans="1:33" ht="12.75" customHeight="1">
      <c r="A50" s="1104" t="s">
        <v>179</v>
      </c>
      <c r="B50" s="957" t="s">
        <v>121</v>
      </c>
      <c r="C50" s="958" t="s">
        <v>4</v>
      </c>
      <c r="D50" s="958"/>
      <c r="E50" s="959">
        <v>0</v>
      </c>
      <c r="F50" s="959"/>
      <c r="G50" s="959">
        <v>0</v>
      </c>
      <c r="H50" s="959">
        <v>0</v>
      </c>
      <c r="I50" s="959"/>
      <c r="J50" s="959"/>
      <c r="K50" s="959"/>
      <c r="L50" s="959">
        <v>0</v>
      </c>
      <c r="M50" s="959">
        <v>0</v>
      </c>
      <c r="N50" s="959">
        <v>0</v>
      </c>
      <c r="O50" s="959">
        <v>0</v>
      </c>
      <c r="P50" s="959">
        <v>0</v>
      </c>
      <c r="Q50" s="959">
        <v>0</v>
      </c>
      <c r="R50" s="959">
        <v>0</v>
      </c>
      <c r="S50" s="959">
        <v>1760</v>
      </c>
      <c r="T50" s="959">
        <f t="shared" si="4"/>
        <v>0</v>
      </c>
      <c r="U50" s="960">
        <f t="shared" si="5"/>
        <v>1760</v>
      </c>
      <c r="V50" s="1104" t="s">
        <v>179</v>
      </c>
      <c r="W50" s="957" t="s">
        <v>121</v>
      </c>
      <c r="X50" s="958" t="s">
        <v>4</v>
      </c>
      <c r="Y50" s="959">
        <v>0</v>
      </c>
      <c r="Z50" s="959">
        <v>0</v>
      </c>
      <c r="AA50" s="959">
        <v>1760</v>
      </c>
      <c r="AB50" s="959">
        <v>0</v>
      </c>
      <c r="AC50" s="959">
        <v>0</v>
      </c>
      <c r="AD50" s="959">
        <v>0</v>
      </c>
      <c r="AE50" s="960">
        <f t="shared" si="6"/>
        <v>1760</v>
      </c>
      <c r="AG50" s="961">
        <v>1760</v>
      </c>
    </row>
    <row r="51" spans="1:33" ht="12.75">
      <c r="A51" s="1105"/>
      <c r="B51" s="957" t="s">
        <v>121</v>
      </c>
      <c r="C51" s="958" t="s">
        <v>565</v>
      </c>
      <c r="D51" s="958"/>
      <c r="E51" s="959">
        <v>0</v>
      </c>
      <c r="F51" s="959"/>
      <c r="G51" s="959">
        <v>0</v>
      </c>
      <c r="H51" s="959">
        <v>0</v>
      </c>
      <c r="I51" s="959"/>
      <c r="J51" s="959"/>
      <c r="K51" s="959"/>
      <c r="L51" s="959">
        <v>0</v>
      </c>
      <c r="M51" s="959">
        <v>0</v>
      </c>
      <c r="N51" s="959">
        <v>0</v>
      </c>
      <c r="O51" s="959">
        <v>0</v>
      </c>
      <c r="P51" s="959">
        <v>0</v>
      </c>
      <c r="Q51" s="959">
        <v>0</v>
      </c>
      <c r="R51" s="959">
        <v>0</v>
      </c>
      <c r="S51" s="959">
        <v>1760</v>
      </c>
      <c r="T51" s="959">
        <f t="shared" si="4"/>
        <v>0</v>
      </c>
      <c r="U51" s="960">
        <f t="shared" si="5"/>
        <v>1760</v>
      </c>
      <c r="V51" s="1105"/>
      <c r="W51" s="957" t="s">
        <v>121</v>
      </c>
      <c r="X51" s="958" t="s">
        <v>565</v>
      </c>
      <c r="Y51" s="959">
        <v>0</v>
      </c>
      <c r="Z51" s="959">
        <v>0</v>
      </c>
      <c r="AA51" s="959">
        <v>1740</v>
      </c>
      <c r="AB51" s="959">
        <v>0</v>
      </c>
      <c r="AC51" s="959">
        <v>20</v>
      </c>
      <c r="AD51" s="959">
        <v>0</v>
      </c>
      <c r="AE51" s="960">
        <f t="shared" si="6"/>
        <v>1760</v>
      </c>
      <c r="AG51" s="961"/>
    </row>
    <row r="52" spans="1:33" ht="12.75">
      <c r="A52" s="1105"/>
      <c r="B52" s="957" t="s">
        <v>121</v>
      </c>
      <c r="C52" s="962" t="s">
        <v>763</v>
      </c>
      <c r="D52" s="958"/>
      <c r="E52" s="959">
        <v>0</v>
      </c>
      <c r="F52" s="959"/>
      <c r="G52" s="959">
        <v>0</v>
      </c>
      <c r="H52" s="959">
        <v>0</v>
      </c>
      <c r="I52" s="959"/>
      <c r="J52" s="959"/>
      <c r="K52" s="959"/>
      <c r="L52" s="959">
        <v>0</v>
      </c>
      <c r="M52" s="959">
        <v>0</v>
      </c>
      <c r="N52" s="959">
        <v>0</v>
      </c>
      <c r="O52" s="959">
        <v>0</v>
      </c>
      <c r="P52" s="959">
        <v>0</v>
      </c>
      <c r="Q52" s="959">
        <v>0</v>
      </c>
      <c r="R52" s="959">
        <v>0</v>
      </c>
      <c r="S52" s="959">
        <v>1760</v>
      </c>
      <c r="T52" s="959">
        <f t="shared" si="4"/>
        <v>0</v>
      </c>
      <c r="U52" s="960">
        <f t="shared" si="5"/>
        <v>1760</v>
      </c>
      <c r="V52" s="1105"/>
      <c r="W52" s="957" t="s">
        <v>121</v>
      </c>
      <c r="X52" s="958" t="s">
        <v>763</v>
      </c>
      <c r="Y52" s="959">
        <v>0</v>
      </c>
      <c r="Z52" s="959">
        <v>0</v>
      </c>
      <c r="AA52" s="959">
        <v>1726</v>
      </c>
      <c r="AB52" s="959">
        <v>0</v>
      </c>
      <c r="AC52" s="959">
        <v>34</v>
      </c>
      <c r="AD52" s="959">
        <v>0</v>
      </c>
      <c r="AE52" s="960">
        <f t="shared" si="6"/>
        <v>1760</v>
      </c>
      <c r="AG52" s="961"/>
    </row>
    <row r="53" spans="1:33" ht="12.75">
      <c r="A53" s="1105"/>
      <c r="B53" s="957" t="s">
        <v>121</v>
      </c>
      <c r="C53" s="962" t="s">
        <v>924</v>
      </c>
      <c r="D53" s="958"/>
      <c r="E53" s="959">
        <v>0</v>
      </c>
      <c r="F53" s="959"/>
      <c r="G53" s="959">
        <v>0</v>
      </c>
      <c r="H53" s="959">
        <v>0</v>
      </c>
      <c r="I53" s="959"/>
      <c r="J53" s="959"/>
      <c r="K53" s="959"/>
      <c r="L53" s="959">
        <v>0</v>
      </c>
      <c r="M53" s="959">
        <v>0</v>
      </c>
      <c r="N53" s="959">
        <v>0</v>
      </c>
      <c r="O53" s="959">
        <v>0</v>
      </c>
      <c r="P53" s="959">
        <v>0</v>
      </c>
      <c r="Q53" s="959">
        <v>0</v>
      </c>
      <c r="R53" s="959">
        <v>0</v>
      </c>
      <c r="S53" s="959">
        <v>1760</v>
      </c>
      <c r="T53" s="959">
        <f t="shared" si="4"/>
        <v>0</v>
      </c>
      <c r="U53" s="960">
        <f t="shared" si="5"/>
        <v>1760</v>
      </c>
      <c r="V53" s="1105"/>
      <c r="W53" s="957" t="s">
        <v>121</v>
      </c>
      <c r="X53" s="962" t="s">
        <v>924</v>
      </c>
      <c r="Y53" s="959">
        <v>0</v>
      </c>
      <c r="Z53" s="959">
        <v>0</v>
      </c>
      <c r="AA53" s="959">
        <v>1703</v>
      </c>
      <c r="AB53" s="959">
        <v>0</v>
      </c>
      <c r="AC53" s="959">
        <v>57</v>
      </c>
      <c r="AD53" s="959">
        <v>0</v>
      </c>
      <c r="AE53" s="960">
        <f t="shared" si="6"/>
        <v>1760</v>
      </c>
      <c r="AG53" s="961"/>
    </row>
    <row r="54" spans="1:33" ht="12.75">
      <c r="A54" s="1106"/>
      <c r="B54" s="957" t="s">
        <v>121</v>
      </c>
      <c r="C54" s="962" t="s">
        <v>1045</v>
      </c>
      <c r="D54" s="958"/>
      <c r="E54" s="959">
        <v>0</v>
      </c>
      <c r="F54" s="959"/>
      <c r="G54" s="959">
        <v>0</v>
      </c>
      <c r="H54" s="959">
        <v>0</v>
      </c>
      <c r="I54" s="959"/>
      <c r="J54" s="959"/>
      <c r="K54" s="959"/>
      <c r="L54" s="959">
        <v>0</v>
      </c>
      <c r="M54" s="959">
        <v>0</v>
      </c>
      <c r="N54" s="959">
        <v>0</v>
      </c>
      <c r="O54" s="959">
        <v>0</v>
      </c>
      <c r="P54" s="959">
        <v>0</v>
      </c>
      <c r="Q54" s="959">
        <v>0</v>
      </c>
      <c r="R54" s="959">
        <v>0</v>
      </c>
      <c r="S54" s="959">
        <v>760</v>
      </c>
      <c r="T54" s="959">
        <f t="shared" si="4"/>
        <v>0</v>
      </c>
      <c r="U54" s="960">
        <f t="shared" si="5"/>
        <v>760</v>
      </c>
      <c r="V54" s="1106"/>
      <c r="W54" s="957" t="s">
        <v>121</v>
      </c>
      <c r="X54" s="962" t="s">
        <v>1045</v>
      </c>
      <c r="Y54" s="959">
        <v>0</v>
      </c>
      <c r="Z54" s="959">
        <v>0</v>
      </c>
      <c r="AA54" s="959">
        <v>703</v>
      </c>
      <c r="AB54" s="959">
        <v>0</v>
      </c>
      <c r="AC54" s="959">
        <v>57</v>
      </c>
      <c r="AD54" s="959">
        <v>0</v>
      </c>
      <c r="AE54" s="960">
        <f t="shared" si="6"/>
        <v>760</v>
      </c>
      <c r="AG54" s="961"/>
    </row>
    <row r="55" spans="1:33" ht="12.75" customHeight="1">
      <c r="A55" s="1104" t="s">
        <v>180</v>
      </c>
      <c r="B55" s="957" t="s">
        <v>121</v>
      </c>
      <c r="C55" s="958" t="s">
        <v>4</v>
      </c>
      <c r="D55" s="958"/>
      <c r="E55" s="959">
        <v>0</v>
      </c>
      <c r="F55" s="959"/>
      <c r="G55" s="959">
        <v>0</v>
      </c>
      <c r="H55" s="959">
        <v>0</v>
      </c>
      <c r="I55" s="959"/>
      <c r="J55" s="959"/>
      <c r="K55" s="959"/>
      <c r="L55" s="959">
        <v>0</v>
      </c>
      <c r="M55" s="959">
        <v>0</v>
      </c>
      <c r="N55" s="959">
        <v>0</v>
      </c>
      <c r="O55" s="959">
        <v>0</v>
      </c>
      <c r="P55" s="959">
        <v>0</v>
      </c>
      <c r="Q55" s="959">
        <v>0</v>
      </c>
      <c r="R55" s="959">
        <v>0</v>
      </c>
      <c r="S55" s="959">
        <v>39485</v>
      </c>
      <c r="T55" s="959">
        <f t="shared" si="4"/>
        <v>0</v>
      </c>
      <c r="U55" s="960">
        <f t="shared" si="5"/>
        <v>39485</v>
      </c>
      <c r="V55" s="1104" t="s">
        <v>180</v>
      </c>
      <c r="W55" s="957" t="s">
        <v>121</v>
      </c>
      <c r="X55" s="958" t="s">
        <v>4</v>
      </c>
      <c r="Y55" s="959">
        <v>0</v>
      </c>
      <c r="Z55" s="959">
        <v>0</v>
      </c>
      <c r="AA55" s="959">
        <v>38525</v>
      </c>
      <c r="AB55" s="959">
        <v>26770</v>
      </c>
      <c r="AC55" s="959">
        <v>650</v>
      </c>
      <c r="AD55" s="959">
        <v>310</v>
      </c>
      <c r="AE55" s="960">
        <f t="shared" si="6"/>
        <v>39485</v>
      </c>
      <c r="AG55" s="961">
        <v>39485</v>
      </c>
    </row>
    <row r="56" spans="1:33" ht="12.75">
      <c r="A56" s="1105"/>
      <c r="B56" s="957" t="s">
        <v>121</v>
      </c>
      <c r="C56" s="958" t="s">
        <v>565</v>
      </c>
      <c r="D56" s="958"/>
      <c r="E56" s="959">
        <v>120</v>
      </c>
      <c r="F56" s="959"/>
      <c r="G56" s="959">
        <v>12024</v>
      </c>
      <c r="H56" s="959">
        <v>3225</v>
      </c>
      <c r="I56" s="959"/>
      <c r="J56" s="959"/>
      <c r="K56" s="959"/>
      <c r="L56" s="959">
        <v>0</v>
      </c>
      <c r="M56" s="959">
        <v>0</v>
      </c>
      <c r="N56" s="959">
        <v>0</v>
      </c>
      <c r="O56" s="959">
        <v>0</v>
      </c>
      <c r="P56" s="959">
        <v>0</v>
      </c>
      <c r="Q56" s="959">
        <v>0</v>
      </c>
      <c r="R56" s="959">
        <v>0</v>
      </c>
      <c r="S56" s="959">
        <v>24116</v>
      </c>
      <c r="T56" s="959">
        <f t="shared" si="4"/>
        <v>15369</v>
      </c>
      <c r="U56" s="960">
        <f t="shared" si="5"/>
        <v>39485</v>
      </c>
      <c r="V56" s="1105"/>
      <c r="W56" s="957" t="s">
        <v>121</v>
      </c>
      <c r="X56" s="958" t="s">
        <v>565</v>
      </c>
      <c r="Y56" s="959">
        <v>0</v>
      </c>
      <c r="Z56" s="959">
        <v>0</v>
      </c>
      <c r="AA56" s="959">
        <v>38525</v>
      </c>
      <c r="AB56" s="959">
        <v>26770</v>
      </c>
      <c r="AC56" s="959">
        <v>650</v>
      </c>
      <c r="AD56" s="959">
        <v>310</v>
      </c>
      <c r="AE56" s="960">
        <f t="shared" si="6"/>
        <v>39485</v>
      </c>
      <c r="AG56" s="961"/>
    </row>
    <row r="57" spans="1:33" ht="12.75">
      <c r="A57" s="1105"/>
      <c r="B57" s="957" t="s">
        <v>121</v>
      </c>
      <c r="C57" s="962" t="s">
        <v>763</v>
      </c>
      <c r="D57" s="962"/>
      <c r="E57" s="959">
        <v>120</v>
      </c>
      <c r="F57" s="959"/>
      <c r="G57" s="959">
        <v>12024</v>
      </c>
      <c r="H57" s="959">
        <v>3225</v>
      </c>
      <c r="I57" s="959"/>
      <c r="J57" s="959"/>
      <c r="K57" s="959"/>
      <c r="L57" s="959">
        <v>0</v>
      </c>
      <c r="M57" s="959">
        <v>0</v>
      </c>
      <c r="N57" s="959">
        <v>0</v>
      </c>
      <c r="O57" s="959">
        <v>0</v>
      </c>
      <c r="P57" s="959">
        <v>0</v>
      </c>
      <c r="Q57" s="959">
        <v>0</v>
      </c>
      <c r="R57" s="959">
        <v>0</v>
      </c>
      <c r="S57" s="959">
        <v>24116</v>
      </c>
      <c r="T57" s="959">
        <f t="shared" si="4"/>
        <v>15369</v>
      </c>
      <c r="U57" s="960">
        <f t="shared" si="5"/>
        <v>39485</v>
      </c>
      <c r="V57" s="1105"/>
      <c r="W57" s="957" t="s">
        <v>121</v>
      </c>
      <c r="X57" s="958" t="s">
        <v>763</v>
      </c>
      <c r="Y57" s="959">
        <v>0</v>
      </c>
      <c r="Z57" s="959">
        <v>0</v>
      </c>
      <c r="AA57" s="959">
        <v>38525</v>
      </c>
      <c r="AB57" s="959">
        <v>26770</v>
      </c>
      <c r="AC57" s="959">
        <v>650</v>
      </c>
      <c r="AD57" s="959">
        <v>310</v>
      </c>
      <c r="AE57" s="960">
        <f t="shared" si="6"/>
        <v>39485</v>
      </c>
      <c r="AG57" s="961"/>
    </row>
    <row r="58" spans="1:33" ht="12.75">
      <c r="A58" s="1105"/>
      <c r="B58" s="957" t="s">
        <v>121</v>
      </c>
      <c r="C58" s="962" t="s">
        <v>924</v>
      </c>
      <c r="D58" s="962"/>
      <c r="E58" s="959">
        <v>120</v>
      </c>
      <c r="F58" s="959"/>
      <c r="G58" s="959">
        <v>12024</v>
      </c>
      <c r="H58" s="959">
        <v>3225</v>
      </c>
      <c r="I58" s="959"/>
      <c r="J58" s="959"/>
      <c r="K58" s="959"/>
      <c r="L58" s="959">
        <v>0</v>
      </c>
      <c r="M58" s="959">
        <v>0</v>
      </c>
      <c r="N58" s="959">
        <v>0</v>
      </c>
      <c r="O58" s="959">
        <v>0</v>
      </c>
      <c r="P58" s="959">
        <v>0</v>
      </c>
      <c r="Q58" s="959">
        <v>0</v>
      </c>
      <c r="R58" s="959">
        <v>0</v>
      </c>
      <c r="S58" s="959">
        <v>24116</v>
      </c>
      <c r="T58" s="959">
        <f t="shared" si="4"/>
        <v>15369</v>
      </c>
      <c r="U58" s="960">
        <f t="shared" si="5"/>
        <v>39485</v>
      </c>
      <c r="V58" s="1105"/>
      <c r="W58" s="957" t="s">
        <v>121</v>
      </c>
      <c r="X58" s="962" t="s">
        <v>924</v>
      </c>
      <c r="Y58" s="959">
        <v>0</v>
      </c>
      <c r="Z58" s="959">
        <v>0</v>
      </c>
      <c r="AA58" s="959">
        <v>38525</v>
      </c>
      <c r="AB58" s="959">
        <v>26770</v>
      </c>
      <c r="AC58" s="959">
        <v>650</v>
      </c>
      <c r="AD58" s="959">
        <v>310</v>
      </c>
      <c r="AE58" s="960">
        <f t="shared" si="6"/>
        <v>39485</v>
      </c>
      <c r="AG58" s="961"/>
    </row>
    <row r="59" spans="1:33" ht="12.75">
      <c r="A59" s="1106"/>
      <c r="B59" s="957" t="s">
        <v>121</v>
      </c>
      <c r="C59" s="962" t="s">
        <v>1045</v>
      </c>
      <c r="D59" s="962"/>
      <c r="E59" s="959">
        <v>0</v>
      </c>
      <c r="F59" s="959"/>
      <c r="G59" s="959">
        <v>12389</v>
      </c>
      <c r="H59" s="959">
        <v>3347</v>
      </c>
      <c r="I59" s="959"/>
      <c r="J59" s="959"/>
      <c r="K59" s="959"/>
      <c r="L59" s="959">
        <v>0</v>
      </c>
      <c r="M59" s="959">
        <v>0</v>
      </c>
      <c r="N59" s="959">
        <v>0</v>
      </c>
      <c r="O59" s="959">
        <v>0</v>
      </c>
      <c r="P59" s="959">
        <v>0</v>
      </c>
      <c r="Q59" s="959">
        <v>0</v>
      </c>
      <c r="R59" s="959">
        <v>0</v>
      </c>
      <c r="S59" s="959">
        <v>24116</v>
      </c>
      <c r="T59" s="959">
        <f t="shared" si="4"/>
        <v>15736</v>
      </c>
      <c r="U59" s="960">
        <f t="shared" si="5"/>
        <v>39852</v>
      </c>
      <c r="V59" s="1106"/>
      <c r="W59" s="957" t="s">
        <v>121</v>
      </c>
      <c r="X59" s="962" t="s">
        <v>1045</v>
      </c>
      <c r="Y59" s="959">
        <v>0</v>
      </c>
      <c r="Z59" s="959">
        <v>0</v>
      </c>
      <c r="AA59" s="959">
        <v>39163</v>
      </c>
      <c r="AB59" s="959">
        <v>26770</v>
      </c>
      <c r="AC59" s="959">
        <v>379</v>
      </c>
      <c r="AD59" s="959">
        <v>310</v>
      </c>
      <c r="AE59" s="960">
        <f t="shared" si="6"/>
        <v>39852</v>
      </c>
      <c r="AG59" s="961"/>
    </row>
    <row r="60" spans="1:33" ht="12.75">
      <c r="A60" s="1104" t="s">
        <v>181</v>
      </c>
      <c r="B60" s="957" t="s">
        <v>121</v>
      </c>
      <c r="C60" s="964" t="s">
        <v>4</v>
      </c>
      <c r="D60" s="964"/>
      <c r="E60" s="960">
        <v>3520</v>
      </c>
      <c r="F60" s="960"/>
      <c r="G60" s="960">
        <v>29089</v>
      </c>
      <c r="H60" s="960">
        <v>8751</v>
      </c>
      <c r="I60" s="960"/>
      <c r="J60" s="960"/>
      <c r="K60" s="960"/>
      <c r="L60" s="960">
        <v>0</v>
      </c>
      <c r="M60" s="960">
        <v>0</v>
      </c>
      <c r="N60" s="960">
        <v>0</v>
      </c>
      <c r="O60" s="960">
        <v>0</v>
      </c>
      <c r="P60" s="960">
        <v>0</v>
      </c>
      <c r="Q60" s="960">
        <v>0</v>
      </c>
      <c r="R60" s="960">
        <v>0</v>
      </c>
      <c r="S60" s="959">
        <v>123322</v>
      </c>
      <c r="T60" s="959">
        <f t="shared" si="4"/>
        <v>41360</v>
      </c>
      <c r="U60" s="960">
        <f t="shared" si="5"/>
        <v>164682</v>
      </c>
      <c r="V60" s="1104" t="s">
        <v>181</v>
      </c>
      <c r="W60" s="957" t="s">
        <v>121</v>
      </c>
      <c r="X60" s="958" t="s">
        <v>4</v>
      </c>
      <c r="Y60" s="960">
        <v>0</v>
      </c>
      <c r="Z60" s="960">
        <v>0</v>
      </c>
      <c r="AA60" s="960">
        <v>130822</v>
      </c>
      <c r="AB60" s="960">
        <v>77073</v>
      </c>
      <c r="AC60" s="960">
        <v>1050</v>
      </c>
      <c r="AD60" s="960">
        <v>32810</v>
      </c>
      <c r="AE60" s="960">
        <f t="shared" si="6"/>
        <v>164682</v>
      </c>
      <c r="AF60" s="955">
        <v>0</v>
      </c>
      <c r="AG60" s="961"/>
    </row>
    <row r="61" spans="1:33" ht="12.75">
      <c r="A61" s="1105"/>
      <c r="B61" s="957" t="s">
        <v>121</v>
      </c>
      <c r="C61" s="958" t="s">
        <v>565</v>
      </c>
      <c r="D61" s="958"/>
      <c r="E61" s="960">
        <v>3520</v>
      </c>
      <c r="F61" s="960"/>
      <c r="G61" s="960">
        <v>29089</v>
      </c>
      <c r="H61" s="960">
        <v>8751</v>
      </c>
      <c r="I61" s="960"/>
      <c r="J61" s="960"/>
      <c r="K61" s="960"/>
      <c r="L61" s="960">
        <v>0</v>
      </c>
      <c r="M61" s="960">
        <v>0</v>
      </c>
      <c r="N61" s="960">
        <v>0</v>
      </c>
      <c r="O61" s="960">
        <v>0</v>
      </c>
      <c r="P61" s="960">
        <v>0</v>
      </c>
      <c r="Q61" s="960">
        <v>0</v>
      </c>
      <c r="R61" s="960">
        <v>0</v>
      </c>
      <c r="S61" s="960">
        <v>123322</v>
      </c>
      <c r="T61" s="959">
        <f t="shared" si="4"/>
        <v>41360</v>
      </c>
      <c r="U61" s="960">
        <f t="shared" si="5"/>
        <v>164682</v>
      </c>
      <c r="V61" s="1105"/>
      <c r="W61" s="957" t="s">
        <v>121</v>
      </c>
      <c r="X61" s="958" t="s">
        <v>565</v>
      </c>
      <c r="Y61" s="960">
        <v>0</v>
      </c>
      <c r="Z61" s="960">
        <v>0</v>
      </c>
      <c r="AA61" s="960">
        <v>130757</v>
      </c>
      <c r="AB61" s="960">
        <v>77073</v>
      </c>
      <c r="AC61" s="960">
        <v>1115</v>
      </c>
      <c r="AD61" s="960">
        <v>32810</v>
      </c>
      <c r="AE61" s="960">
        <f t="shared" si="6"/>
        <v>164682</v>
      </c>
      <c r="AG61" s="961"/>
    </row>
    <row r="62" spans="1:33" ht="12.75">
      <c r="A62" s="1105"/>
      <c r="B62" s="957" t="s">
        <v>121</v>
      </c>
      <c r="C62" s="962" t="s">
        <v>763</v>
      </c>
      <c r="D62" s="962"/>
      <c r="E62" s="960">
        <v>3520</v>
      </c>
      <c r="F62" s="960"/>
      <c r="G62" s="960">
        <v>29089</v>
      </c>
      <c r="H62" s="960">
        <v>8751</v>
      </c>
      <c r="I62" s="960"/>
      <c r="J62" s="960"/>
      <c r="K62" s="960"/>
      <c r="L62" s="960">
        <v>0</v>
      </c>
      <c r="M62" s="960">
        <v>0</v>
      </c>
      <c r="N62" s="960">
        <v>0</v>
      </c>
      <c r="O62" s="960">
        <v>0</v>
      </c>
      <c r="P62" s="960">
        <v>0</v>
      </c>
      <c r="Q62" s="960">
        <v>0</v>
      </c>
      <c r="R62" s="960">
        <v>0</v>
      </c>
      <c r="S62" s="960">
        <v>123322</v>
      </c>
      <c r="T62" s="960">
        <f t="shared" si="4"/>
        <v>41360</v>
      </c>
      <c r="U62" s="960">
        <f t="shared" si="5"/>
        <v>164682</v>
      </c>
      <c r="V62" s="1105"/>
      <c r="W62" s="957" t="s">
        <v>121</v>
      </c>
      <c r="X62" s="958" t="s">
        <v>763</v>
      </c>
      <c r="Y62" s="960">
        <v>0</v>
      </c>
      <c r="Z62" s="960">
        <v>0</v>
      </c>
      <c r="AA62" s="960">
        <v>130743</v>
      </c>
      <c r="AB62" s="960">
        <v>77073</v>
      </c>
      <c r="AC62" s="960">
        <v>1129</v>
      </c>
      <c r="AD62" s="960">
        <v>32810</v>
      </c>
      <c r="AE62" s="960">
        <f t="shared" si="6"/>
        <v>164682</v>
      </c>
      <c r="AG62" s="961"/>
    </row>
    <row r="63" spans="1:33" ht="12.75">
      <c r="A63" s="1105"/>
      <c r="B63" s="957" t="s">
        <v>121</v>
      </c>
      <c r="C63" s="962" t="s">
        <v>924</v>
      </c>
      <c r="D63" s="962"/>
      <c r="E63" s="960">
        <v>3520</v>
      </c>
      <c r="F63" s="960"/>
      <c r="G63" s="960">
        <v>29089</v>
      </c>
      <c r="H63" s="960">
        <v>8751</v>
      </c>
      <c r="I63" s="960"/>
      <c r="J63" s="960"/>
      <c r="K63" s="960"/>
      <c r="L63" s="960">
        <v>0</v>
      </c>
      <c r="M63" s="960">
        <v>0</v>
      </c>
      <c r="N63" s="960">
        <v>0</v>
      </c>
      <c r="O63" s="960">
        <v>0</v>
      </c>
      <c r="P63" s="960">
        <v>0</v>
      </c>
      <c r="Q63" s="960">
        <v>0</v>
      </c>
      <c r="R63" s="960">
        <v>0</v>
      </c>
      <c r="S63" s="960">
        <v>123322</v>
      </c>
      <c r="T63" s="960">
        <f t="shared" si="4"/>
        <v>41360</v>
      </c>
      <c r="U63" s="960">
        <f t="shared" si="5"/>
        <v>164682</v>
      </c>
      <c r="V63" s="1105"/>
      <c r="W63" s="957" t="s">
        <v>121</v>
      </c>
      <c r="X63" s="962" t="s">
        <v>924</v>
      </c>
      <c r="Y63" s="960">
        <v>0</v>
      </c>
      <c r="Z63" s="960">
        <v>0</v>
      </c>
      <c r="AA63" s="960">
        <v>130720</v>
      </c>
      <c r="AB63" s="960">
        <v>77073</v>
      </c>
      <c r="AC63" s="960">
        <v>1152</v>
      </c>
      <c r="AD63" s="960">
        <v>32810</v>
      </c>
      <c r="AE63" s="960">
        <f t="shared" si="6"/>
        <v>164682</v>
      </c>
      <c r="AG63" s="961"/>
    </row>
    <row r="64" spans="1:33" ht="12.75">
      <c r="A64" s="1106"/>
      <c r="B64" s="957" t="s">
        <v>121</v>
      </c>
      <c r="C64" s="962" t="s">
        <v>1045</v>
      </c>
      <c r="D64" s="962"/>
      <c r="E64" s="960">
        <v>3400</v>
      </c>
      <c r="F64" s="960"/>
      <c r="G64" s="960">
        <v>30004</v>
      </c>
      <c r="H64" s="960">
        <v>8873</v>
      </c>
      <c r="I64" s="960"/>
      <c r="J64" s="960"/>
      <c r="K64" s="960"/>
      <c r="L64" s="960">
        <v>0</v>
      </c>
      <c r="M64" s="960">
        <v>0</v>
      </c>
      <c r="N64" s="960">
        <v>0</v>
      </c>
      <c r="O64" s="960">
        <v>0</v>
      </c>
      <c r="P64" s="960">
        <v>0</v>
      </c>
      <c r="Q64" s="960">
        <v>0</v>
      </c>
      <c r="R64" s="960">
        <v>0</v>
      </c>
      <c r="S64" s="960">
        <v>119322</v>
      </c>
      <c r="T64" s="960">
        <f t="shared" si="4"/>
        <v>42277</v>
      </c>
      <c r="U64" s="960">
        <f t="shared" si="5"/>
        <v>161599</v>
      </c>
      <c r="V64" s="1106"/>
      <c r="W64" s="957" t="s">
        <v>121</v>
      </c>
      <c r="X64" s="962" t="s">
        <v>1045</v>
      </c>
      <c r="Y64" s="960">
        <v>0</v>
      </c>
      <c r="Z64" s="960">
        <v>0</v>
      </c>
      <c r="AA64" s="960">
        <v>127908</v>
      </c>
      <c r="AB64" s="960">
        <v>77073</v>
      </c>
      <c r="AC64" s="960">
        <v>881</v>
      </c>
      <c r="AD64" s="960">
        <v>32810</v>
      </c>
      <c r="AE64" s="960">
        <f t="shared" si="6"/>
        <v>161599</v>
      </c>
      <c r="AG64" s="961"/>
    </row>
    <row r="65" spans="1:33" ht="12.75" customHeight="1">
      <c r="A65" s="1104" t="s">
        <v>182</v>
      </c>
      <c r="B65" s="957" t="s">
        <v>121</v>
      </c>
      <c r="C65" s="958" t="s">
        <v>4</v>
      </c>
      <c r="D65" s="958"/>
      <c r="E65" s="959">
        <v>7644</v>
      </c>
      <c r="F65" s="959"/>
      <c r="G65" s="959">
        <v>20865</v>
      </c>
      <c r="H65" s="959">
        <v>6665</v>
      </c>
      <c r="I65" s="959"/>
      <c r="J65" s="959"/>
      <c r="K65" s="959"/>
      <c r="L65" s="959">
        <v>0</v>
      </c>
      <c r="M65" s="959">
        <v>0</v>
      </c>
      <c r="N65" s="959">
        <v>0</v>
      </c>
      <c r="O65" s="959">
        <v>0</v>
      </c>
      <c r="P65" s="959">
        <v>0</v>
      </c>
      <c r="Q65" s="959">
        <v>0</v>
      </c>
      <c r="R65" s="959">
        <v>0</v>
      </c>
      <c r="S65" s="959">
        <v>113609</v>
      </c>
      <c r="T65" s="959">
        <f t="shared" si="4"/>
        <v>35174</v>
      </c>
      <c r="U65" s="960">
        <f t="shared" si="5"/>
        <v>148783</v>
      </c>
      <c r="V65" s="1104" t="s">
        <v>182</v>
      </c>
      <c r="W65" s="957" t="s">
        <v>121</v>
      </c>
      <c r="X65" s="958" t="s">
        <v>4</v>
      </c>
      <c r="Y65" s="959">
        <v>0</v>
      </c>
      <c r="Z65" s="959">
        <v>0</v>
      </c>
      <c r="AA65" s="959">
        <v>143233</v>
      </c>
      <c r="AB65" s="959">
        <v>60216</v>
      </c>
      <c r="AC65" s="959">
        <v>0</v>
      </c>
      <c r="AD65" s="959">
        <v>5550</v>
      </c>
      <c r="AE65" s="960">
        <f t="shared" si="6"/>
        <v>148783</v>
      </c>
      <c r="AG65" s="961">
        <v>148783</v>
      </c>
    </row>
    <row r="66" spans="1:33" ht="12.75">
      <c r="A66" s="1105"/>
      <c r="B66" s="957" t="s">
        <v>121</v>
      </c>
      <c r="C66" s="958" t="s">
        <v>565</v>
      </c>
      <c r="D66" s="958"/>
      <c r="E66" s="959">
        <v>7644</v>
      </c>
      <c r="F66" s="959"/>
      <c r="G66" s="959">
        <v>20865</v>
      </c>
      <c r="H66" s="959">
        <v>6665</v>
      </c>
      <c r="I66" s="959"/>
      <c r="J66" s="959"/>
      <c r="K66" s="959"/>
      <c r="L66" s="959">
        <v>0</v>
      </c>
      <c r="M66" s="959">
        <v>0</v>
      </c>
      <c r="N66" s="959">
        <v>0</v>
      </c>
      <c r="O66" s="959">
        <v>0</v>
      </c>
      <c r="P66" s="959">
        <v>0</v>
      </c>
      <c r="Q66" s="959">
        <v>0</v>
      </c>
      <c r="R66" s="959">
        <v>0</v>
      </c>
      <c r="S66" s="959">
        <v>113609</v>
      </c>
      <c r="T66" s="959">
        <f t="shared" si="4"/>
        <v>35174</v>
      </c>
      <c r="U66" s="960">
        <f t="shared" si="5"/>
        <v>148783</v>
      </c>
      <c r="V66" s="1105"/>
      <c r="W66" s="957" t="s">
        <v>121</v>
      </c>
      <c r="X66" s="958" t="s">
        <v>565</v>
      </c>
      <c r="Y66" s="959">
        <v>0</v>
      </c>
      <c r="Z66" s="959">
        <v>0</v>
      </c>
      <c r="AA66" s="959">
        <v>143210</v>
      </c>
      <c r="AB66" s="959">
        <v>60216</v>
      </c>
      <c r="AC66" s="959">
        <v>23</v>
      </c>
      <c r="AD66" s="959">
        <v>5550</v>
      </c>
      <c r="AE66" s="960">
        <f t="shared" si="6"/>
        <v>148783</v>
      </c>
      <c r="AG66" s="961"/>
    </row>
    <row r="67" spans="1:33" ht="12.75">
      <c r="A67" s="1105"/>
      <c r="B67" s="957" t="s">
        <v>121</v>
      </c>
      <c r="C67" s="962" t="s">
        <v>763</v>
      </c>
      <c r="D67" s="962"/>
      <c r="E67" s="959">
        <v>7644</v>
      </c>
      <c r="F67" s="959"/>
      <c r="G67" s="959">
        <v>20865</v>
      </c>
      <c r="H67" s="959">
        <v>6665</v>
      </c>
      <c r="I67" s="959"/>
      <c r="J67" s="959"/>
      <c r="K67" s="959"/>
      <c r="L67" s="959">
        <v>0</v>
      </c>
      <c r="M67" s="959">
        <v>0</v>
      </c>
      <c r="N67" s="959">
        <v>0</v>
      </c>
      <c r="O67" s="959">
        <v>0</v>
      </c>
      <c r="P67" s="959">
        <v>0</v>
      </c>
      <c r="Q67" s="959">
        <v>0</v>
      </c>
      <c r="R67" s="959">
        <v>0</v>
      </c>
      <c r="S67" s="959">
        <v>113609</v>
      </c>
      <c r="T67" s="959">
        <f t="shared" si="4"/>
        <v>35174</v>
      </c>
      <c r="U67" s="960">
        <f t="shared" si="5"/>
        <v>148783</v>
      </c>
      <c r="V67" s="1105"/>
      <c r="W67" s="957" t="s">
        <v>121</v>
      </c>
      <c r="X67" s="958" t="s">
        <v>763</v>
      </c>
      <c r="Y67" s="959">
        <v>0</v>
      </c>
      <c r="Z67" s="959">
        <v>0</v>
      </c>
      <c r="AA67" s="959">
        <v>143210</v>
      </c>
      <c r="AB67" s="959">
        <v>60216</v>
      </c>
      <c r="AC67" s="959">
        <v>23</v>
      </c>
      <c r="AD67" s="959">
        <v>5550</v>
      </c>
      <c r="AE67" s="960">
        <f t="shared" si="6"/>
        <v>148783</v>
      </c>
      <c r="AG67" s="961"/>
    </row>
    <row r="68" spans="1:33" ht="12.75">
      <c r="A68" s="1105"/>
      <c r="B68" s="957" t="s">
        <v>121</v>
      </c>
      <c r="C68" s="962" t="s">
        <v>924</v>
      </c>
      <c r="D68" s="962"/>
      <c r="E68" s="959">
        <v>7644</v>
      </c>
      <c r="F68" s="959"/>
      <c r="G68" s="959">
        <v>20865</v>
      </c>
      <c r="H68" s="959">
        <v>6665</v>
      </c>
      <c r="I68" s="959"/>
      <c r="J68" s="959"/>
      <c r="K68" s="959"/>
      <c r="L68" s="959">
        <v>0</v>
      </c>
      <c r="M68" s="959">
        <v>0</v>
      </c>
      <c r="N68" s="959">
        <v>0</v>
      </c>
      <c r="O68" s="959">
        <v>0</v>
      </c>
      <c r="P68" s="959">
        <v>0</v>
      </c>
      <c r="Q68" s="959">
        <v>0</v>
      </c>
      <c r="R68" s="959">
        <v>0</v>
      </c>
      <c r="S68" s="959">
        <v>113359</v>
      </c>
      <c r="T68" s="959">
        <f t="shared" si="4"/>
        <v>35174</v>
      </c>
      <c r="U68" s="960">
        <f t="shared" si="5"/>
        <v>148533</v>
      </c>
      <c r="V68" s="1105"/>
      <c r="W68" s="957" t="s">
        <v>121</v>
      </c>
      <c r="X68" s="962" t="s">
        <v>924</v>
      </c>
      <c r="Y68" s="959">
        <v>0</v>
      </c>
      <c r="Z68" s="959">
        <v>0</v>
      </c>
      <c r="AA68" s="959">
        <v>142726</v>
      </c>
      <c r="AB68" s="959">
        <v>60216</v>
      </c>
      <c r="AC68" s="959">
        <v>257</v>
      </c>
      <c r="AD68" s="959">
        <v>5550</v>
      </c>
      <c r="AE68" s="960">
        <f t="shared" si="6"/>
        <v>148533</v>
      </c>
      <c r="AG68" s="961"/>
    </row>
    <row r="69" spans="1:33" ht="12.75">
      <c r="A69" s="1106"/>
      <c r="B69" s="957" t="s">
        <v>121</v>
      </c>
      <c r="C69" s="962" t="s">
        <v>1045</v>
      </c>
      <c r="D69" s="962"/>
      <c r="E69" s="959">
        <v>4644</v>
      </c>
      <c r="F69" s="959"/>
      <c r="G69" s="959">
        <v>20865</v>
      </c>
      <c r="H69" s="959">
        <v>6665</v>
      </c>
      <c r="I69" s="959"/>
      <c r="J69" s="959"/>
      <c r="K69" s="959"/>
      <c r="L69" s="959">
        <v>0</v>
      </c>
      <c r="M69" s="959">
        <v>0</v>
      </c>
      <c r="N69" s="959">
        <v>0</v>
      </c>
      <c r="O69" s="959">
        <v>0</v>
      </c>
      <c r="P69" s="959">
        <v>0</v>
      </c>
      <c r="Q69" s="959">
        <v>0</v>
      </c>
      <c r="R69" s="959">
        <v>0</v>
      </c>
      <c r="S69" s="959">
        <v>94359</v>
      </c>
      <c r="T69" s="959">
        <f t="shared" si="4"/>
        <v>32174</v>
      </c>
      <c r="U69" s="960">
        <f t="shared" si="5"/>
        <v>126533</v>
      </c>
      <c r="V69" s="1106"/>
      <c r="W69" s="957" t="s">
        <v>121</v>
      </c>
      <c r="X69" s="962" t="s">
        <v>1045</v>
      </c>
      <c r="Y69" s="959">
        <v>0</v>
      </c>
      <c r="Z69" s="959">
        <v>0</v>
      </c>
      <c r="AA69" s="959">
        <v>123726</v>
      </c>
      <c r="AB69" s="959">
        <v>60216</v>
      </c>
      <c r="AC69" s="959">
        <v>257</v>
      </c>
      <c r="AD69" s="959">
        <v>2550</v>
      </c>
      <c r="AE69" s="960">
        <f t="shared" si="6"/>
        <v>126533</v>
      </c>
      <c r="AG69" s="961"/>
    </row>
    <row r="70" spans="1:33" ht="12.75" customHeight="1">
      <c r="A70" s="1104" t="s">
        <v>183</v>
      </c>
      <c r="B70" s="957" t="s">
        <v>121</v>
      </c>
      <c r="C70" s="958" t="s">
        <v>4</v>
      </c>
      <c r="D70" s="958"/>
      <c r="E70" s="959">
        <v>400</v>
      </c>
      <c r="F70" s="959"/>
      <c r="G70" s="959">
        <v>10748</v>
      </c>
      <c r="H70" s="959">
        <v>2235</v>
      </c>
      <c r="I70" s="959"/>
      <c r="J70" s="959"/>
      <c r="K70" s="959"/>
      <c r="L70" s="959">
        <v>0</v>
      </c>
      <c r="M70" s="959">
        <v>0</v>
      </c>
      <c r="N70" s="959">
        <v>0</v>
      </c>
      <c r="O70" s="959">
        <v>0</v>
      </c>
      <c r="P70" s="959">
        <v>0</v>
      </c>
      <c r="Q70" s="959">
        <v>0</v>
      </c>
      <c r="R70" s="959">
        <v>0</v>
      </c>
      <c r="S70" s="959">
        <v>38801</v>
      </c>
      <c r="T70" s="959">
        <f t="shared" si="4"/>
        <v>13383</v>
      </c>
      <c r="U70" s="960">
        <f t="shared" si="5"/>
        <v>52184</v>
      </c>
      <c r="V70" s="1104" t="s">
        <v>183</v>
      </c>
      <c r="W70" s="957" t="s">
        <v>121</v>
      </c>
      <c r="X70" s="958" t="s">
        <v>4</v>
      </c>
      <c r="Y70" s="959">
        <v>0</v>
      </c>
      <c r="Z70" s="959">
        <v>0</v>
      </c>
      <c r="AA70" s="959">
        <v>50934</v>
      </c>
      <c r="AB70" s="959">
        <v>30136</v>
      </c>
      <c r="AC70" s="959">
        <v>0</v>
      </c>
      <c r="AD70" s="959">
        <v>1250</v>
      </c>
      <c r="AE70" s="960">
        <f t="shared" si="6"/>
        <v>52184</v>
      </c>
      <c r="AG70" s="961">
        <v>52184</v>
      </c>
    </row>
    <row r="71" spans="1:33" ht="12.75">
      <c r="A71" s="1105"/>
      <c r="B71" s="957" t="s">
        <v>121</v>
      </c>
      <c r="C71" s="958" t="s">
        <v>565</v>
      </c>
      <c r="D71" s="958"/>
      <c r="E71" s="959">
        <v>400</v>
      </c>
      <c r="F71" s="959"/>
      <c r="G71" s="959">
        <v>10748</v>
      </c>
      <c r="H71" s="959">
        <v>2235</v>
      </c>
      <c r="I71" s="959"/>
      <c r="J71" s="959"/>
      <c r="K71" s="959"/>
      <c r="L71" s="959">
        <v>0</v>
      </c>
      <c r="M71" s="959">
        <v>0</v>
      </c>
      <c r="N71" s="959">
        <v>0</v>
      </c>
      <c r="O71" s="959">
        <v>0</v>
      </c>
      <c r="P71" s="959">
        <v>0</v>
      </c>
      <c r="Q71" s="959">
        <v>0</v>
      </c>
      <c r="R71" s="959">
        <v>0</v>
      </c>
      <c r="S71" s="959">
        <v>38801</v>
      </c>
      <c r="T71" s="959">
        <f t="shared" si="4"/>
        <v>13383</v>
      </c>
      <c r="U71" s="960">
        <f t="shared" si="5"/>
        <v>52184</v>
      </c>
      <c r="V71" s="1105"/>
      <c r="W71" s="957" t="s">
        <v>121</v>
      </c>
      <c r="X71" s="958" t="s">
        <v>565</v>
      </c>
      <c r="Y71" s="959">
        <v>0</v>
      </c>
      <c r="Z71" s="959">
        <v>0</v>
      </c>
      <c r="AA71" s="959">
        <v>50603</v>
      </c>
      <c r="AB71" s="959">
        <v>30136</v>
      </c>
      <c r="AC71" s="959">
        <v>331</v>
      </c>
      <c r="AD71" s="959">
        <v>1250</v>
      </c>
      <c r="AE71" s="960">
        <f t="shared" si="6"/>
        <v>52184</v>
      </c>
      <c r="AG71" s="961"/>
    </row>
    <row r="72" spans="1:33" ht="12.75">
      <c r="A72" s="1105"/>
      <c r="B72" s="957" t="s">
        <v>121</v>
      </c>
      <c r="C72" s="962" t="s">
        <v>763</v>
      </c>
      <c r="D72" s="962"/>
      <c r="E72" s="959">
        <v>400</v>
      </c>
      <c r="F72" s="959"/>
      <c r="G72" s="959">
        <v>10748</v>
      </c>
      <c r="H72" s="959">
        <v>2235</v>
      </c>
      <c r="I72" s="959"/>
      <c r="J72" s="959"/>
      <c r="K72" s="959"/>
      <c r="L72" s="959">
        <v>0</v>
      </c>
      <c r="M72" s="959">
        <v>0</v>
      </c>
      <c r="N72" s="959">
        <v>0</v>
      </c>
      <c r="O72" s="959">
        <v>0</v>
      </c>
      <c r="P72" s="959">
        <v>0</v>
      </c>
      <c r="Q72" s="959">
        <v>0</v>
      </c>
      <c r="R72" s="959">
        <v>0</v>
      </c>
      <c r="S72" s="959">
        <v>38801</v>
      </c>
      <c r="T72" s="959">
        <f t="shared" si="4"/>
        <v>13383</v>
      </c>
      <c r="U72" s="960">
        <f t="shared" si="5"/>
        <v>52184</v>
      </c>
      <c r="V72" s="1105"/>
      <c r="W72" s="957" t="s">
        <v>121</v>
      </c>
      <c r="X72" s="958" t="s">
        <v>763</v>
      </c>
      <c r="Y72" s="959">
        <v>0</v>
      </c>
      <c r="Z72" s="959">
        <v>0</v>
      </c>
      <c r="AA72" s="959">
        <v>50603</v>
      </c>
      <c r="AB72" s="959">
        <v>30136</v>
      </c>
      <c r="AC72" s="959">
        <v>331</v>
      </c>
      <c r="AD72" s="959">
        <v>1250</v>
      </c>
      <c r="AE72" s="960">
        <f t="shared" si="6"/>
        <v>52184</v>
      </c>
      <c r="AG72" s="961"/>
    </row>
    <row r="73" spans="1:33" ht="12.75">
      <c r="A73" s="1105"/>
      <c r="B73" s="957" t="s">
        <v>121</v>
      </c>
      <c r="C73" s="962" t="s">
        <v>924</v>
      </c>
      <c r="D73" s="962"/>
      <c r="E73" s="959">
        <v>400</v>
      </c>
      <c r="F73" s="959"/>
      <c r="G73" s="959">
        <v>10748</v>
      </c>
      <c r="H73" s="959">
        <v>2235</v>
      </c>
      <c r="I73" s="959"/>
      <c r="J73" s="959"/>
      <c r="K73" s="959"/>
      <c r="L73" s="959">
        <v>0</v>
      </c>
      <c r="M73" s="959">
        <v>0</v>
      </c>
      <c r="N73" s="959">
        <v>0</v>
      </c>
      <c r="O73" s="959">
        <v>0</v>
      </c>
      <c r="P73" s="959">
        <v>0</v>
      </c>
      <c r="Q73" s="959">
        <v>0</v>
      </c>
      <c r="R73" s="959">
        <v>0</v>
      </c>
      <c r="S73" s="959">
        <v>38801</v>
      </c>
      <c r="T73" s="959">
        <f t="shared" si="4"/>
        <v>13383</v>
      </c>
      <c r="U73" s="960">
        <f t="shared" si="5"/>
        <v>52184</v>
      </c>
      <c r="V73" s="1105"/>
      <c r="W73" s="957" t="s">
        <v>121</v>
      </c>
      <c r="X73" s="962" t="s">
        <v>924</v>
      </c>
      <c r="Y73" s="959">
        <v>0</v>
      </c>
      <c r="Z73" s="959">
        <v>0</v>
      </c>
      <c r="AA73" s="959">
        <v>50903</v>
      </c>
      <c r="AB73" s="959">
        <v>30136</v>
      </c>
      <c r="AC73" s="959">
        <v>331</v>
      </c>
      <c r="AD73" s="959">
        <v>950</v>
      </c>
      <c r="AE73" s="960">
        <f t="shared" si="6"/>
        <v>52184</v>
      </c>
      <c r="AG73" s="961"/>
    </row>
    <row r="74" spans="1:33" ht="12.75">
      <c r="A74" s="1106"/>
      <c r="B74" s="957" t="s">
        <v>121</v>
      </c>
      <c r="C74" s="962" t="s">
        <v>1045</v>
      </c>
      <c r="D74" s="962"/>
      <c r="E74" s="959">
        <v>400</v>
      </c>
      <c r="F74" s="959"/>
      <c r="G74" s="959">
        <v>8748</v>
      </c>
      <c r="H74" s="959">
        <v>2235</v>
      </c>
      <c r="I74" s="959"/>
      <c r="J74" s="959"/>
      <c r="K74" s="959"/>
      <c r="L74" s="959">
        <v>0</v>
      </c>
      <c r="M74" s="959">
        <v>0</v>
      </c>
      <c r="N74" s="959">
        <v>0</v>
      </c>
      <c r="O74" s="959">
        <v>0</v>
      </c>
      <c r="P74" s="959">
        <v>0</v>
      </c>
      <c r="Q74" s="959">
        <v>0</v>
      </c>
      <c r="R74" s="959">
        <v>0</v>
      </c>
      <c r="S74" s="959">
        <v>28801</v>
      </c>
      <c r="T74" s="959">
        <f t="shared" si="4"/>
        <v>11383</v>
      </c>
      <c r="U74" s="960">
        <f t="shared" si="5"/>
        <v>40184</v>
      </c>
      <c r="V74" s="1106"/>
      <c r="W74" s="957" t="s">
        <v>121</v>
      </c>
      <c r="X74" s="962" t="s">
        <v>1045</v>
      </c>
      <c r="Y74" s="959">
        <v>0</v>
      </c>
      <c r="Z74" s="959">
        <v>0</v>
      </c>
      <c r="AA74" s="959">
        <v>38903</v>
      </c>
      <c r="AB74" s="959">
        <v>30136</v>
      </c>
      <c r="AC74" s="959">
        <v>331</v>
      </c>
      <c r="AD74" s="959">
        <v>950</v>
      </c>
      <c r="AE74" s="960">
        <f t="shared" si="6"/>
        <v>40184</v>
      </c>
      <c r="AG74" s="961"/>
    </row>
    <row r="75" spans="1:33" s="965" customFormat="1" ht="12.75">
      <c r="A75" s="1104" t="s">
        <v>184</v>
      </c>
      <c r="B75" s="957" t="s">
        <v>121</v>
      </c>
      <c r="C75" s="964" t="s">
        <v>4</v>
      </c>
      <c r="D75" s="964"/>
      <c r="E75" s="960">
        <v>8044</v>
      </c>
      <c r="F75" s="960"/>
      <c r="G75" s="960">
        <v>31613</v>
      </c>
      <c r="H75" s="960">
        <v>8900</v>
      </c>
      <c r="I75" s="960"/>
      <c r="J75" s="960"/>
      <c r="K75" s="960"/>
      <c r="L75" s="960">
        <v>0</v>
      </c>
      <c r="M75" s="960">
        <v>0</v>
      </c>
      <c r="N75" s="960">
        <v>0</v>
      </c>
      <c r="O75" s="960">
        <v>0</v>
      </c>
      <c r="P75" s="960">
        <v>0</v>
      </c>
      <c r="Q75" s="960">
        <v>0</v>
      </c>
      <c r="R75" s="960">
        <v>0</v>
      </c>
      <c r="S75" s="959">
        <v>152410</v>
      </c>
      <c r="T75" s="959">
        <f t="shared" si="4"/>
        <v>48557</v>
      </c>
      <c r="U75" s="960">
        <f t="shared" si="5"/>
        <v>200967</v>
      </c>
      <c r="V75" s="1104" t="s">
        <v>184</v>
      </c>
      <c r="W75" s="957" t="s">
        <v>121</v>
      </c>
      <c r="X75" s="958" t="s">
        <v>4</v>
      </c>
      <c r="Y75" s="960">
        <v>0</v>
      </c>
      <c r="Z75" s="960">
        <v>0</v>
      </c>
      <c r="AA75" s="960">
        <v>194167</v>
      </c>
      <c r="AB75" s="960">
        <v>90352</v>
      </c>
      <c r="AC75" s="960">
        <v>0</v>
      </c>
      <c r="AD75" s="960">
        <v>6800</v>
      </c>
      <c r="AE75" s="960">
        <f t="shared" si="6"/>
        <v>200967</v>
      </c>
      <c r="AG75" s="961">
        <v>200967</v>
      </c>
    </row>
    <row r="76" spans="1:33" s="965" customFormat="1" ht="12.75">
      <c r="A76" s="1105"/>
      <c r="B76" s="957" t="s">
        <v>121</v>
      </c>
      <c r="C76" s="958" t="s">
        <v>565</v>
      </c>
      <c r="D76" s="958"/>
      <c r="E76" s="960">
        <v>8044</v>
      </c>
      <c r="F76" s="960"/>
      <c r="G76" s="960">
        <v>31613</v>
      </c>
      <c r="H76" s="960">
        <v>8900</v>
      </c>
      <c r="I76" s="960"/>
      <c r="J76" s="960"/>
      <c r="K76" s="960"/>
      <c r="L76" s="960">
        <v>0</v>
      </c>
      <c r="M76" s="960">
        <v>0</v>
      </c>
      <c r="N76" s="960">
        <v>0</v>
      </c>
      <c r="O76" s="960">
        <v>0</v>
      </c>
      <c r="P76" s="960">
        <v>0</v>
      </c>
      <c r="Q76" s="960">
        <v>0</v>
      </c>
      <c r="R76" s="960">
        <v>0</v>
      </c>
      <c r="S76" s="960">
        <v>152410</v>
      </c>
      <c r="T76" s="959">
        <f aca="true" t="shared" si="7" ref="T76:T107">SUM(D76:R76)</f>
        <v>48557</v>
      </c>
      <c r="U76" s="960">
        <f aca="true" t="shared" si="8" ref="U76:U107">SUM(S76:T76)</f>
        <v>200967</v>
      </c>
      <c r="V76" s="1105"/>
      <c r="W76" s="957" t="s">
        <v>121</v>
      </c>
      <c r="X76" s="958" t="s">
        <v>565</v>
      </c>
      <c r="Y76" s="960">
        <v>0</v>
      </c>
      <c r="Z76" s="960">
        <v>0</v>
      </c>
      <c r="AA76" s="960">
        <v>193813</v>
      </c>
      <c r="AB76" s="960">
        <v>90352</v>
      </c>
      <c r="AC76" s="960">
        <v>354</v>
      </c>
      <c r="AD76" s="960">
        <v>6800</v>
      </c>
      <c r="AE76" s="960">
        <f aca="true" t="shared" si="9" ref="AE76:AE107">SUM(Y76:AD76)-AB76</f>
        <v>200967</v>
      </c>
      <c r="AG76" s="961"/>
    </row>
    <row r="77" spans="1:33" s="965" customFormat="1" ht="12.75">
      <c r="A77" s="1105"/>
      <c r="B77" s="957" t="s">
        <v>121</v>
      </c>
      <c r="C77" s="962" t="s">
        <v>763</v>
      </c>
      <c r="D77" s="962"/>
      <c r="E77" s="960">
        <v>8044</v>
      </c>
      <c r="F77" s="960"/>
      <c r="G77" s="960">
        <v>31613</v>
      </c>
      <c r="H77" s="960">
        <v>8900</v>
      </c>
      <c r="I77" s="960"/>
      <c r="J77" s="960"/>
      <c r="K77" s="960"/>
      <c r="L77" s="960">
        <v>0</v>
      </c>
      <c r="M77" s="960">
        <v>0</v>
      </c>
      <c r="N77" s="960">
        <v>0</v>
      </c>
      <c r="O77" s="960">
        <v>0</v>
      </c>
      <c r="P77" s="960">
        <v>0</v>
      </c>
      <c r="Q77" s="960">
        <v>0</v>
      </c>
      <c r="R77" s="960">
        <v>0</v>
      </c>
      <c r="S77" s="960">
        <v>152410</v>
      </c>
      <c r="T77" s="960">
        <f t="shared" si="7"/>
        <v>48557</v>
      </c>
      <c r="U77" s="960">
        <f t="shared" si="8"/>
        <v>200967</v>
      </c>
      <c r="V77" s="1105"/>
      <c r="W77" s="957" t="s">
        <v>121</v>
      </c>
      <c r="X77" s="958" t="s">
        <v>763</v>
      </c>
      <c r="Y77" s="960">
        <v>0</v>
      </c>
      <c r="Z77" s="960">
        <v>0</v>
      </c>
      <c r="AA77" s="960">
        <v>193813</v>
      </c>
      <c r="AB77" s="960">
        <v>90352</v>
      </c>
      <c r="AC77" s="960">
        <v>354</v>
      </c>
      <c r="AD77" s="960">
        <v>6800</v>
      </c>
      <c r="AE77" s="960">
        <f t="shared" si="9"/>
        <v>200967</v>
      </c>
      <c r="AG77" s="961"/>
    </row>
    <row r="78" spans="1:33" s="965" customFormat="1" ht="12.75">
      <c r="A78" s="1105"/>
      <c r="B78" s="957" t="s">
        <v>121</v>
      </c>
      <c r="C78" s="962" t="s">
        <v>924</v>
      </c>
      <c r="D78" s="962"/>
      <c r="E78" s="960">
        <v>8044</v>
      </c>
      <c r="F78" s="960"/>
      <c r="G78" s="960">
        <v>31613</v>
      </c>
      <c r="H78" s="960">
        <v>8900</v>
      </c>
      <c r="I78" s="960"/>
      <c r="J78" s="960"/>
      <c r="K78" s="960"/>
      <c r="L78" s="960">
        <v>0</v>
      </c>
      <c r="M78" s="960">
        <v>0</v>
      </c>
      <c r="N78" s="960">
        <v>0</v>
      </c>
      <c r="O78" s="960">
        <v>0</v>
      </c>
      <c r="P78" s="960">
        <v>0</v>
      </c>
      <c r="Q78" s="960">
        <v>0</v>
      </c>
      <c r="R78" s="960">
        <v>0</v>
      </c>
      <c r="S78" s="960">
        <v>152160</v>
      </c>
      <c r="T78" s="960">
        <f t="shared" si="7"/>
        <v>48557</v>
      </c>
      <c r="U78" s="960">
        <f t="shared" si="8"/>
        <v>200717</v>
      </c>
      <c r="V78" s="1105"/>
      <c r="W78" s="957" t="s">
        <v>121</v>
      </c>
      <c r="X78" s="962" t="s">
        <v>924</v>
      </c>
      <c r="Y78" s="960">
        <v>0</v>
      </c>
      <c r="Z78" s="960">
        <v>0</v>
      </c>
      <c r="AA78" s="960">
        <v>193629</v>
      </c>
      <c r="AB78" s="960">
        <v>90352</v>
      </c>
      <c r="AC78" s="960">
        <v>588</v>
      </c>
      <c r="AD78" s="960">
        <v>6500</v>
      </c>
      <c r="AE78" s="960">
        <f t="shared" si="9"/>
        <v>200717</v>
      </c>
      <c r="AG78" s="961"/>
    </row>
    <row r="79" spans="1:33" s="965" customFormat="1" ht="12.75">
      <c r="A79" s="1106"/>
      <c r="B79" s="957" t="s">
        <v>121</v>
      </c>
      <c r="C79" s="962" t="s">
        <v>1045</v>
      </c>
      <c r="D79" s="962"/>
      <c r="E79" s="960">
        <v>5044</v>
      </c>
      <c r="F79" s="960"/>
      <c r="G79" s="960">
        <v>29613</v>
      </c>
      <c r="H79" s="960">
        <v>8900</v>
      </c>
      <c r="I79" s="960"/>
      <c r="J79" s="960"/>
      <c r="K79" s="960"/>
      <c r="L79" s="960">
        <v>0</v>
      </c>
      <c r="M79" s="960">
        <v>0</v>
      </c>
      <c r="N79" s="960">
        <v>0</v>
      </c>
      <c r="O79" s="960">
        <v>0</v>
      </c>
      <c r="P79" s="960">
        <v>0</v>
      </c>
      <c r="Q79" s="960">
        <v>0</v>
      </c>
      <c r="R79" s="960">
        <v>0</v>
      </c>
      <c r="S79" s="960">
        <v>123160</v>
      </c>
      <c r="T79" s="960">
        <f t="shared" si="7"/>
        <v>43557</v>
      </c>
      <c r="U79" s="960">
        <f t="shared" si="8"/>
        <v>166717</v>
      </c>
      <c r="V79" s="1106"/>
      <c r="W79" s="957" t="s">
        <v>121</v>
      </c>
      <c r="X79" s="962" t="s">
        <v>1045</v>
      </c>
      <c r="Y79" s="960">
        <v>0</v>
      </c>
      <c r="Z79" s="960">
        <v>0</v>
      </c>
      <c r="AA79" s="960">
        <v>162629</v>
      </c>
      <c r="AB79" s="960">
        <v>90352</v>
      </c>
      <c r="AC79" s="960">
        <v>588</v>
      </c>
      <c r="AD79" s="960">
        <v>3500</v>
      </c>
      <c r="AE79" s="960">
        <f t="shared" si="9"/>
        <v>166717</v>
      </c>
      <c r="AG79" s="961"/>
    </row>
    <row r="80" spans="1:33" ht="12.75">
      <c r="A80" s="1104" t="s">
        <v>185</v>
      </c>
      <c r="B80" s="957" t="s">
        <v>121</v>
      </c>
      <c r="C80" s="958" t="s">
        <v>4</v>
      </c>
      <c r="D80" s="958"/>
      <c r="E80" s="959">
        <v>1116</v>
      </c>
      <c r="F80" s="959"/>
      <c r="G80" s="959">
        <v>0</v>
      </c>
      <c r="H80" s="959">
        <v>0</v>
      </c>
      <c r="I80" s="959"/>
      <c r="J80" s="959"/>
      <c r="K80" s="959"/>
      <c r="L80" s="959">
        <v>0</v>
      </c>
      <c r="M80" s="959">
        <v>0</v>
      </c>
      <c r="N80" s="959">
        <v>0</v>
      </c>
      <c r="O80" s="959">
        <v>0</v>
      </c>
      <c r="P80" s="959">
        <v>0</v>
      </c>
      <c r="Q80" s="959">
        <v>0</v>
      </c>
      <c r="R80" s="959">
        <v>0</v>
      </c>
      <c r="S80" s="959">
        <v>4115</v>
      </c>
      <c r="T80" s="959">
        <f t="shared" si="7"/>
        <v>1116</v>
      </c>
      <c r="U80" s="960">
        <f t="shared" si="8"/>
        <v>5231</v>
      </c>
      <c r="V80" s="1104" t="s">
        <v>185</v>
      </c>
      <c r="W80" s="957" t="s">
        <v>121</v>
      </c>
      <c r="X80" s="958" t="s">
        <v>4</v>
      </c>
      <c r="Y80" s="959">
        <v>0</v>
      </c>
      <c r="Z80" s="959">
        <v>0</v>
      </c>
      <c r="AA80" s="959">
        <v>3481</v>
      </c>
      <c r="AB80" s="959">
        <v>0</v>
      </c>
      <c r="AC80" s="959">
        <v>1250</v>
      </c>
      <c r="AD80" s="959">
        <v>500</v>
      </c>
      <c r="AE80" s="960">
        <f t="shared" si="9"/>
        <v>5231</v>
      </c>
      <c r="AG80" s="961">
        <v>5231</v>
      </c>
    </row>
    <row r="81" spans="1:33" ht="12.75">
      <c r="A81" s="1105"/>
      <c r="B81" s="957" t="s">
        <v>121</v>
      </c>
      <c r="C81" s="958" t="s">
        <v>565</v>
      </c>
      <c r="D81" s="958"/>
      <c r="E81" s="959">
        <v>1116</v>
      </c>
      <c r="F81" s="959"/>
      <c r="G81" s="959">
        <v>0</v>
      </c>
      <c r="H81" s="959">
        <v>0</v>
      </c>
      <c r="I81" s="959"/>
      <c r="J81" s="959"/>
      <c r="K81" s="959"/>
      <c r="L81" s="959">
        <v>0</v>
      </c>
      <c r="M81" s="959">
        <v>0</v>
      </c>
      <c r="N81" s="959">
        <v>0</v>
      </c>
      <c r="O81" s="959">
        <v>0</v>
      </c>
      <c r="P81" s="959">
        <v>0</v>
      </c>
      <c r="Q81" s="959">
        <v>0</v>
      </c>
      <c r="R81" s="959">
        <v>0</v>
      </c>
      <c r="S81" s="959">
        <v>4115</v>
      </c>
      <c r="T81" s="959">
        <f t="shared" si="7"/>
        <v>1116</v>
      </c>
      <c r="U81" s="960">
        <f t="shared" si="8"/>
        <v>5231</v>
      </c>
      <c r="V81" s="1105"/>
      <c r="W81" s="957" t="s">
        <v>121</v>
      </c>
      <c r="X81" s="958" t="s">
        <v>565</v>
      </c>
      <c r="Y81" s="959">
        <v>0</v>
      </c>
      <c r="Z81" s="959">
        <v>0</v>
      </c>
      <c r="AA81" s="959">
        <v>3481</v>
      </c>
      <c r="AB81" s="959">
        <v>0</v>
      </c>
      <c r="AC81" s="959">
        <v>1250</v>
      </c>
      <c r="AD81" s="959">
        <v>500</v>
      </c>
      <c r="AE81" s="960">
        <f t="shared" si="9"/>
        <v>5231</v>
      </c>
      <c r="AG81" s="961"/>
    </row>
    <row r="82" spans="1:33" ht="12.75">
      <c r="A82" s="1105"/>
      <c r="B82" s="957" t="s">
        <v>121</v>
      </c>
      <c r="C82" s="962" t="s">
        <v>763</v>
      </c>
      <c r="D82" s="962"/>
      <c r="E82" s="959">
        <v>1116</v>
      </c>
      <c r="F82" s="959"/>
      <c r="G82" s="959">
        <v>0</v>
      </c>
      <c r="H82" s="959">
        <v>0</v>
      </c>
      <c r="I82" s="959"/>
      <c r="J82" s="959"/>
      <c r="K82" s="959"/>
      <c r="L82" s="959">
        <v>0</v>
      </c>
      <c r="M82" s="959">
        <v>0</v>
      </c>
      <c r="N82" s="959">
        <v>0</v>
      </c>
      <c r="O82" s="959">
        <v>0</v>
      </c>
      <c r="P82" s="959">
        <v>0</v>
      </c>
      <c r="Q82" s="959">
        <v>0</v>
      </c>
      <c r="R82" s="959">
        <v>0</v>
      </c>
      <c r="S82" s="959">
        <v>4115</v>
      </c>
      <c r="T82" s="959">
        <f t="shared" si="7"/>
        <v>1116</v>
      </c>
      <c r="U82" s="960">
        <f t="shared" si="8"/>
        <v>5231</v>
      </c>
      <c r="V82" s="1105"/>
      <c r="W82" s="957" t="s">
        <v>121</v>
      </c>
      <c r="X82" s="958" t="s">
        <v>763</v>
      </c>
      <c r="Y82" s="959">
        <v>0</v>
      </c>
      <c r="Z82" s="959">
        <v>0</v>
      </c>
      <c r="AA82" s="959">
        <v>3481</v>
      </c>
      <c r="AB82" s="959">
        <v>0</v>
      </c>
      <c r="AC82" s="959">
        <v>1250</v>
      </c>
      <c r="AD82" s="959">
        <v>500</v>
      </c>
      <c r="AE82" s="960">
        <f t="shared" si="9"/>
        <v>5231</v>
      </c>
      <c r="AG82" s="961"/>
    </row>
    <row r="83" spans="1:33" ht="12.75">
      <c r="A83" s="1105"/>
      <c r="B83" s="957" t="s">
        <v>121</v>
      </c>
      <c r="C83" s="962" t="s">
        <v>924</v>
      </c>
      <c r="D83" s="962"/>
      <c r="E83" s="959">
        <v>1116</v>
      </c>
      <c r="F83" s="959"/>
      <c r="G83" s="959">
        <v>0</v>
      </c>
      <c r="H83" s="959">
        <v>0</v>
      </c>
      <c r="I83" s="959"/>
      <c r="J83" s="959"/>
      <c r="K83" s="959"/>
      <c r="L83" s="959">
        <v>0</v>
      </c>
      <c r="M83" s="959">
        <v>0</v>
      </c>
      <c r="N83" s="959">
        <v>0</v>
      </c>
      <c r="O83" s="959">
        <v>0</v>
      </c>
      <c r="P83" s="959">
        <v>0</v>
      </c>
      <c r="Q83" s="959">
        <v>0</v>
      </c>
      <c r="R83" s="959">
        <v>0</v>
      </c>
      <c r="S83" s="959">
        <v>4115</v>
      </c>
      <c r="T83" s="959">
        <f t="shared" si="7"/>
        <v>1116</v>
      </c>
      <c r="U83" s="960">
        <f t="shared" si="8"/>
        <v>5231</v>
      </c>
      <c r="V83" s="1105"/>
      <c r="W83" s="957" t="s">
        <v>121</v>
      </c>
      <c r="X83" s="962" t="s">
        <v>924</v>
      </c>
      <c r="Y83" s="959">
        <v>0</v>
      </c>
      <c r="Z83" s="959">
        <v>0</v>
      </c>
      <c r="AA83" s="959">
        <v>3731</v>
      </c>
      <c r="AB83" s="959">
        <v>0</v>
      </c>
      <c r="AC83" s="959">
        <v>1000</v>
      </c>
      <c r="AD83" s="959">
        <v>500</v>
      </c>
      <c r="AE83" s="960">
        <f t="shared" si="9"/>
        <v>5231</v>
      </c>
      <c r="AG83" s="961"/>
    </row>
    <row r="84" spans="1:33" ht="12.75">
      <c r="A84" s="1106"/>
      <c r="B84" s="957" t="s">
        <v>121</v>
      </c>
      <c r="C84" s="962" t="s">
        <v>1045</v>
      </c>
      <c r="D84" s="962"/>
      <c r="E84" s="959">
        <v>2204</v>
      </c>
      <c r="F84" s="959"/>
      <c r="G84" s="959">
        <v>0</v>
      </c>
      <c r="H84" s="959">
        <v>0</v>
      </c>
      <c r="I84" s="959"/>
      <c r="J84" s="959"/>
      <c r="K84" s="959"/>
      <c r="L84" s="959">
        <v>0</v>
      </c>
      <c r="M84" s="959">
        <v>0</v>
      </c>
      <c r="N84" s="959">
        <v>0</v>
      </c>
      <c r="O84" s="959">
        <v>0</v>
      </c>
      <c r="P84" s="959">
        <v>0</v>
      </c>
      <c r="Q84" s="959">
        <v>0</v>
      </c>
      <c r="R84" s="959">
        <v>0</v>
      </c>
      <c r="S84" s="959">
        <v>2615</v>
      </c>
      <c r="T84" s="959">
        <f t="shared" si="7"/>
        <v>2204</v>
      </c>
      <c r="U84" s="960">
        <f t="shared" si="8"/>
        <v>4819</v>
      </c>
      <c r="V84" s="1106"/>
      <c r="W84" s="957" t="s">
        <v>121</v>
      </c>
      <c r="X84" s="962" t="s">
        <v>1045</v>
      </c>
      <c r="Y84" s="959">
        <v>0</v>
      </c>
      <c r="Z84" s="959">
        <v>0</v>
      </c>
      <c r="AA84" s="959">
        <v>3819</v>
      </c>
      <c r="AB84" s="959">
        <v>0</v>
      </c>
      <c r="AC84" s="959">
        <v>1000</v>
      </c>
      <c r="AD84" s="959">
        <v>0</v>
      </c>
      <c r="AE84" s="960">
        <f t="shared" si="9"/>
        <v>4819</v>
      </c>
      <c r="AG84" s="961"/>
    </row>
    <row r="85" spans="1:33" ht="12.75">
      <c r="A85" s="1104" t="s">
        <v>186</v>
      </c>
      <c r="B85" s="957" t="s">
        <v>121</v>
      </c>
      <c r="C85" s="958" t="s">
        <v>4</v>
      </c>
      <c r="D85" s="958"/>
      <c r="E85" s="959">
        <v>0</v>
      </c>
      <c r="F85" s="959"/>
      <c r="G85" s="959">
        <v>4388</v>
      </c>
      <c r="H85" s="959">
        <v>1185</v>
      </c>
      <c r="I85" s="959"/>
      <c r="J85" s="959"/>
      <c r="K85" s="959"/>
      <c r="L85" s="959">
        <v>0</v>
      </c>
      <c r="M85" s="959">
        <v>0</v>
      </c>
      <c r="N85" s="959">
        <v>0</v>
      </c>
      <c r="O85" s="959">
        <v>0</v>
      </c>
      <c r="P85" s="959">
        <v>0</v>
      </c>
      <c r="Q85" s="959">
        <v>0</v>
      </c>
      <c r="R85" s="959">
        <v>0</v>
      </c>
      <c r="S85" s="959">
        <v>18898</v>
      </c>
      <c r="T85" s="959">
        <f t="shared" si="7"/>
        <v>5573</v>
      </c>
      <c r="U85" s="960">
        <f t="shared" si="8"/>
        <v>24471</v>
      </c>
      <c r="V85" s="1104" t="s">
        <v>186</v>
      </c>
      <c r="W85" s="957" t="s">
        <v>121</v>
      </c>
      <c r="X85" s="958" t="s">
        <v>4</v>
      </c>
      <c r="Y85" s="959">
        <v>0</v>
      </c>
      <c r="Z85" s="959">
        <v>0</v>
      </c>
      <c r="AA85" s="959">
        <v>24471</v>
      </c>
      <c r="AB85" s="959">
        <v>19268</v>
      </c>
      <c r="AC85" s="959">
        <v>0</v>
      </c>
      <c r="AD85" s="959">
        <v>0</v>
      </c>
      <c r="AE85" s="960">
        <f t="shared" si="9"/>
        <v>24471</v>
      </c>
      <c r="AG85" s="961"/>
    </row>
    <row r="86" spans="1:33" ht="12.75">
      <c r="A86" s="1105"/>
      <c r="B86" s="957" t="s">
        <v>121</v>
      </c>
      <c r="C86" s="958" t="s">
        <v>565</v>
      </c>
      <c r="D86" s="958"/>
      <c r="E86" s="959">
        <v>0</v>
      </c>
      <c r="F86" s="959"/>
      <c r="G86" s="959">
        <v>4388</v>
      </c>
      <c r="H86" s="959">
        <v>1185</v>
      </c>
      <c r="I86" s="959"/>
      <c r="J86" s="959"/>
      <c r="K86" s="959"/>
      <c r="L86" s="959">
        <v>0</v>
      </c>
      <c r="M86" s="959">
        <v>0</v>
      </c>
      <c r="N86" s="959">
        <v>0</v>
      </c>
      <c r="O86" s="959">
        <v>0</v>
      </c>
      <c r="P86" s="959">
        <v>0</v>
      </c>
      <c r="Q86" s="959">
        <v>0</v>
      </c>
      <c r="R86" s="959">
        <v>0</v>
      </c>
      <c r="S86" s="959">
        <v>18898</v>
      </c>
      <c r="T86" s="959">
        <f t="shared" si="7"/>
        <v>5573</v>
      </c>
      <c r="U86" s="960">
        <f t="shared" si="8"/>
        <v>24471</v>
      </c>
      <c r="V86" s="1105"/>
      <c r="W86" s="957" t="s">
        <v>121</v>
      </c>
      <c r="X86" s="958" t="s">
        <v>565</v>
      </c>
      <c r="Y86" s="959">
        <v>0</v>
      </c>
      <c r="Z86" s="959">
        <v>0</v>
      </c>
      <c r="AA86" s="959">
        <v>24471</v>
      </c>
      <c r="AB86" s="959">
        <v>19268</v>
      </c>
      <c r="AC86" s="959">
        <v>0</v>
      </c>
      <c r="AD86" s="959">
        <v>0</v>
      </c>
      <c r="AE86" s="960">
        <f t="shared" si="9"/>
        <v>24471</v>
      </c>
      <c r="AG86" s="961"/>
    </row>
    <row r="87" spans="1:33" ht="12.75">
      <c r="A87" s="1105"/>
      <c r="B87" s="957" t="s">
        <v>121</v>
      </c>
      <c r="C87" s="962" t="s">
        <v>763</v>
      </c>
      <c r="D87" s="962"/>
      <c r="E87" s="959">
        <v>0</v>
      </c>
      <c r="F87" s="959"/>
      <c r="G87" s="959">
        <v>4388</v>
      </c>
      <c r="H87" s="959">
        <v>1185</v>
      </c>
      <c r="I87" s="959"/>
      <c r="J87" s="959"/>
      <c r="K87" s="959"/>
      <c r="L87" s="959">
        <v>0</v>
      </c>
      <c r="M87" s="959">
        <v>0</v>
      </c>
      <c r="N87" s="959">
        <v>0</v>
      </c>
      <c r="O87" s="959">
        <v>0</v>
      </c>
      <c r="P87" s="959">
        <v>0</v>
      </c>
      <c r="Q87" s="959">
        <v>0</v>
      </c>
      <c r="R87" s="959">
        <v>0</v>
      </c>
      <c r="S87" s="959">
        <v>18898</v>
      </c>
      <c r="T87" s="959">
        <f t="shared" si="7"/>
        <v>5573</v>
      </c>
      <c r="U87" s="960">
        <f t="shared" si="8"/>
        <v>24471</v>
      </c>
      <c r="V87" s="1105"/>
      <c r="W87" s="957" t="s">
        <v>121</v>
      </c>
      <c r="X87" s="958" t="s">
        <v>763</v>
      </c>
      <c r="Y87" s="959">
        <v>0</v>
      </c>
      <c r="Z87" s="959">
        <v>0</v>
      </c>
      <c r="AA87" s="959">
        <v>24471</v>
      </c>
      <c r="AB87" s="959">
        <v>19268</v>
      </c>
      <c r="AC87" s="959">
        <v>0</v>
      </c>
      <c r="AD87" s="959">
        <v>0</v>
      </c>
      <c r="AE87" s="960">
        <f t="shared" si="9"/>
        <v>24471</v>
      </c>
      <c r="AG87" s="961"/>
    </row>
    <row r="88" spans="1:33" ht="12.75">
      <c r="A88" s="1105"/>
      <c r="B88" s="957" t="s">
        <v>121</v>
      </c>
      <c r="C88" s="962" t="s">
        <v>924</v>
      </c>
      <c r="D88" s="962"/>
      <c r="E88" s="959">
        <v>0</v>
      </c>
      <c r="F88" s="959"/>
      <c r="G88" s="959">
        <v>4388</v>
      </c>
      <c r="H88" s="959">
        <v>1185</v>
      </c>
      <c r="I88" s="959"/>
      <c r="J88" s="959"/>
      <c r="K88" s="959"/>
      <c r="L88" s="959">
        <v>0</v>
      </c>
      <c r="M88" s="959">
        <v>0</v>
      </c>
      <c r="N88" s="959">
        <v>0</v>
      </c>
      <c r="O88" s="959">
        <v>0</v>
      </c>
      <c r="P88" s="959">
        <v>0</v>
      </c>
      <c r="Q88" s="959">
        <v>0</v>
      </c>
      <c r="R88" s="959">
        <v>0</v>
      </c>
      <c r="S88" s="959">
        <v>18898</v>
      </c>
      <c r="T88" s="959">
        <f t="shared" si="7"/>
        <v>5573</v>
      </c>
      <c r="U88" s="960">
        <f t="shared" si="8"/>
        <v>24471</v>
      </c>
      <c r="V88" s="1105"/>
      <c r="W88" s="957" t="s">
        <v>121</v>
      </c>
      <c r="X88" s="962" t="s">
        <v>924</v>
      </c>
      <c r="Y88" s="959">
        <v>0</v>
      </c>
      <c r="Z88" s="959">
        <v>0</v>
      </c>
      <c r="AA88" s="959">
        <v>24471</v>
      </c>
      <c r="AB88" s="959">
        <v>19268</v>
      </c>
      <c r="AC88" s="959">
        <v>0</v>
      </c>
      <c r="AD88" s="959">
        <v>0</v>
      </c>
      <c r="AE88" s="960">
        <f t="shared" si="9"/>
        <v>24471</v>
      </c>
      <c r="AG88" s="961"/>
    </row>
    <row r="89" spans="1:33" ht="12.75">
      <c r="A89" s="1106"/>
      <c r="B89" s="957" t="s">
        <v>121</v>
      </c>
      <c r="C89" s="962" t="s">
        <v>1045</v>
      </c>
      <c r="D89" s="962"/>
      <c r="E89" s="959">
        <v>0</v>
      </c>
      <c r="F89" s="959"/>
      <c r="G89" s="959">
        <v>4388</v>
      </c>
      <c r="H89" s="959">
        <v>1185</v>
      </c>
      <c r="I89" s="959"/>
      <c r="J89" s="959"/>
      <c r="K89" s="959"/>
      <c r="L89" s="959">
        <v>0</v>
      </c>
      <c r="M89" s="959">
        <v>0</v>
      </c>
      <c r="N89" s="959">
        <v>0</v>
      </c>
      <c r="O89" s="959">
        <v>0</v>
      </c>
      <c r="P89" s="959">
        <v>0</v>
      </c>
      <c r="Q89" s="959">
        <v>0</v>
      </c>
      <c r="R89" s="959">
        <v>0</v>
      </c>
      <c r="S89" s="959">
        <v>21364</v>
      </c>
      <c r="T89" s="959">
        <f t="shared" si="7"/>
        <v>5573</v>
      </c>
      <c r="U89" s="960">
        <f t="shared" si="8"/>
        <v>26937</v>
      </c>
      <c r="V89" s="1106"/>
      <c r="W89" s="957" t="s">
        <v>121</v>
      </c>
      <c r="X89" s="962" t="s">
        <v>1045</v>
      </c>
      <c r="Y89" s="959">
        <v>0</v>
      </c>
      <c r="Z89" s="959">
        <v>0</v>
      </c>
      <c r="AA89" s="959">
        <v>26937</v>
      </c>
      <c r="AB89" s="959">
        <v>19268</v>
      </c>
      <c r="AC89" s="959">
        <v>0</v>
      </c>
      <c r="AD89" s="959">
        <v>0</v>
      </c>
      <c r="AE89" s="960">
        <f t="shared" si="9"/>
        <v>26937</v>
      </c>
      <c r="AG89" s="961"/>
    </row>
    <row r="90" spans="1:33" ht="12.75">
      <c r="A90" s="1104" t="s">
        <v>187</v>
      </c>
      <c r="B90" s="957" t="s">
        <v>121</v>
      </c>
      <c r="C90" s="958" t="s">
        <v>4</v>
      </c>
      <c r="D90" s="958"/>
      <c r="E90" s="959">
        <v>0</v>
      </c>
      <c r="F90" s="959"/>
      <c r="G90" s="959">
        <v>4084</v>
      </c>
      <c r="H90" s="959">
        <v>1103</v>
      </c>
      <c r="I90" s="959"/>
      <c r="J90" s="959"/>
      <c r="K90" s="959"/>
      <c r="L90" s="959">
        <v>0</v>
      </c>
      <c r="M90" s="959">
        <v>0</v>
      </c>
      <c r="N90" s="959">
        <v>0</v>
      </c>
      <c r="O90" s="959">
        <v>0</v>
      </c>
      <c r="P90" s="959">
        <v>0</v>
      </c>
      <c r="Q90" s="959">
        <v>0</v>
      </c>
      <c r="R90" s="959">
        <v>0</v>
      </c>
      <c r="S90" s="959">
        <v>14665</v>
      </c>
      <c r="T90" s="959">
        <f t="shared" si="7"/>
        <v>5187</v>
      </c>
      <c r="U90" s="960">
        <f t="shared" si="8"/>
        <v>19852</v>
      </c>
      <c r="V90" s="1104" t="s">
        <v>187</v>
      </c>
      <c r="W90" s="957" t="s">
        <v>121</v>
      </c>
      <c r="X90" s="958" t="s">
        <v>4</v>
      </c>
      <c r="Y90" s="959">
        <v>0</v>
      </c>
      <c r="Z90" s="959">
        <v>0</v>
      </c>
      <c r="AA90" s="959">
        <v>16652</v>
      </c>
      <c r="AB90" s="959">
        <v>9567</v>
      </c>
      <c r="AC90" s="959">
        <v>0</v>
      </c>
      <c r="AD90" s="959">
        <v>3200</v>
      </c>
      <c r="AE90" s="960">
        <f t="shared" si="9"/>
        <v>19852</v>
      </c>
      <c r="AG90" s="961"/>
    </row>
    <row r="91" spans="1:33" ht="12.75">
      <c r="A91" s="1105"/>
      <c r="B91" s="957" t="s">
        <v>121</v>
      </c>
      <c r="C91" s="958" t="s">
        <v>565</v>
      </c>
      <c r="D91" s="958"/>
      <c r="E91" s="959">
        <v>0</v>
      </c>
      <c r="F91" s="959"/>
      <c r="G91" s="959">
        <v>4084</v>
      </c>
      <c r="H91" s="959">
        <v>1103</v>
      </c>
      <c r="I91" s="959"/>
      <c r="J91" s="959"/>
      <c r="K91" s="959"/>
      <c r="L91" s="959">
        <v>0</v>
      </c>
      <c r="M91" s="959">
        <v>0</v>
      </c>
      <c r="N91" s="959">
        <v>0</v>
      </c>
      <c r="O91" s="959">
        <v>0</v>
      </c>
      <c r="P91" s="959">
        <v>0</v>
      </c>
      <c r="Q91" s="959">
        <v>0</v>
      </c>
      <c r="R91" s="959">
        <v>0</v>
      </c>
      <c r="S91" s="959">
        <v>14665</v>
      </c>
      <c r="T91" s="959">
        <f t="shared" si="7"/>
        <v>5187</v>
      </c>
      <c r="U91" s="960">
        <f t="shared" si="8"/>
        <v>19852</v>
      </c>
      <c r="V91" s="1105"/>
      <c r="W91" s="957" t="s">
        <v>121</v>
      </c>
      <c r="X91" s="958" t="s">
        <v>565</v>
      </c>
      <c r="Y91" s="959">
        <v>0</v>
      </c>
      <c r="Z91" s="959">
        <v>0</v>
      </c>
      <c r="AA91" s="959">
        <v>16652</v>
      </c>
      <c r="AB91" s="959">
        <v>9567</v>
      </c>
      <c r="AC91" s="959">
        <v>0</v>
      </c>
      <c r="AD91" s="959">
        <v>3200</v>
      </c>
      <c r="AE91" s="960">
        <f t="shared" si="9"/>
        <v>19852</v>
      </c>
      <c r="AG91" s="961"/>
    </row>
    <row r="92" spans="1:33" ht="12.75">
      <c r="A92" s="1105"/>
      <c r="B92" s="957" t="s">
        <v>121</v>
      </c>
      <c r="C92" s="962" t="s">
        <v>763</v>
      </c>
      <c r="D92" s="962"/>
      <c r="E92" s="959">
        <v>0</v>
      </c>
      <c r="F92" s="959"/>
      <c r="G92" s="959">
        <v>4084</v>
      </c>
      <c r="H92" s="959">
        <v>1103</v>
      </c>
      <c r="I92" s="959"/>
      <c r="J92" s="959"/>
      <c r="K92" s="959"/>
      <c r="L92" s="959">
        <v>0</v>
      </c>
      <c r="M92" s="959">
        <v>0</v>
      </c>
      <c r="N92" s="959">
        <v>0</v>
      </c>
      <c r="O92" s="959">
        <v>0</v>
      </c>
      <c r="P92" s="959">
        <v>0</v>
      </c>
      <c r="Q92" s="959">
        <v>0</v>
      </c>
      <c r="R92" s="959">
        <v>0</v>
      </c>
      <c r="S92" s="959">
        <v>14665</v>
      </c>
      <c r="T92" s="959">
        <f t="shared" si="7"/>
        <v>5187</v>
      </c>
      <c r="U92" s="960">
        <f t="shared" si="8"/>
        <v>19852</v>
      </c>
      <c r="V92" s="1105"/>
      <c r="W92" s="957" t="s">
        <v>121</v>
      </c>
      <c r="X92" s="958" t="s">
        <v>763</v>
      </c>
      <c r="Y92" s="959">
        <v>0</v>
      </c>
      <c r="Z92" s="959">
        <v>0</v>
      </c>
      <c r="AA92" s="959">
        <v>17852</v>
      </c>
      <c r="AB92" s="959">
        <v>9567</v>
      </c>
      <c r="AC92" s="959">
        <v>0</v>
      </c>
      <c r="AD92" s="959">
        <v>2000</v>
      </c>
      <c r="AE92" s="960">
        <f t="shared" si="9"/>
        <v>19852</v>
      </c>
      <c r="AG92" s="961"/>
    </row>
    <row r="93" spans="1:33" ht="12.75">
      <c r="A93" s="1105"/>
      <c r="B93" s="957" t="s">
        <v>121</v>
      </c>
      <c r="C93" s="962" t="s">
        <v>924</v>
      </c>
      <c r="D93" s="962"/>
      <c r="E93" s="959">
        <v>0</v>
      </c>
      <c r="F93" s="959"/>
      <c r="G93" s="959">
        <v>4084</v>
      </c>
      <c r="H93" s="959">
        <v>1103</v>
      </c>
      <c r="I93" s="959"/>
      <c r="J93" s="959"/>
      <c r="K93" s="959"/>
      <c r="L93" s="959">
        <v>0</v>
      </c>
      <c r="M93" s="959">
        <v>0</v>
      </c>
      <c r="N93" s="959">
        <v>0</v>
      </c>
      <c r="O93" s="959">
        <v>0</v>
      </c>
      <c r="P93" s="959">
        <v>0</v>
      </c>
      <c r="Q93" s="959">
        <v>0</v>
      </c>
      <c r="R93" s="959">
        <v>0</v>
      </c>
      <c r="S93" s="959">
        <v>14665</v>
      </c>
      <c r="T93" s="959">
        <f t="shared" si="7"/>
        <v>5187</v>
      </c>
      <c r="U93" s="960">
        <f t="shared" si="8"/>
        <v>19852</v>
      </c>
      <c r="V93" s="1105"/>
      <c r="W93" s="957" t="s">
        <v>121</v>
      </c>
      <c r="X93" s="962" t="s">
        <v>924</v>
      </c>
      <c r="Y93" s="959">
        <v>0</v>
      </c>
      <c r="Z93" s="959">
        <v>0</v>
      </c>
      <c r="AA93" s="959">
        <v>17852</v>
      </c>
      <c r="AB93" s="959">
        <v>9567</v>
      </c>
      <c r="AC93" s="959">
        <v>0</v>
      </c>
      <c r="AD93" s="959">
        <v>2000</v>
      </c>
      <c r="AE93" s="960">
        <f t="shared" si="9"/>
        <v>19852</v>
      </c>
      <c r="AG93" s="961"/>
    </row>
    <row r="94" spans="1:33" ht="12.75">
      <c r="A94" s="1106"/>
      <c r="B94" s="957" t="s">
        <v>121</v>
      </c>
      <c r="C94" s="962" t="s">
        <v>1045</v>
      </c>
      <c r="D94" s="962"/>
      <c r="E94" s="959">
        <v>0</v>
      </c>
      <c r="F94" s="959"/>
      <c r="G94" s="959">
        <v>4285</v>
      </c>
      <c r="H94" s="959">
        <v>1157</v>
      </c>
      <c r="I94" s="959"/>
      <c r="J94" s="959"/>
      <c r="K94" s="959"/>
      <c r="L94" s="959">
        <v>0</v>
      </c>
      <c r="M94" s="959">
        <v>0</v>
      </c>
      <c r="N94" s="959">
        <v>0</v>
      </c>
      <c r="O94" s="959">
        <v>0</v>
      </c>
      <c r="P94" s="959">
        <v>0</v>
      </c>
      <c r="Q94" s="959">
        <v>0</v>
      </c>
      <c r="R94" s="959">
        <v>0</v>
      </c>
      <c r="S94" s="959">
        <v>11499</v>
      </c>
      <c r="T94" s="959">
        <f t="shared" si="7"/>
        <v>5442</v>
      </c>
      <c r="U94" s="960">
        <f t="shared" si="8"/>
        <v>16941</v>
      </c>
      <c r="V94" s="1106"/>
      <c r="W94" s="957" t="s">
        <v>121</v>
      </c>
      <c r="X94" s="962" t="s">
        <v>1045</v>
      </c>
      <c r="Y94" s="959">
        <v>0</v>
      </c>
      <c r="Z94" s="959">
        <v>0</v>
      </c>
      <c r="AA94" s="959">
        <v>16941</v>
      </c>
      <c r="AB94" s="959">
        <v>9567</v>
      </c>
      <c r="AC94" s="959">
        <v>0</v>
      </c>
      <c r="AD94" s="959">
        <v>0</v>
      </c>
      <c r="AE94" s="960">
        <f t="shared" si="9"/>
        <v>16941</v>
      </c>
      <c r="AG94" s="961"/>
    </row>
    <row r="95" spans="1:33" ht="14.25" customHeight="1">
      <c r="A95" s="1104" t="s">
        <v>188</v>
      </c>
      <c r="B95" s="1113" t="s">
        <v>189</v>
      </c>
      <c r="C95" s="958" t="s">
        <v>4</v>
      </c>
      <c r="D95" s="958"/>
      <c r="E95" s="959">
        <v>365</v>
      </c>
      <c r="F95" s="959"/>
      <c r="G95" s="959">
        <v>0</v>
      </c>
      <c r="H95" s="959">
        <v>15018</v>
      </c>
      <c r="I95" s="959"/>
      <c r="J95" s="959"/>
      <c r="K95" s="959"/>
      <c r="L95" s="959">
        <v>0</v>
      </c>
      <c r="M95" s="959">
        <v>0</v>
      </c>
      <c r="N95" s="959">
        <v>0</v>
      </c>
      <c r="O95" s="959">
        <v>0</v>
      </c>
      <c r="P95" s="959">
        <v>0</v>
      </c>
      <c r="Q95" s="959">
        <v>0</v>
      </c>
      <c r="R95" s="959">
        <v>0</v>
      </c>
      <c r="S95" s="959">
        <v>28956</v>
      </c>
      <c r="T95" s="959">
        <f t="shared" si="7"/>
        <v>15383</v>
      </c>
      <c r="U95" s="960">
        <f t="shared" si="8"/>
        <v>44339</v>
      </c>
      <c r="V95" s="1104" t="s">
        <v>188</v>
      </c>
      <c r="W95" s="1113" t="s">
        <v>189</v>
      </c>
      <c r="X95" s="958" t="s">
        <v>4</v>
      </c>
      <c r="Y95" s="959">
        <v>24101</v>
      </c>
      <c r="Z95" s="959">
        <v>6344</v>
      </c>
      <c r="AA95" s="959">
        <v>13386</v>
      </c>
      <c r="AB95" s="959">
        <v>0</v>
      </c>
      <c r="AC95" s="959">
        <v>508</v>
      </c>
      <c r="AD95" s="959">
        <v>0</v>
      </c>
      <c r="AE95" s="960">
        <f t="shared" si="9"/>
        <v>44339</v>
      </c>
      <c r="AG95" s="961"/>
    </row>
    <row r="96" spans="1:33" ht="12.75" customHeight="1">
      <c r="A96" s="1105"/>
      <c r="B96" s="1114"/>
      <c r="C96" s="958" t="s">
        <v>565</v>
      </c>
      <c r="D96" s="958"/>
      <c r="E96" s="959">
        <v>365</v>
      </c>
      <c r="F96" s="959"/>
      <c r="G96" s="959">
        <v>0</v>
      </c>
      <c r="H96" s="959">
        <v>15018</v>
      </c>
      <c r="I96" s="959"/>
      <c r="J96" s="959"/>
      <c r="K96" s="959"/>
      <c r="L96" s="959">
        <v>0</v>
      </c>
      <c r="M96" s="959">
        <v>0</v>
      </c>
      <c r="N96" s="959">
        <v>0</v>
      </c>
      <c r="O96" s="959">
        <v>0</v>
      </c>
      <c r="P96" s="959">
        <v>0</v>
      </c>
      <c r="Q96" s="959">
        <v>0</v>
      </c>
      <c r="R96" s="959">
        <v>0</v>
      </c>
      <c r="S96" s="959">
        <v>30116</v>
      </c>
      <c r="T96" s="959">
        <f t="shared" si="7"/>
        <v>15383</v>
      </c>
      <c r="U96" s="960">
        <f t="shared" si="8"/>
        <v>45499</v>
      </c>
      <c r="V96" s="1105"/>
      <c r="W96" s="1114"/>
      <c r="X96" s="958" t="s">
        <v>565</v>
      </c>
      <c r="Y96" s="959">
        <v>24602</v>
      </c>
      <c r="Z96" s="959">
        <v>6376</v>
      </c>
      <c r="AA96" s="959">
        <v>14013</v>
      </c>
      <c r="AB96" s="959">
        <v>0</v>
      </c>
      <c r="AC96" s="959">
        <v>508</v>
      </c>
      <c r="AD96" s="959">
        <v>0</v>
      </c>
      <c r="AE96" s="960">
        <f t="shared" si="9"/>
        <v>45499</v>
      </c>
      <c r="AG96" s="961"/>
    </row>
    <row r="97" spans="1:33" ht="12.75" customHeight="1">
      <c r="A97" s="1105"/>
      <c r="B97" s="1114"/>
      <c r="C97" s="962" t="s">
        <v>763</v>
      </c>
      <c r="D97" s="962"/>
      <c r="E97" s="959">
        <v>365</v>
      </c>
      <c r="F97" s="959"/>
      <c r="G97" s="959">
        <v>0</v>
      </c>
      <c r="H97" s="959">
        <v>21897</v>
      </c>
      <c r="I97" s="959"/>
      <c r="J97" s="959"/>
      <c r="K97" s="959"/>
      <c r="L97" s="959">
        <v>0</v>
      </c>
      <c r="M97" s="959">
        <v>280</v>
      </c>
      <c r="N97" s="959">
        <v>0</v>
      </c>
      <c r="O97" s="959">
        <v>0</v>
      </c>
      <c r="P97" s="959">
        <v>0</v>
      </c>
      <c r="Q97" s="959">
        <v>1499</v>
      </c>
      <c r="R97" s="959">
        <v>0</v>
      </c>
      <c r="S97" s="959">
        <v>27738</v>
      </c>
      <c r="T97" s="959">
        <f t="shared" si="7"/>
        <v>24041</v>
      </c>
      <c r="U97" s="960">
        <f t="shared" si="8"/>
        <v>51779</v>
      </c>
      <c r="V97" s="1105"/>
      <c r="W97" s="1114"/>
      <c r="X97" s="958" t="s">
        <v>763</v>
      </c>
      <c r="Y97" s="959">
        <v>28465</v>
      </c>
      <c r="Z97" s="959">
        <v>7420</v>
      </c>
      <c r="AA97" s="959">
        <v>13386</v>
      </c>
      <c r="AB97" s="959">
        <v>0</v>
      </c>
      <c r="AC97" s="959">
        <v>2508</v>
      </c>
      <c r="AD97" s="959">
        <v>0</v>
      </c>
      <c r="AE97" s="960">
        <f t="shared" si="9"/>
        <v>51779</v>
      </c>
      <c r="AG97" s="961"/>
    </row>
    <row r="98" spans="1:33" ht="12.75" customHeight="1">
      <c r="A98" s="1105"/>
      <c r="B98" s="1114"/>
      <c r="C98" s="962" t="s">
        <v>763</v>
      </c>
      <c r="D98" s="962"/>
      <c r="E98" s="959">
        <v>365</v>
      </c>
      <c r="F98" s="959"/>
      <c r="G98" s="959">
        <v>0</v>
      </c>
      <c r="H98" s="959">
        <v>26164</v>
      </c>
      <c r="I98" s="959"/>
      <c r="J98" s="959"/>
      <c r="K98" s="959"/>
      <c r="L98" s="959">
        <v>0</v>
      </c>
      <c r="M98" s="959">
        <v>280</v>
      </c>
      <c r="N98" s="959">
        <v>0</v>
      </c>
      <c r="O98" s="959">
        <v>0</v>
      </c>
      <c r="P98" s="959">
        <v>0</v>
      </c>
      <c r="Q98" s="959">
        <v>1499</v>
      </c>
      <c r="R98" s="959">
        <v>0</v>
      </c>
      <c r="S98" s="959">
        <v>24362</v>
      </c>
      <c r="T98" s="959">
        <f t="shared" si="7"/>
        <v>28308</v>
      </c>
      <c r="U98" s="960">
        <f t="shared" si="8"/>
        <v>52670</v>
      </c>
      <c r="V98" s="1105"/>
      <c r="W98" s="1114"/>
      <c r="X98" s="962" t="s">
        <v>924</v>
      </c>
      <c r="Y98" s="959">
        <v>28899</v>
      </c>
      <c r="Z98" s="959">
        <v>7877</v>
      </c>
      <c r="AA98" s="959">
        <v>13386</v>
      </c>
      <c r="AB98" s="959">
        <v>0</v>
      </c>
      <c r="AC98" s="959">
        <v>2508</v>
      </c>
      <c r="AD98" s="959">
        <v>0</v>
      </c>
      <c r="AE98" s="960">
        <f t="shared" si="9"/>
        <v>52670</v>
      </c>
      <c r="AG98" s="961"/>
    </row>
    <row r="99" spans="1:33" ht="12.75" customHeight="1">
      <c r="A99" s="1106"/>
      <c r="B99" s="1115"/>
      <c r="C99" s="962" t="s">
        <v>1045</v>
      </c>
      <c r="D99" s="962"/>
      <c r="E99" s="959">
        <v>365</v>
      </c>
      <c r="F99" s="959"/>
      <c r="G99" s="959">
        <v>0</v>
      </c>
      <c r="H99" s="959">
        <v>26292</v>
      </c>
      <c r="I99" s="959"/>
      <c r="J99" s="959"/>
      <c r="K99" s="959">
        <v>34</v>
      </c>
      <c r="L99" s="959">
        <v>0</v>
      </c>
      <c r="M99" s="959">
        <v>280</v>
      </c>
      <c r="N99" s="959">
        <v>0</v>
      </c>
      <c r="O99" s="959">
        <v>0</v>
      </c>
      <c r="P99" s="959">
        <v>0</v>
      </c>
      <c r="Q99" s="959">
        <v>1499</v>
      </c>
      <c r="R99" s="959">
        <v>0</v>
      </c>
      <c r="S99" s="959">
        <v>24305</v>
      </c>
      <c r="T99" s="959">
        <f>SUM(D99:R99)</f>
        <v>28470</v>
      </c>
      <c r="U99" s="960">
        <f t="shared" si="8"/>
        <v>52775</v>
      </c>
      <c r="V99" s="1106"/>
      <c r="W99" s="1115"/>
      <c r="X99" s="962" t="s">
        <v>1045</v>
      </c>
      <c r="Y99" s="959">
        <v>28930</v>
      </c>
      <c r="Z99" s="959">
        <v>7890</v>
      </c>
      <c r="AA99" s="959">
        <v>13447</v>
      </c>
      <c r="AB99" s="959">
        <v>0</v>
      </c>
      <c r="AC99" s="959">
        <v>2508</v>
      </c>
      <c r="AD99" s="959">
        <v>0</v>
      </c>
      <c r="AE99" s="960">
        <f t="shared" si="9"/>
        <v>52775</v>
      </c>
      <c r="AG99" s="961"/>
    </row>
    <row r="100" spans="1:33" ht="15.75" customHeight="1">
      <c r="A100" s="1104" t="s">
        <v>190</v>
      </c>
      <c r="B100" s="957"/>
      <c r="C100" s="958" t="s">
        <v>4</v>
      </c>
      <c r="D100" s="958"/>
      <c r="E100" s="959">
        <v>13045</v>
      </c>
      <c r="F100" s="959"/>
      <c r="G100" s="959">
        <v>69174</v>
      </c>
      <c r="H100" s="959">
        <v>34957</v>
      </c>
      <c r="I100" s="959"/>
      <c r="J100" s="959"/>
      <c r="K100" s="959"/>
      <c r="L100" s="959">
        <v>0</v>
      </c>
      <c r="M100" s="959">
        <v>0</v>
      </c>
      <c r="N100" s="959">
        <v>0</v>
      </c>
      <c r="O100" s="959">
        <v>0</v>
      </c>
      <c r="P100" s="959">
        <v>0</v>
      </c>
      <c r="Q100" s="959">
        <v>0</v>
      </c>
      <c r="R100" s="959">
        <v>0</v>
      </c>
      <c r="S100" s="959">
        <v>342366</v>
      </c>
      <c r="T100" s="959">
        <f t="shared" si="7"/>
        <v>117176</v>
      </c>
      <c r="U100" s="960">
        <f t="shared" si="8"/>
        <v>459542</v>
      </c>
      <c r="V100" s="1104" t="s">
        <v>190</v>
      </c>
      <c r="W100" s="957"/>
      <c r="X100" s="958" t="s">
        <v>4</v>
      </c>
      <c r="Y100" s="959">
        <v>24101</v>
      </c>
      <c r="Z100" s="959">
        <v>6344</v>
      </c>
      <c r="AA100" s="959">
        <v>382979</v>
      </c>
      <c r="AB100" s="959">
        <v>196260</v>
      </c>
      <c r="AC100" s="959">
        <v>2808</v>
      </c>
      <c r="AD100" s="959">
        <v>43310</v>
      </c>
      <c r="AE100" s="960">
        <f t="shared" si="9"/>
        <v>459542</v>
      </c>
      <c r="AG100" s="961"/>
    </row>
    <row r="101" spans="1:33" ht="13.5" customHeight="1">
      <c r="A101" s="1105"/>
      <c r="B101" s="957"/>
      <c r="C101" s="958" t="s">
        <v>565</v>
      </c>
      <c r="D101" s="958"/>
      <c r="E101" s="959">
        <v>13045</v>
      </c>
      <c r="F101" s="959"/>
      <c r="G101" s="959">
        <v>69174</v>
      </c>
      <c r="H101" s="959">
        <v>34957</v>
      </c>
      <c r="I101" s="959"/>
      <c r="J101" s="959"/>
      <c r="K101" s="959"/>
      <c r="L101" s="959">
        <v>0</v>
      </c>
      <c r="M101" s="959">
        <v>0</v>
      </c>
      <c r="N101" s="959">
        <v>0</v>
      </c>
      <c r="O101" s="959">
        <v>0</v>
      </c>
      <c r="P101" s="959">
        <v>0</v>
      </c>
      <c r="Q101" s="959">
        <v>0</v>
      </c>
      <c r="R101" s="959">
        <v>0</v>
      </c>
      <c r="S101" s="959">
        <v>343526</v>
      </c>
      <c r="T101" s="959">
        <f t="shared" si="7"/>
        <v>117176</v>
      </c>
      <c r="U101" s="960">
        <f t="shared" si="8"/>
        <v>460702</v>
      </c>
      <c r="V101" s="1105"/>
      <c r="W101" s="957"/>
      <c r="X101" s="958" t="s">
        <v>565</v>
      </c>
      <c r="Y101" s="959">
        <v>24602</v>
      </c>
      <c r="Z101" s="959">
        <v>6376</v>
      </c>
      <c r="AA101" s="959">
        <v>383187</v>
      </c>
      <c r="AB101" s="959">
        <v>196260</v>
      </c>
      <c r="AC101" s="959">
        <v>3227</v>
      </c>
      <c r="AD101" s="959">
        <v>43310</v>
      </c>
      <c r="AE101" s="960">
        <f t="shared" si="9"/>
        <v>460702</v>
      </c>
      <c r="AG101" s="961"/>
    </row>
    <row r="102" spans="1:33" ht="15" customHeight="1">
      <c r="A102" s="1105"/>
      <c r="B102" s="957"/>
      <c r="C102" s="962" t="s">
        <v>763</v>
      </c>
      <c r="D102" s="962"/>
      <c r="E102" s="959">
        <v>13045</v>
      </c>
      <c r="F102" s="959">
        <v>0</v>
      </c>
      <c r="G102" s="959">
        <v>69174</v>
      </c>
      <c r="H102" s="959">
        <v>41836</v>
      </c>
      <c r="I102" s="959"/>
      <c r="J102" s="959">
        <v>0</v>
      </c>
      <c r="K102" s="959"/>
      <c r="L102" s="959">
        <v>0</v>
      </c>
      <c r="M102" s="959">
        <v>280</v>
      </c>
      <c r="N102" s="959">
        <v>0</v>
      </c>
      <c r="O102" s="959">
        <v>0</v>
      </c>
      <c r="P102" s="959">
        <v>0</v>
      </c>
      <c r="Q102" s="959">
        <v>1499</v>
      </c>
      <c r="R102" s="959">
        <v>0</v>
      </c>
      <c r="S102" s="959">
        <v>341148</v>
      </c>
      <c r="T102" s="959">
        <f t="shared" si="7"/>
        <v>125834</v>
      </c>
      <c r="U102" s="960">
        <f t="shared" si="8"/>
        <v>466982</v>
      </c>
      <c r="V102" s="1105"/>
      <c r="W102" s="957"/>
      <c r="X102" s="958" t="s">
        <v>763</v>
      </c>
      <c r="Y102" s="959">
        <v>28465</v>
      </c>
      <c r="Z102" s="959">
        <v>7420</v>
      </c>
      <c r="AA102" s="959">
        <v>383746</v>
      </c>
      <c r="AB102" s="959">
        <v>196260</v>
      </c>
      <c r="AC102" s="959">
        <v>5241</v>
      </c>
      <c r="AD102" s="959">
        <v>42110</v>
      </c>
      <c r="AE102" s="960">
        <f t="shared" si="9"/>
        <v>466982</v>
      </c>
      <c r="AG102" s="961"/>
    </row>
    <row r="103" spans="1:33" ht="15" customHeight="1">
      <c r="A103" s="1105"/>
      <c r="B103" s="957"/>
      <c r="C103" s="962" t="s">
        <v>924</v>
      </c>
      <c r="D103" s="962"/>
      <c r="E103" s="959">
        <v>13045</v>
      </c>
      <c r="F103" s="959">
        <v>0</v>
      </c>
      <c r="G103" s="959">
        <v>69174</v>
      </c>
      <c r="H103" s="959">
        <v>46103</v>
      </c>
      <c r="I103" s="959"/>
      <c r="J103" s="959">
        <v>0</v>
      </c>
      <c r="K103" s="959"/>
      <c r="L103" s="959">
        <v>0</v>
      </c>
      <c r="M103" s="959">
        <v>280</v>
      </c>
      <c r="N103" s="959">
        <v>0</v>
      </c>
      <c r="O103" s="959">
        <v>0</v>
      </c>
      <c r="P103" s="959">
        <v>0</v>
      </c>
      <c r="Q103" s="959">
        <v>1499</v>
      </c>
      <c r="R103" s="959">
        <v>0</v>
      </c>
      <c r="S103" s="959">
        <v>337522</v>
      </c>
      <c r="T103" s="959">
        <f t="shared" si="7"/>
        <v>130101</v>
      </c>
      <c r="U103" s="960">
        <f t="shared" si="8"/>
        <v>467623</v>
      </c>
      <c r="V103" s="1105"/>
      <c r="W103" s="957"/>
      <c r="X103" s="962" t="s">
        <v>924</v>
      </c>
      <c r="Y103" s="959">
        <v>28899</v>
      </c>
      <c r="Z103" s="959">
        <v>7877</v>
      </c>
      <c r="AA103" s="959">
        <v>383789</v>
      </c>
      <c r="AB103" s="959">
        <v>196260</v>
      </c>
      <c r="AC103" s="959">
        <v>5248</v>
      </c>
      <c r="AD103" s="959">
        <v>41810</v>
      </c>
      <c r="AE103" s="960">
        <f t="shared" si="9"/>
        <v>467623</v>
      </c>
      <c r="AG103" s="961"/>
    </row>
    <row r="104" spans="1:33" ht="15" customHeight="1">
      <c r="A104" s="1106"/>
      <c r="B104" s="957"/>
      <c r="C104" s="962" t="s">
        <v>1045</v>
      </c>
      <c r="D104" s="962"/>
      <c r="E104" s="959">
        <v>11013</v>
      </c>
      <c r="F104" s="959">
        <v>0</v>
      </c>
      <c r="G104" s="959">
        <v>68290</v>
      </c>
      <c r="H104" s="959">
        <v>46407</v>
      </c>
      <c r="I104" s="959"/>
      <c r="J104" s="959">
        <v>0</v>
      </c>
      <c r="K104" s="959">
        <v>34</v>
      </c>
      <c r="L104" s="959">
        <v>0</v>
      </c>
      <c r="M104" s="959">
        <v>280</v>
      </c>
      <c r="N104" s="959">
        <v>0</v>
      </c>
      <c r="O104" s="959">
        <v>0</v>
      </c>
      <c r="P104" s="959">
        <v>0</v>
      </c>
      <c r="Q104" s="959">
        <v>1499</v>
      </c>
      <c r="R104" s="959">
        <v>0</v>
      </c>
      <c r="S104" s="959">
        <v>302265</v>
      </c>
      <c r="T104" s="959">
        <f t="shared" si="7"/>
        <v>127523</v>
      </c>
      <c r="U104" s="960">
        <f t="shared" si="8"/>
        <v>429788</v>
      </c>
      <c r="V104" s="1106"/>
      <c r="W104" s="957"/>
      <c r="X104" s="962" t="s">
        <v>1045</v>
      </c>
      <c r="Y104" s="959">
        <v>28930</v>
      </c>
      <c r="Z104" s="959">
        <v>7890</v>
      </c>
      <c r="AA104" s="959">
        <v>351681</v>
      </c>
      <c r="AB104" s="959">
        <v>196260</v>
      </c>
      <c r="AC104" s="959">
        <v>4977</v>
      </c>
      <c r="AD104" s="959">
        <v>36310</v>
      </c>
      <c r="AE104" s="960">
        <f t="shared" si="9"/>
        <v>429788</v>
      </c>
      <c r="AG104" s="961"/>
    </row>
    <row r="105" spans="1:33" ht="13.5" customHeight="1">
      <c r="A105" s="1104" t="s">
        <v>191</v>
      </c>
      <c r="B105" s="957" t="s">
        <v>121</v>
      </c>
      <c r="C105" s="958" t="s">
        <v>4</v>
      </c>
      <c r="D105" s="958"/>
      <c r="E105" s="959">
        <v>33496</v>
      </c>
      <c r="F105" s="959"/>
      <c r="G105" s="959">
        <v>0</v>
      </c>
      <c r="H105" s="959">
        <v>11504</v>
      </c>
      <c r="I105" s="959"/>
      <c r="J105" s="959"/>
      <c r="K105" s="959"/>
      <c r="L105" s="959">
        <v>0</v>
      </c>
      <c r="M105" s="959">
        <v>0</v>
      </c>
      <c r="N105" s="959">
        <v>0</v>
      </c>
      <c r="O105" s="959">
        <v>0</v>
      </c>
      <c r="P105" s="959">
        <v>0</v>
      </c>
      <c r="Q105" s="959">
        <v>0</v>
      </c>
      <c r="R105" s="959">
        <v>0</v>
      </c>
      <c r="S105" s="959">
        <v>115993</v>
      </c>
      <c r="T105" s="959">
        <f t="shared" si="7"/>
        <v>45000</v>
      </c>
      <c r="U105" s="960">
        <f t="shared" si="8"/>
        <v>160993</v>
      </c>
      <c r="V105" s="1104" t="s">
        <v>191</v>
      </c>
      <c r="W105" s="957" t="s">
        <v>121</v>
      </c>
      <c r="X105" s="958" t="s">
        <v>4</v>
      </c>
      <c r="Y105" s="959">
        <v>84533</v>
      </c>
      <c r="Z105" s="959">
        <v>22303</v>
      </c>
      <c r="AA105" s="959">
        <v>44157</v>
      </c>
      <c r="AB105" s="959">
        <v>0</v>
      </c>
      <c r="AC105" s="959">
        <v>10000</v>
      </c>
      <c r="AD105" s="959">
        <v>0</v>
      </c>
      <c r="AE105" s="960">
        <f t="shared" si="9"/>
        <v>160993</v>
      </c>
      <c r="AG105" s="961"/>
    </row>
    <row r="106" spans="1:33" ht="14.25" customHeight="1">
      <c r="A106" s="1105"/>
      <c r="B106" s="957" t="s">
        <v>121</v>
      </c>
      <c r="C106" s="958" t="s">
        <v>565</v>
      </c>
      <c r="D106" s="958"/>
      <c r="E106" s="959">
        <v>33496</v>
      </c>
      <c r="F106" s="959"/>
      <c r="G106" s="959">
        <v>0</v>
      </c>
      <c r="H106" s="959">
        <v>11504</v>
      </c>
      <c r="I106" s="959"/>
      <c r="J106" s="959"/>
      <c r="K106" s="959"/>
      <c r="L106" s="959">
        <v>0</v>
      </c>
      <c r="M106" s="959">
        <v>0</v>
      </c>
      <c r="N106" s="959">
        <v>0</v>
      </c>
      <c r="O106" s="959">
        <v>0</v>
      </c>
      <c r="P106" s="959">
        <v>0</v>
      </c>
      <c r="Q106" s="959">
        <v>0</v>
      </c>
      <c r="R106" s="959">
        <v>0</v>
      </c>
      <c r="S106" s="959">
        <v>116220</v>
      </c>
      <c r="T106" s="959">
        <f t="shared" si="7"/>
        <v>45000</v>
      </c>
      <c r="U106" s="960">
        <f t="shared" si="8"/>
        <v>161220</v>
      </c>
      <c r="V106" s="1105"/>
      <c r="W106" s="957" t="s">
        <v>121</v>
      </c>
      <c r="X106" s="958" t="s">
        <v>565</v>
      </c>
      <c r="Y106" s="959">
        <v>82783</v>
      </c>
      <c r="Z106" s="959">
        <v>24280</v>
      </c>
      <c r="AA106" s="959">
        <v>44157</v>
      </c>
      <c r="AB106" s="959">
        <v>0</v>
      </c>
      <c r="AC106" s="959">
        <v>10000</v>
      </c>
      <c r="AD106" s="959">
        <v>0</v>
      </c>
      <c r="AE106" s="960">
        <f t="shared" si="9"/>
        <v>161220</v>
      </c>
      <c r="AG106" s="961"/>
    </row>
    <row r="107" spans="1:33" ht="14.25" customHeight="1">
      <c r="A107" s="1105"/>
      <c r="B107" s="957" t="s">
        <v>121</v>
      </c>
      <c r="C107" s="962" t="s">
        <v>763</v>
      </c>
      <c r="D107" s="958">
        <v>2000</v>
      </c>
      <c r="E107" s="959">
        <v>32176</v>
      </c>
      <c r="F107" s="959">
        <v>120</v>
      </c>
      <c r="G107" s="959">
        <v>0</v>
      </c>
      <c r="H107" s="959">
        <v>11720</v>
      </c>
      <c r="I107" s="959"/>
      <c r="J107" s="959"/>
      <c r="K107" s="959"/>
      <c r="L107" s="959">
        <v>4830</v>
      </c>
      <c r="M107" s="959">
        <v>5126</v>
      </c>
      <c r="N107" s="959">
        <v>1000</v>
      </c>
      <c r="O107" s="959">
        <v>0</v>
      </c>
      <c r="P107" s="959">
        <v>0</v>
      </c>
      <c r="Q107" s="959">
        <v>16407</v>
      </c>
      <c r="R107" s="959">
        <v>0</v>
      </c>
      <c r="S107" s="959">
        <v>136833</v>
      </c>
      <c r="T107" s="959">
        <f t="shared" si="7"/>
        <v>73379</v>
      </c>
      <c r="U107" s="960">
        <f t="shared" si="8"/>
        <v>210212</v>
      </c>
      <c r="V107" s="1105"/>
      <c r="W107" s="957" t="s">
        <v>121</v>
      </c>
      <c r="X107" s="958" t="s">
        <v>763</v>
      </c>
      <c r="Y107" s="959">
        <v>100520</v>
      </c>
      <c r="Z107" s="959">
        <v>28137</v>
      </c>
      <c r="AA107" s="959">
        <v>64704</v>
      </c>
      <c r="AB107" s="959">
        <v>0</v>
      </c>
      <c r="AC107" s="959">
        <v>16851</v>
      </c>
      <c r="AD107" s="959">
        <v>0</v>
      </c>
      <c r="AE107" s="960">
        <f t="shared" si="9"/>
        <v>210212</v>
      </c>
      <c r="AG107" s="961"/>
    </row>
    <row r="108" spans="1:33" ht="14.25" customHeight="1">
      <c r="A108" s="1105"/>
      <c r="B108" s="957" t="s">
        <v>121</v>
      </c>
      <c r="C108" s="962" t="s">
        <v>924</v>
      </c>
      <c r="D108" s="958">
        <v>2100</v>
      </c>
      <c r="E108" s="959">
        <v>19066</v>
      </c>
      <c r="F108" s="959">
        <v>130</v>
      </c>
      <c r="G108" s="959">
        <v>0</v>
      </c>
      <c r="H108" s="959">
        <v>11720</v>
      </c>
      <c r="I108" s="959"/>
      <c r="J108" s="959"/>
      <c r="K108" s="959"/>
      <c r="L108" s="959">
        <v>4830</v>
      </c>
      <c r="M108" s="959">
        <v>5126</v>
      </c>
      <c r="N108" s="959">
        <v>1000</v>
      </c>
      <c r="O108" s="959">
        <v>0</v>
      </c>
      <c r="P108" s="959">
        <v>0</v>
      </c>
      <c r="Q108" s="959">
        <v>16407</v>
      </c>
      <c r="R108" s="959">
        <v>0</v>
      </c>
      <c r="S108" s="959">
        <v>137100</v>
      </c>
      <c r="T108" s="959">
        <f aca="true" t="shared" si="10" ref="T108:T136">SUM(D108:R108)</f>
        <v>60379</v>
      </c>
      <c r="U108" s="960">
        <f aca="true" t="shared" si="11" ref="U108:U136">SUM(S108:T108)</f>
        <v>197479</v>
      </c>
      <c r="V108" s="1105"/>
      <c r="W108" s="957" t="s">
        <v>121</v>
      </c>
      <c r="X108" s="962" t="s">
        <v>924</v>
      </c>
      <c r="Y108" s="959">
        <v>100730</v>
      </c>
      <c r="Z108" s="959">
        <v>26194</v>
      </c>
      <c r="AA108" s="959">
        <v>60454</v>
      </c>
      <c r="AB108" s="959">
        <v>0</v>
      </c>
      <c r="AC108" s="959">
        <v>10101</v>
      </c>
      <c r="AD108" s="959">
        <v>0</v>
      </c>
      <c r="AE108" s="960">
        <f aca="true" t="shared" si="12" ref="AE108:AE136">SUM(Y108:AD108)-AB108</f>
        <v>197479</v>
      </c>
      <c r="AG108" s="961"/>
    </row>
    <row r="109" spans="1:33" ht="14.25" customHeight="1">
      <c r="A109" s="1106"/>
      <c r="B109" s="957" t="s">
        <v>121</v>
      </c>
      <c r="C109" s="962" t="s">
        <v>1045</v>
      </c>
      <c r="D109" s="958">
        <v>2523</v>
      </c>
      <c r="E109" s="959">
        <v>17166</v>
      </c>
      <c r="F109" s="959">
        <v>167</v>
      </c>
      <c r="G109" s="959">
        <v>0</v>
      </c>
      <c r="H109" s="959">
        <v>10720</v>
      </c>
      <c r="I109" s="959"/>
      <c r="J109" s="959"/>
      <c r="K109" s="959">
        <v>7</v>
      </c>
      <c r="L109" s="959">
        <v>4830</v>
      </c>
      <c r="M109" s="959">
        <v>5126</v>
      </c>
      <c r="N109" s="959">
        <v>1000</v>
      </c>
      <c r="O109" s="959">
        <v>0</v>
      </c>
      <c r="P109" s="959">
        <v>0</v>
      </c>
      <c r="Q109" s="959">
        <v>16407</v>
      </c>
      <c r="R109" s="959">
        <v>0</v>
      </c>
      <c r="S109" s="959">
        <v>142850</v>
      </c>
      <c r="T109" s="959">
        <f t="shared" si="10"/>
        <v>57946</v>
      </c>
      <c r="U109" s="960">
        <f t="shared" si="11"/>
        <v>200796</v>
      </c>
      <c r="V109" s="1106"/>
      <c r="W109" s="957" t="s">
        <v>121</v>
      </c>
      <c r="X109" s="962" t="s">
        <v>1045</v>
      </c>
      <c r="Y109" s="959">
        <v>98887</v>
      </c>
      <c r="Z109" s="959">
        <v>26224</v>
      </c>
      <c r="AA109" s="959">
        <v>60804</v>
      </c>
      <c r="AB109" s="959">
        <v>0</v>
      </c>
      <c r="AC109" s="959">
        <v>14881</v>
      </c>
      <c r="AD109" s="959">
        <v>0</v>
      </c>
      <c r="AE109" s="960">
        <f t="shared" si="12"/>
        <v>200796</v>
      </c>
      <c r="AG109" s="961"/>
    </row>
    <row r="110" spans="1:33" ht="13.5" customHeight="1">
      <c r="A110" s="1104" t="s">
        <v>192</v>
      </c>
      <c r="B110" s="957" t="s">
        <v>121</v>
      </c>
      <c r="C110" s="958" t="s">
        <v>4</v>
      </c>
      <c r="D110" s="958"/>
      <c r="E110" s="959">
        <v>1230</v>
      </c>
      <c r="F110" s="959"/>
      <c r="G110" s="959">
        <v>0</v>
      </c>
      <c r="H110" s="959">
        <v>332</v>
      </c>
      <c r="I110" s="959"/>
      <c r="J110" s="959"/>
      <c r="K110" s="959"/>
      <c r="L110" s="959">
        <v>0</v>
      </c>
      <c r="M110" s="959">
        <v>0</v>
      </c>
      <c r="N110" s="959">
        <v>0</v>
      </c>
      <c r="O110" s="959">
        <v>0</v>
      </c>
      <c r="P110" s="959">
        <v>0</v>
      </c>
      <c r="Q110" s="959">
        <v>0</v>
      </c>
      <c r="R110" s="959">
        <v>0</v>
      </c>
      <c r="S110" s="959">
        <v>43713</v>
      </c>
      <c r="T110" s="959">
        <f t="shared" si="10"/>
        <v>1562</v>
      </c>
      <c r="U110" s="960">
        <f t="shared" si="11"/>
        <v>45275</v>
      </c>
      <c r="V110" s="1104" t="s">
        <v>192</v>
      </c>
      <c r="W110" s="957" t="s">
        <v>121</v>
      </c>
      <c r="X110" s="958" t="s">
        <v>4</v>
      </c>
      <c r="Y110" s="959">
        <v>22753</v>
      </c>
      <c r="Z110" s="959">
        <v>5842</v>
      </c>
      <c r="AA110" s="959">
        <v>16680</v>
      </c>
      <c r="AB110" s="959">
        <v>0</v>
      </c>
      <c r="AC110" s="959">
        <v>0</v>
      </c>
      <c r="AD110" s="959">
        <v>0</v>
      </c>
      <c r="AE110" s="960">
        <f t="shared" si="12"/>
        <v>45275</v>
      </c>
      <c r="AG110" s="961">
        <v>45275</v>
      </c>
    </row>
    <row r="111" spans="1:33" ht="12.75" customHeight="1">
      <c r="A111" s="1105"/>
      <c r="B111" s="957" t="s">
        <v>121</v>
      </c>
      <c r="C111" s="958" t="s">
        <v>565</v>
      </c>
      <c r="D111" s="958"/>
      <c r="E111" s="959">
        <v>1230</v>
      </c>
      <c r="F111" s="959"/>
      <c r="G111" s="959">
        <v>0</v>
      </c>
      <c r="H111" s="959">
        <v>332</v>
      </c>
      <c r="I111" s="959"/>
      <c r="J111" s="959"/>
      <c r="K111" s="959"/>
      <c r="L111" s="959">
        <v>0</v>
      </c>
      <c r="M111" s="959">
        <v>0</v>
      </c>
      <c r="N111" s="959">
        <v>0</v>
      </c>
      <c r="O111" s="959">
        <v>0</v>
      </c>
      <c r="P111" s="959">
        <v>0</v>
      </c>
      <c r="Q111" s="959">
        <v>0</v>
      </c>
      <c r="R111" s="959">
        <v>0</v>
      </c>
      <c r="S111" s="959">
        <v>43892</v>
      </c>
      <c r="T111" s="959">
        <f t="shared" si="10"/>
        <v>1562</v>
      </c>
      <c r="U111" s="960">
        <f t="shared" si="11"/>
        <v>45454</v>
      </c>
      <c r="V111" s="1105"/>
      <c r="W111" s="957" t="s">
        <v>121</v>
      </c>
      <c r="X111" s="958" t="s">
        <v>565</v>
      </c>
      <c r="Y111" s="959">
        <v>22894</v>
      </c>
      <c r="Z111" s="959">
        <v>5880</v>
      </c>
      <c r="AA111" s="959">
        <v>16680</v>
      </c>
      <c r="AB111" s="959">
        <v>0</v>
      </c>
      <c r="AC111" s="959">
        <v>0</v>
      </c>
      <c r="AD111" s="959">
        <v>0</v>
      </c>
      <c r="AE111" s="960">
        <f t="shared" si="12"/>
        <v>45454</v>
      </c>
      <c r="AG111" s="961"/>
    </row>
    <row r="112" spans="1:33" ht="13.5" customHeight="1">
      <c r="A112" s="1105"/>
      <c r="B112" s="957" t="s">
        <v>121</v>
      </c>
      <c r="C112" s="962" t="s">
        <v>763</v>
      </c>
      <c r="D112" s="958"/>
      <c r="E112" s="959">
        <v>1582</v>
      </c>
      <c r="F112" s="959"/>
      <c r="G112" s="959">
        <v>0</v>
      </c>
      <c r="H112" s="959">
        <v>417</v>
      </c>
      <c r="I112" s="959"/>
      <c r="J112" s="959"/>
      <c r="K112" s="959"/>
      <c r="L112" s="959">
        <v>0</v>
      </c>
      <c r="M112" s="959">
        <v>106</v>
      </c>
      <c r="N112" s="959">
        <v>0</v>
      </c>
      <c r="O112" s="959">
        <v>0</v>
      </c>
      <c r="P112" s="959">
        <v>0</v>
      </c>
      <c r="Q112" s="959">
        <v>1329</v>
      </c>
      <c r="R112" s="959">
        <v>0</v>
      </c>
      <c r="S112" s="959">
        <v>44188</v>
      </c>
      <c r="T112" s="959">
        <f t="shared" si="10"/>
        <v>3434</v>
      </c>
      <c r="U112" s="960">
        <f t="shared" si="11"/>
        <v>47622</v>
      </c>
      <c r="V112" s="1105"/>
      <c r="W112" s="957" t="s">
        <v>121</v>
      </c>
      <c r="X112" s="958" t="s">
        <v>763</v>
      </c>
      <c r="Y112" s="959">
        <v>23297</v>
      </c>
      <c r="Z112" s="959">
        <v>5989</v>
      </c>
      <c r="AA112" s="959">
        <v>13033</v>
      </c>
      <c r="AB112" s="959">
        <v>0</v>
      </c>
      <c r="AC112" s="959">
        <v>5303</v>
      </c>
      <c r="AD112" s="959">
        <v>0</v>
      </c>
      <c r="AE112" s="960">
        <f t="shared" si="12"/>
        <v>47622</v>
      </c>
      <c r="AG112" s="961"/>
    </row>
    <row r="113" spans="1:33" ht="13.5" customHeight="1">
      <c r="A113" s="1105"/>
      <c r="B113" s="957" t="s">
        <v>121</v>
      </c>
      <c r="C113" s="962" t="s">
        <v>924</v>
      </c>
      <c r="D113" s="958"/>
      <c r="E113" s="959">
        <v>1582</v>
      </c>
      <c r="F113" s="959"/>
      <c r="G113" s="959">
        <v>0</v>
      </c>
      <c r="H113" s="959">
        <v>417</v>
      </c>
      <c r="I113" s="959"/>
      <c r="J113" s="959"/>
      <c r="K113" s="959"/>
      <c r="L113" s="959">
        <v>30</v>
      </c>
      <c r="M113" s="959">
        <v>106</v>
      </c>
      <c r="N113" s="959">
        <v>0</v>
      </c>
      <c r="O113" s="959">
        <v>0</v>
      </c>
      <c r="P113" s="959">
        <v>0</v>
      </c>
      <c r="Q113" s="959">
        <v>1329</v>
      </c>
      <c r="R113" s="959">
        <v>0</v>
      </c>
      <c r="S113" s="959">
        <v>44375</v>
      </c>
      <c r="T113" s="959">
        <f t="shared" si="10"/>
        <v>3464</v>
      </c>
      <c r="U113" s="960">
        <f t="shared" si="11"/>
        <v>47839</v>
      </c>
      <c r="V113" s="1105"/>
      <c r="W113" s="957" t="s">
        <v>121</v>
      </c>
      <c r="X113" s="962" t="s">
        <v>924</v>
      </c>
      <c r="Y113" s="959">
        <v>23244</v>
      </c>
      <c r="Z113" s="959">
        <v>6229</v>
      </c>
      <c r="AA113" s="959">
        <v>12863</v>
      </c>
      <c r="AB113" s="959">
        <v>0</v>
      </c>
      <c r="AC113" s="959">
        <v>5503</v>
      </c>
      <c r="AD113" s="959">
        <v>0</v>
      </c>
      <c r="AE113" s="960">
        <f t="shared" si="12"/>
        <v>47839</v>
      </c>
      <c r="AG113" s="961"/>
    </row>
    <row r="114" spans="1:33" ht="13.5" customHeight="1">
      <c r="A114" s="1106"/>
      <c r="B114" s="957" t="s">
        <v>121</v>
      </c>
      <c r="C114" s="962" t="s">
        <v>1045</v>
      </c>
      <c r="D114" s="958"/>
      <c r="E114" s="959">
        <v>1831</v>
      </c>
      <c r="F114" s="959"/>
      <c r="G114" s="959">
        <v>0</v>
      </c>
      <c r="H114" s="959">
        <v>466</v>
      </c>
      <c r="I114" s="959"/>
      <c r="J114" s="959"/>
      <c r="K114" s="959"/>
      <c r="L114" s="959">
        <v>30</v>
      </c>
      <c r="M114" s="959">
        <v>106</v>
      </c>
      <c r="N114" s="959">
        <v>0</v>
      </c>
      <c r="O114" s="959">
        <v>0</v>
      </c>
      <c r="P114" s="959">
        <v>0</v>
      </c>
      <c r="Q114" s="959">
        <v>1329</v>
      </c>
      <c r="R114" s="959">
        <v>0</v>
      </c>
      <c r="S114" s="959">
        <v>44461</v>
      </c>
      <c r="T114" s="959">
        <f t="shared" si="10"/>
        <v>3762</v>
      </c>
      <c r="U114" s="960">
        <f t="shared" si="11"/>
        <v>48223</v>
      </c>
      <c r="V114" s="1106"/>
      <c r="W114" s="957" t="s">
        <v>121</v>
      </c>
      <c r="X114" s="962" t="s">
        <v>1045</v>
      </c>
      <c r="Y114" s="959">
        <v>23304</v>
      </c>
      <c r="Z114" s="959">
        <v>6255</v>
      </c>
      <c r="AA114" s="959">
        <v>12863</v>
      </c>
      <c r="AB114" s="959">
        <v>0</v>
      </c>
      <c r="AC114" s="959">
        <v>5801</v>
      </c>
      <c r="AD114" s="959">
        <v>0</v>
      </c>
      <c r="AE114" s="960">
        <f t="shared" si="12"/>
        <v>48223</v>
      </c>
      <c r="AG114" s="961"/>
    </row>
    <row r="115" spans="1:33" s="965" customFormat="1" ht="13.5" customHeight="1">
      <c r="A115" s="1104" t="s">
        <v>193</v>
      </c>
      <c r="B115" s="957" t="s">
        <v>121</v>
      </c>
      <c r="C115" s="958" t="s">
        <v>4</v>
      </c>
      <c r="D115" s="964"/>
      <c r="E115" s="959">
        <v>0</v>
      </c>
      <c r="F115" s="959"/>
      <c r="G115" s="959">
        <v>0</v>
      </c>
      <c r="H115" s="959">
        <v>0</v>
      </c>
      <c r="I115" s="959"/>
      <c r="J115" s="959"/>
      <c r="K115" s="959"/>
      <c r="L115" s="959">
        <v>0</v>
      </c>
      <c r="M115" s="959">
        <v>112570</v>
      </c>
      <c r="N115" s="959">
        <v>0</v>
      </c>
      <c r="O115" s="959">
        <v>0</v>
      </c>
      <c r="P115" s="959">
        <v>0</v>
      </c>
      <c r="Q115" s="959">
        <v>0</v>
      </c>
      <c r="R115" s="959">
        <v>0</v>
      </c>
      <c r="S115" s="959">
        <v>8321</v>
      </c>
      <c r="T115" s="959">
        <f t="shared" si="10"/>
        <v>112570</v>
      </c>
      <c r="U115" s="960">
        <f t="shared" si="11"/>
        <v>120891</v>
      </c>
      <c r="V115" s="1104" t="s">
        <v>193</v>
      </c>
      <c r="W115" s="957" t="s">
        <v>121</v>
      </c>
      <c r="X115" s="958" t="s">
        <v>4</v>
      </c>
      <c r="Y115" s="959">
        <v>58441</v>
      </c>
      <c r="Z115" s="959">
        <v>15597</v>
      </c>
      <c r="AA115" s="959">
        <v>45878</v>
      </c>
      <c r="AB115" s="959">
        <v>0</v>
      </c>
      <c r="AC115" s="959">
        <v>975</v>
      </c>
      <c r="AD115" s="959">
        <v>0</v>
      </c>
      <c r="AE115" s="960">
        <f t="shared" si="12"/>
        <v>120891</v>
      </c>
      <c r="AG115" s="966">
        <v>120891</v>
      </c>
    </row>
    <row r="116" spans="1:33" s="965" customFormat="1" ht="12" customHeight="1">
      <c r="A116" s="1105"/>
      <c r="B116" s="957" t="s">
        <v>121</v>
      </c>
      <c r="C116" s="958" t="s">
        <v>565</v>
      </c>
      <c r="D116" s="958"/>
      <c r="E116" s="959">
        <v>0</v>
      </c>
      <c r="F116" s="959"/>
      <c r="G116" s="959">
        <v>0</v>
      </c>
      <c r="H116" s="959">
        <v>0</v>
      </c>
      <c r="I116" s="959"/>
      <c r="J116" s="959"/>
      <c r="K116" s="959"/>
      <c r="L116" s="959">
        <v>0</v>
      </c>
      <c r="M116" s="959">
        <v>112570</v>
      </c>
      <c r="N116" s="959">
        <v>0</v>
      </c>
      <c r="O116" s="959">
        <v>0</v>
      </c>
      <c r="P116" s="959">
        <v>0</v>
      </c>
      <c r="Q116" s="959">
        <v>0</v>
      </c>
      <c r="R116" s="959">
        <v>0</v>
      </c>
      <c r="S116" s="959">
        <v>8506</v>
      </c>
      <c r="T116" s="959">
        <f t="shared" si="10"/>
        <v>112570</v>
      </c>
      <c r="U116" s="960">
        <f t="shared" si="11"/>
        <v>121076</v>
      </c>
      <c r="V116" s="1105"/>
      <c r="W116" s="957" t="s">
        <v>121</v>
      </c>
      <c r="X116" s="958" t="s">
        <v>565</v>
      </c>
      <c r="Y116" s="959">
        <v>56307</v>
      </c>
      <c r="Z116" s="959">
        <v>15020</v>
      </c>
      <c r="AA116" s="959">
        <v>48774</v>
      </c>
      <c r="AB116" s="959">
        <v>0</v>
      </c>
      <c r="AC116" s="959">
        <v>975</v>
      </c>
      <c r="AD116" s="959">
        <v>0</v>
      </c>
      <c r="AE116" s="960">
        <f t="shared" si="12"/>
        <v>121076</v>
      </c>
      <c r="AG116" s="966"/>
    </row>
    <row r="117" spans="1:33" s="965" customFormat="1" ht="12" customHeight="1">
      <c r="A117" s="1105"/>
      <c r="B117" s="957" t="s">
        <v>121</v>
      </c>
      <c r="C117" s="962" t="s">
        <v>763</v>
      </c>
      <c r="D117" s="958"/>
      <c r="E117" s="959">
        <v>0</v>
      </c>
      <c r="F117" s="959"/>
      <c r="G117" s="959">
        <v>0</v>
      </c>
      <c r="H117" s="959">
        <v>0</v>
      </c>
      <c r="I117" s="959"/>
      <c r="J117" s="959"/>
      <c r="K117" s="959"/>
      <c r="L117" s="959">
        <v>0</v>
      </c>
      <c r="M117" s="959">
        <v>117830</v>
      </c>
      <c r="N117" s="959">
        <v>0</v>
      </c>
      <c r="O117" s="959">
        <v>300</v>
      </c>
      <c r="P117" s="959">
        <v>0</v>
      </c>
      <c r="Q117" s="959">
        <v>3778</v>
      </c>
      <c r="R117" s="959">
        <v>0</v>
      </c>
      <c r="S117" s="959">
        <v>14952</v>
      </c>
      <c r="T117" s="959">
        <f t="shared" si="10"/>
        <v>121908</v>
      </c>
      <c r="U117" s="960">
        <f t="shared" si="11"/>
        <v>136860</v>
      </c>
      <c r="V117" s="1105"/>
      <c r="W117" s="957" t="s">
        <v>121</v>
      </c>
      <c r="X117" s="958" t="s">
        <v>763</v>
      </c>
      <c r="Y117" s="959">
        <v>61167</v>
      </c>
      <c r="Z117" s="959">
        <v>16333</v>
      </c>
      <c r="AA117" s="959">
        <v>58085</v>
      </c>
      <c r="AB117" s="959">
        <v>0</v>
      </c>
      <c r="AC117" s="959">
        <v>1275</v>
      </c>
      <c r="AD117" s="959">
        <v>0</v>
      </c>
      <c r="AE117" s="960">
        <f t="shared" si="12"/>
        <v>136860</v>
      </c>
      <c r="AG117" s="966"/>
    </row>
    <row r="118" spans="1:33" s="965" customFormat="1" ht="12" customHeight="1">
      <c r="A118" s="1105"/>
      <c r="B118" s="957" t="s">
        <v>121</v>
      </c>
      <c r="C118" s="962" t="s">
        <v>924</v>
      </c>
      <c r="D118" s="958"/>
      <c r="E118" s="959">
        <v>0</v>
      </c>
      <c r="F118" s="959"/>
      <c r="G118" s="959">
        <v>0</v>
      </c>
      <c r="H118" s="959">
        <v>0</v>
      </c>
      <c r="I118" s="959"/>
      <c r="J118" s="959"/>
      <c r="K118" s="959"/>
      <c r="L118" s="959">
        <v>0</v>
      </c>
      <c r="M118" s="959">
        <v>117830</v>
      </c>
      <c r="N118" s="959">
        <v>0</v>
      </c>
      <c r="O118" s="959">
        <v>300</v>
      </c>
      <c r="P118" s="959">
        <v>0</v>
      </c>
      <c r="Q118" s="959">
        <v>3778</v>
      </c>
      <c r="R118" s="959">
        <v>0</v>
      </c>
      <c r="S118" s="959">
        <v>15117</v>
      </c>
      <c r="T118" s="959">
        <f t="shared" si="10"/>
        <v>121908</v>
      </c>
      <c r="U118" s="960">
        <f t="shared" si="11"/>
        <v>137025</v>
      </c>
      <c r="V118" s="1105"/>
      <c r="W118" s="957" t="s">
        <v>121</v>
      </c>
      <c r="X118" s="962" t="s">
        <v>924</v>
      </c>
      <c r="Y118" s="959">
        <v>64127</v>
      </c>
      <c r="Z118" s="959">
        <v>16368</v>
      </c>
      <c r="AA118" s="959">
        <v>55255</v>
      </c>
      <c r="AB118" s="959">
        <v>0</v>
      </c>
      <c r="AC118" s="959">
        <v>1275</v>
      </c>
      <c r="AD118" s="959">
        <v>0</v>
      </c>
      <c r="AE118" s="960">
        <f t="shared" si="12"/>
        <v>137025</v>
      </c>
      <c r="AG118" s="966"/>
    </row>
    <row r="119" spans="1:33" s="965" customFormat="1" ht="12" customHeight="1">
      <c r="A119" s="1106"/>
      <c r="B119" s="957" t="s">
        <v>121</v>
      </c>
      <c r="C119" s="962" t="s">
        <v>1045</v>
      </c>
      <c r="D119" s="958"/>
      <c r="E119" s="959">
        <v>247</v>
      </c>
      <c r="F119" s="959">
        <v>593</v>
      </c>
      <c r="G119" s="959">
        <v>0</v>
      </c>
      <c r="H119" s="959">
        <v>0</v>
      </c>
      <c r="I119" s="959"/>
      <c r="J119" s="959"/>
      <c r="K119" s="959">
        <v>14</v>
      </c>
      <c r="L119" s="959">
        <v>0</v>
      </c>
      <c r="M119" s="959">
        <v>117830</v>
      </c>
      <c r="N119" s="959">
        <v>0</v>
      </c>
      <c r="O119" s="959">
        <v>300</v>
      </c>
      <c r="P119" s="959">
        <v>0</v>
      </c>
      <c r="Q119" s="959">
        <v>3778</v>
      </c>
      <c r="R119" s="959">
        <v>0</v>
      </c>
      <c r="S119" s="959">
        <v>15194</v>
      </c>
      <c r="T119" s="959">
        <f t="shared" si="10"/>
        <v>122762</v>
      </c>
      <c r="U119" s="960">
        <f t="shared" si="11"/>
        <v>137956</v>
      </c>
      <c r="V119" s="1106"/>
      <c r="W119" s="957" t="s">
        <v>121</v>
      </c>
      <c r="X119" s="962" t="s">
        <v>1045</v>
      </c>
      <c r="Y119" s="959">
        <v>64181</v>
      </c>
      <c r="Z119" s="959">
        <v>16391</v>
      </c>
      <c r="AA119" s="959">
        <v>56109</v>
      </c>
      <c r="AB119" s="959">
        <v>0</v>
      </c>
      <c r="AC119" s="959">
        <v>1275</v>
      </c>
      <c r="AD119" s="959">
        <v>0</v>
      </c>
      <c r="AE119" s="960">
        <f t="shared" si="12"/>
        <v>137956</v>
      </c>
      <c r="AG119" s="966"/>
    </row>
    <row r="120" spans="1:33" s="965" customFormat="1" ht="12.75" customHeight="1">
      <c r="A120" s="1104" t="s">
        <v>764</v>
      </c>
      <c r="B120" s="1104" t="s">
        <v>765</v>
      </c>
      <c r="C120" s="958" t="s">
        <v>4</v>
      </c>
      <c r="D120" s="964"/>
      <c r="E120" s="960">
        <v>93527</v>
      </c>
      <c r="F120" s="960"/>
      <c r="G120" s="960">
        <v>81492</v>
      </c>
      <c r="H120" s="960">
        <v>61382</v>
      </c>
      <c r="I120" s="960"/>
      <c r="J120" s="960"/>
      <c r="K120" s="960"/>
      <c r="L120" s="960">
        <v>0</v>
      </c>
      <c r="M120" s="960">
        <v>112570</v>
      </c>
      <c r="N120" s="960">
        <v>0</v>
      </c>
      <c r="O120" s="960">
        <v>0</v>
      </c>
      <c r="P120" s="960">
        <v>0</v>
      </c>
      <c r="Q120" s="960">
        <v>0</v>
      </c>
      <c r="R120" s="960">
        <v>0</v>
      </c>
      <c r="S120" s="959">
        <v>1045817</v>
      </c>
      <c r="T120" s="959">
        <f t="shared" si="10"/>
        <v>348971</v>
      </c>
      <c r="U120" s="960">
        <f t="shared" si="11"/>
        <v>1394788</v>
      </c>
      <c r="V120" s="1104" t="s">
        <v>764</v>
      </c>
      <c r="W120" s="1104" t="s">
        <v>765</v>
      </c>
      <c r="X120" s="958" t="s">
        <v>4</v>
      </c>
      <c r="Y120" s="960">
        <v>540829</v>
      </c>
      <c r="Z120" s="960">
        <v>143252</v>
      </c>
      <c r="AA120" s="960">
        <v>646397</v>
      </c>
      <c r="AB120" s="960">
        <v>238466</v>
      </c>
      <c r="AC120" s="960">
        <v>16297</v>
      </c>
      <c r="AD120" s="960">
        <v>48013</v>
      </c>
      <c r="AE120" s="960">
        <f t="shared" si="12"/>
        <v>1394788</v>
      </c>
      <c r="AG120" s="961">
        <v>1394788</v>
      </c>
    </row>
    <row r="121" spans="1:31" ht="14.25" customHeight="1">
      <c r="A121" s="1105"/>
      <c r="B121" s="1105"/>
      <c r="C121" s="958" t="s">
        <v>565</v>
      </c>
      <c r="D121" s="958"/>
      <c r="E121" s="960">
        <v>93527</v>
      </c>
      <c r="F121" s="960"/>
      <c r="G121" s="960">
        <v>81492</v>
      </c>
      <c r="H121" s="960">
        <v>61382</v>
      </c>
      <c r="I121" s="960"/>
      <c r="J121" s="960"/>
      <c r="K121" s="960"/>
      <c r="L121" s="960">
        <v>0</v>
      </c>
      <c r="M121" s="960">
        <v>113607</v>
      </c>
      <c r="N121" s="960">
        <v>0</v>
      </c>
      <c r="O121" s="960">
        <v>0</v>
      </c>
      <c r="P121" s="960">
        <v>0</v>
      </c>
      <c r="Q121" s="960">
        <v>0</v>
      </c>
      <c r="R121" s="960">
        <v>0</v>
      </c>
      <c r="S121" s="959">
        <v>1057906</v>
      </c>
      <c r="T121" s="959">
        <f t="shared" si="10"/>
        <v>350008</v>
      </c>
      <c r="U121" s="960">
        <f t="shared" si="11"/>
        <v>1407914</v>
      </c>
      <c r="V121" s="1105"/>
      <c r="W121" s="1105"/>
      <c r="X121" s="958" t="s">
        <v>565</v>
      </c>
      <c r="Y121" s="960">
        <v>545289</v>
      </c>
      <c r="Z121" s="960">
        <v>148395</v>
      </c>
      <c r="AA121" s="960">
        <v>649395</v>
      </c>
      <c r="AB121" s="960">
        <v>238466</v>
      </c>
      <c r="AC121" s="960">
        <v>16822</v>
      </c>
      <c r="AD121" s="960">
        <v>48013</v>
      </c>
      <c r="AE121" s="960">
        <f t="shared" si="12"/>
        <v>1407914</v>
      </c>
    </row>
    <row r="122" spans="1:31" ht="13.5" customHeight="1">
      <c r="A122" s="1105"/>
      <c r="B122" s="1105"/>
      <c r="C122" s="967" t="s">
        <v>763</v>
      </c>
      <c r="D122" s="960">
        <v>2000</v>
      </c>
      <c r="E122" s="960">
        <v>86659</v>
      </c>
      <c r="F122" s="960">
        <v>120</v>
      </c>
      <c r="G122" s="960">
        <v>81492</v>
      </c>
      <c r="H122" s="960">
        <v>67552</v>
      </c>
      <c r="I122" s="960"/>
      <c r="J122" s="960">
        <v>0</v>
      </c>
      <c r="K122" s="960"/>
      <c r="L122" s="960">
        <v>4830</v>
      </c>
      <c r="M122" s="960">
        <v>124590</v>
      </c>
      <c r="N122" s="960">
        <v>1000</v>
      </c>
      <c r="O122" s="960">
        <v>300</v>
      </c>
      <c r="P122" s="960">
        <v>0</v>
      </c>
      <c r="Q122" s="960">
        <v>44943</v>
      </c>
      <c r="R122" s="960">
        <v>0</v>
      </c>
      <c r="S122" s="960">
        <v>1091027</v>
      </c>
      <c r="T122" s="960">
        <f t="shared" si="10"/>
        <v>413486</v>
      </c>
      <c r="U122" s="960">
        <f t="shared" si="11"/>
        <v>1504513</v>
      </c>
      <c r="V122" s="1105"/>
      <c r="W122" s="1105"/>
      <c r="X122" s="958" t="s">
        <v>763</v>
      </c>
      <c r="Y122" s="960">
        <v>590085</v>
      </c>
      <c r="Z122" s="960">
        <v>159562</v>
      </c>
      <c r="AA122" s="960">
        <v>673515</v>
      </c>
      <c r="AB122" s="960">
        <v>238466</v>
      </c>
      <c r="AC122" s="960">
        <v>31704</v>
      </c>
      <c r="AD122" s="960">
        <v>49647</v>
      </c>
      <c r="AE122" s="960">
        <f t="shared" si="12"/>
        <v>1504513</v>
      </c>
    </row>
    <row r="123" spans="1:31" ht="13.5" customHeight="1">
      <c r="A123" s="1105"/>
      <c r="B123" s="1105"/>
      <c r="C123" s="962" t="s">
        <v>924</v>
      </c>
      <c r="D123" s="960">
        <v>2100</v>
      </c>
      <c r="E123" s="960">
        <v>67549</v>
      </c>
      <c r="F123" s="960">
        <v>130</v>
      </c>
      <c r="G123" s="960">
        <v>89492</v>
      </c>
      <c r="H123" s="960">
        <v>71819</v>
      </c>
      <c r="I123" s="960"/>
      <c r="J123" s="960">
        <v>0</v>
      </c>
      <c r="K123" s="960"/>
      <c r="L123" s="960">
        <v>4860</v>
      </c>
      <c r="M123" s="960">
        <v>124590</v>
      </c>
      <c r="N123" s="960">
        <v>1000</v>
      </c>
      <c r="O123" s="960">
        <v>300</v>
      </c>
      <c r="P123" s="960">
        <v>0</v>
      </c>
      <c r="Q123" s="960">
        <v>44943</v>
      </c>
      <c r="R123" s="960">
        <v>0</v>
      </c>
      <c r="S123" s="960">
        <v>1092521</v>
      </c>
      <c r="T123" s="960">
        <f t="shared" si="10"/>
        <v>406783</v>
      </c>
      <c r="U123" s="960">
        <f t="shared" si="11"/>
        <v>1499304</v>
      </c>
      <c r="V123" s="1105"/>
      <c r="W123" s="1105"/>
      <c r="X123" s="962" t="s">
        <v>924</v>
      </c>
      <c r="Y123" s="960">
        <v>597226</v>
      </c>
      <c r="Z123" s="960">
        <v>161012</v>
      </c>
      <c r="AA123" s="960">
        <v>666117</v>
      </c>
      <c r="AB123" s="960">
        <v>238466</v>
      </c>
      <c r="AC123" s="960">
        <v>26142</v>
      </c>
      <c r="AD123" s="960">
        <v>48807</v>
      </c>
      <c r="AE123" s="960">
        <f t="shared" si="12"/>
        <v>1499304</v>
      </c>
    </row>
    <row r="124" spans="1:31" ht="13.5" customHeight="1">
      <c r="A124" s="1106"/>
      <c r="B124" s="1106"/>
      <c r="C124" s="962" t="s">
        <v>1045</v>
      </c>
      <c r="D124" s="960">
        <v>2523</v>
      </c>
      <c r="E124" s="960">
        <v>60059</v>
      </c>
      <c r="F124" s="960">
        <v>760</v>
      </c>
      <c r="G124" s="960">
        <v>88815</v>
      </c>
      <c r="H124" s="960">
        <v>71265</v>
      </c>
      <c r="I124" s="960">
        <v>108</v>
      </c>
      <c r="J124" s="960">
        <v>30</v>
      </c>
      <c r="K124" s="960">
        <v>57</v>
      </c>
      <c r="L124" s="960">
        <v>4860</v>
      </c>
      <c r="M124" s="960">
        <v>124591</v>
      </c>
      <c r="N124" s="960">
        <v>1000</v>
      </c>
      <c r="O124" s="960">
        <v>300</v>
      </c>
      <c r="P124" s="960">
        <v>0</v>
      </c>
      <c r="Q124" s="960">
        <v>44943</v>
      </c>
      <c r="R124" s="960">
        <v>0</v>
      </c>
      <c r="S124" s="960">
        <v>1060130</v>
      </c>
      <c r="T124" s="960">
        <f t="shared" si="10"/>
        <v>399311</v>
      </c>
      <c r="U124" s="960">
        <f t="shared" si="11"/>
        <v>1459441</v>
      </c>
      <c r="V124" s="1106"/>
      <c r="W124" s="1106"/>
      <c r="X124" s="962" t="s">
        <v>1045</v>
      </c>
      <c r="Y124" s="960">
        <v>596655</v>
      </c>
      <c r="Z124" s="960">
        <v>161479</v>
      </c>
      <c r="AA124" s="960">
        <v>626677</v>
      </c>
      <c r="AB124" s="960">
        <v>238466</v>
      </c>
      <c r="AC124" s="960">
        <v>31295</v>
      </c>
      <c r="AD124" s="960">
        <v>43335</v>
      </c>
      <c r="AE124" s="960">
        <f t="shared" si="12"/>
        <v>1459441</v>
      </c>
    </row>
    <row r="125" spans="1:31" ht="12.75" customHeight="1">
      <c r="A125" s="1104" t="s">
        <v>195</v>
      </c>
      <c r="B125" s="1113" t="s">
        <v>196</v>
      </c>
      <c r="C125" s="958" t="s">
        <v>4</v>
      </c>
      <c r="D125" s="964"/>
      <c r="E125" s="959">
        <v>93162</v>
      </c>
      <c r="F125" s="959"/>
      <c r="G125" s="968">
        <v>81492</v>
      </c>
      <c r="H125" s="968">
        <v>46364</v>
      </c>
      <c r="I125" s="968"/>
      <c r="J125" s="968"/>
      <c r="K125" s="968"/>
      <c r="L125" s="968">
        <v>0</v>
      </c>
      <c r="M125" s="959">
        <v>112570</v>
      </c>
      <c r="N125" s="959">
        <v>0</v>
      </c>
      <c r="O125" s="968">
        <v>0</v>
      </c>
      <c r="P125" s="968">
        <v>0</v>
      </c>
      <c r="Q125" s="968">
        <v>0</v>
      </c>
      <c r="R125" s="968">
        <v>0</v>
      </c>
      <c r="S125" s="959">
        <v>1016861</v>
      </c>
      <c r="T125" s="959">
        <f t="shared" si="10"/>
        <v>333588</v>
      </c>
      <c r="U125" s="960">
        <f t="shared" si="11"/>
        <v>1350449</v>
      </c>
      <c r="V125" s="1104" t="s">
        <v>195</v>
      </c>
      <c r="W125" s="1113" t="s">
        <v>196</v>
      </c>
      <c r="X125" s="958" t="s">
        <v>4</v>
      </c>
      <c r="Y125" s="968">
        <v>516728</v>
      </c>
      <c r="Z125" s="968">
        <v>136908</v>
      </c>
      <c r="AA125" s="968">
        <v>633011</v>
      </c>
      <c r="AB125" s="968">
        <v>238466</v>
      </c>
      <c r="AC125" s="968">
        <v>15789</v>
      </c>
      <c r="AD125" s="968">
        <v>48013</v>
      </c>
      <c r="AE125" s="969">
        <f t="shared" si="12"/>
        <v>1350449</v>
      </c>
    </row>
    <row r="126" spans="1:33" ht="12.75">
      <c r="A126" s="1105"/>
      <c r="B126" s="1114"/>
      <c r="C126" s="958" t="s">
        <v>565</v>
      </c>
      <c r="D126" s="958"/>
      <c r="E126" s="959">
        <v>93162</v>
      </c>
      <c r="F126" s="959"/>
      <c r="G126" s="959">
        <v>81492</v>
      </c>
      <c r="H126" s="959">
        <v>46364</v>
      </c>
      <c r="I126" s="959"/>
      <c r="J126" s="959"/>
      <c r="K126" s="959"/>
      <c r="L126" s="959">
        <v>0</v>
      </c>
      <c r="M126" s="959">
        <v>113607</v>
      </c>
      <c r="N126" s="959">
        <v>0</v>
      </c>
      <c r="O126" s="959">
        <v>0</v>
      </c>
      <c r="P126" s="959">
        <v>0</v>
      </c>
      <c r="Q126" s="959">
        <v>0</v>
      </c>
      <c r="R126" s="959">
        <v>0</v>
      </c>
      <c r="S126" s="959">
        <v>1027790</v>
      </c>
      <c r="T126" s="959">
        <f t="shared" si="10"/>
        <v>334625</v>
      </c>
      <c r="U126" s="960">
        <f t="shared" si="11"/>
        <v>1362415</v>
      </c>
      <c r="V126" s="1105"/>
      <c r="W126" s="1114"/>
      <c r="X126" s="958" t="s">
        <v>565</v>
      </c>
      <c r="Y126" s="968">
        <v>520687</v>
      </c>
      <c r="Z126" s="968">
        <v>142019</v>
      </c>
      <c r="AA126" s="968">
        <v>635382</v>
      </c>
      <c r="AB126" s="968">
        <v>238466</v>
      </c>
      <c r="AC126" s="968">
        <v>16314</v>
      </c>
      <c r="AD126" s="968">
        <v>48013</v>
      </c>
      <c r="AE126" s="969">
        <f t="shared" si="12"/>
        <v>1362415</v>
      </c>
      <c r="AF126" s="968">
        <v>0</v>
      </c>
      <c r="AG126" s="968">
        <v>0</v>
      </c>
    </row>
    <row r="127" spans="1:33" ht="12.75">
      <c r="A127" s="1105"/>
      <c r="B127" s="1114"/>
      <c r="C127" s="962" t="s">
        <v>763</v>
      </c>
      <c r="D127" s="970">
        <v>2000</v>
      </c>
      <c r="E127" s="959">
        <v>86294</v>
      </c>
      <c r="F127" s="959">
        <v>120</v>
      </c>
      <c r="G127" s="959">
        <v>81492</v>
      </c>
      <c r="H127" s="959">
        <v>45655</v>
      </c>
      <c r="I127" s="959"/>
      <c r="J127" s="959"/>
      <c r="K127" s="959"/>
      <c r="L127" s="959">
        <v>4830</v>
      </c>
      <c r="M127" s="959">
        <v>124310</v>
      </c>
      <c r="N127" s="959">
        <v>1000</v>
      </c>
      <c r="O127" s="959">
        <v>300</v>
      </c>
      <c r="P127" s="959">
        <v>0</v>
      </c>
      <c r="Q127" s="959">
        <v>43444</v>
      </c>
      <c r="R127" s="959">
        <v>0</v>
      </c>
      <c r="S127" s="959">
        <v>1063289</v>
      </c>
      <c r="T127" s="959">
        <f t="shared" si="10"/>
        <v>389445</v>
      </c>
      <c r="U127" s="959">
        <f t="shared" si="11"/>
        <v>1452734</v>
      </c>
      <c r="V127" s="1105"/>
      <c r="W127" s="1114"/>
      <c r="X127" s="958" t="s">
        <v>763</v>
      </c>
      <c r="Y127" s="959">
        <v>561620</v>
      </c>
      <c r="Z127" s="959">
        <v>152142</v>
      </c>
      <c r="AA127" s="959">
        <v>660129</v>
      </c>
      <c r="AB127" s="959">
        <v>238466</v>
      </c>
      <c r="AC127" s="959">
        <v>29196</v>
      </c>
      <c r="AD127" s="959">
        <v>49647</v>
      </c>
      <c r="AE127" s="960">
        <f t="shared" si="12"/>
        <v>1452734</v>
      </c>
      <c r="AF127" s="971"/>
      <c r="AG127" s="971"/>
    </row>
    <row r="128" spans="1:33" ht="12.75">
      <c r="A128" s="1105"/>
      <c r="B128" s="1114"/>
      <c r="C128" s="962" t="s">
        <v>924</v>
      </c>
      <c r="D128" s="970">
        <v>2100</v>
      </c>
      <c r="E128" s="959">
        <v>67184</v>
      </c>
      <c r="F128" s="959">
        <v>130</v>
      </c>
      <c r="G128" s="959">
        <v>89492</v>
      </c>
      <c r="H128" s="959">
        <v>45655</v>
      </c>
      <c r="I128" s="959"/>
      <c r="J128" s="959"/>
      <c r="K128" s="959"/>
      <c r="L128" s="959">
        <v>4860</v>
      </c>
      <c r="M128" s="959">
        <v>124310</v>
      </c>
      <c r="N128" s="959">
        <v>1000</v>
      </c>
      <c r="O128" s="959">
        <v>300</v>
      </c>
      <c r="P128" s="959">
        <v>0</v>
      </c>
      <c r="Q128" s="959">
        <v>43444</v>
      </c>
      <c r="R128" s="959">
        <v>0</v>
      </c>
      <c r="S128" s="959">
        <v>1068159</v>
      </c>
      <c r="T128" s="959">
        <f t="shared" si="10"/>
        <v>378475</v>
      </c>
      <c r="U128" s="959">
        <f t="shared" si="11"/>
        <v>1446634</v>
      </c>
      <c r="V128" s="1105"/>
      <c r="W128" s="1114"/>
      <c r="X128" s="962" t="s">
        <v>924</v>
      </c>
      <c r="Y128" s="959">
        <v>568327</v>
      </c>
      <c r="Z128" s="959">
        <v>153135</v>
      </c>
      <c r="AA128" s="959">
        <v>652731</v>
      </c>
      <c r="AB128" s="959">
        <v>238466</v>
      </c>
      <c r="AC128" s="959">
        <v>23634</v>
      </c>
      <c r="AD128" s="959">
        <v>48807</v>
      </c>
      <c r="AE128" s="960">
        <f t="shared" si="12"/>
        <v>1446634</v>
      </c>
      <c r="AF128" s="971"/>
      <c r="AG128" s="971"/>
    </row>
    <row r="129" spans="1:33" ht="12.75">
      <c r="A129" s="1116"/>
      <c r="B129" s="1116"/>
      <c r="C129" s="962" t="s">
        <v>1045</v>
      </c>
      <c r="D129" s="970">
        <v>2523</v>
      </c>
      <c r="E129" s="970">
        <v>59694</v>
      </c>
      <c r="F129" s="970">
        <v>760</v>
      </c>
      <c r="G129" s="970">
        <v>88815</v>
      </c>
      <c r="H129" s="970">
        <v>44973</v>
      </c>
      <c r="I129" s="970">
        <v>108</v>
      </c>
      <c r="J129" s="970">
        <v>30</v>
      </c>
      <c r="K129" s="970">
        <v>23</v>
      </c>
      <c r="L129" s="970">
        <v>4860</v>
      </c>
      <c r="M129" s="970">
        <v>124311</v>
      </c>
      <c r="N129" s="970">
        <v>1000</v>
      </c>
      <c r="O129" s="970">
        <v>300</v>
      </c>
      <c r="P129" s="970">
        <v>0</v>
      </c>
      <c r="Q129" s="970">
        <v>43444</v>
      </c>
      <c r="R129" s="970">
        <v>0</v>
      </c>
      <c r="S129" s="970">
        <v>1035825</v>
      </c>
      <c r="T129" s="970">
        <f t="shared" si="10"/>
        <v>370841</v>
      </c>
      <c r="U129" s="970">
        <f t="shared" si="11"/>
        <v>1406666</v>
      </c>
      <c r="V129" s="1106"/>
      <c r="W129" s="1115"/>
      <c r="X129" s="962" t="s">
        <v>1045</v>
      </c>
      <c r="Y129" s="959">
        <v>567725</v>
      </c>
      <c r="Z129" s="959">
        <v>153589</v>
      </c>
      <c r="AA129" s="959">
        <v>613230</v>
      </c>
      <c r="AB129" s="959">
        <v>238466</v>
      </c>
      <c r="AC129" s="959">
        <v>28787</v>
      </c>
      <c r="AD129" s="959">
        <v>43335</v>
      </c>
      <c r="AE129" s="960">
        <f t="shared" si="12"/>
        <v>1406666</v>
      </c>
      <c r="AF129" s="971"/>
      <c r="AG129" s="971"/>
    </row>
    <row r="130" spans="1:31" ht="12.75" customHeight="1">
      <c r="A130" s="1117" t="s">
        <v>197</v>
      </c>
      <c r="B130" s="1113" t="s">
        <v>189</v>
      </c>
      <c r="C130" s="958" t="s">
        <v>4</v>
      </c>
      <c r="D130" s="972"/>
      <c r="E130" s="959">
        <v>366</v>
      </c>
      <c r="F130" s="959"/>
      <c r="G130" s="968">
        <v>0</v>
      </c>
      <c r="H130" s="968">
        <v>15018</v>
      </c>
      <c r="I130" s="968"/>
      <c r="J130" s="968"/>
      <c r="K130" s="968"/>
      <c r="L130" s="968">
        <v>0</v>
      </c>
      <c r="M130" s="959">
        <v>0</v>
      </c>
      <c r="N130" s="959">
        <v>0</v>
      </c>
      <c r="O130" s="968">
        <v>0</v>
      </c>
      <c r="P130" s="968">
        <v>0</v>
      </c>
      <c r="Q130" s="968">
        <v>0</v>
      </c>
      <c r="R130" s="968">
        <v>0</v>
      </c>
      <c r="S130" s="959">
        <v>28955</v>
      </c>
      <c r="T130" s="959">
        <f t="shared" si="10"/>
        <v>15384</v>
      </c>
      <c r="U130" s="960">
        <f t="shared" si="11"/>
        <v>44339</v>
      </c>
      <c r="V130" s="1104" t="s">
        <v>197</v>
      </c>
      <c r="W130" s="1113" t="s">
        <v>189</v>
      </c>
      <c r="X130" s="958" t="s">
        <v>4</v>
      </c>
      <c r="Y130" s="968">
        <v>24101</v>
      </c>
      <c r="Z130" s="968">
        <v>6344</v>
      </c>
      <c r="AA130" s="968">
        <v>13386</v>
      </c>
      <c r="AB130" s="968">
        <v>0</v>
      </c>
      <c r="AC130" s="968">
        <v>508</v>
      </c>
      <c r="AD130" s="968">
        <v>0</v>
      </c>
      <c r="AE130" s="969">
        <f t="shared" si="12"/>
        <v>44339</v>
      </c>
    </row>
    <row r="131" spans="1:31" ht="12.75" customHeight="1" hidden="1">
      <c r="A131" s="1118"/>
      <c r="B131" s="1114"/>
      <c r="C131" s="973"/>
      <c r="D131" s="974"/>
      <c r="E131" s="959">
        <v>366</v>
      </c>
      <c r="F131" s="959"/>
      <c r="G131" s="968">
        <v>0</v>
      </c>
      <c r="H131" s="968">
        <v>15018</v>
      </c>
      <c r="I131" s="968"/>
      <c r="J131" s="968"/>
      <c r="K131" s="968"/>
      <c r="L131" s="968">
        <v>0</v>
      </c>
      <c r="M131" s="959">
        <v>0</v>
      </c>
      <c r="N131" s="959">
        <v>0</v>
      </c>
      <c r="O131" s="968">
        <v>0</v>
      </c>
      <c r="P131" s="968">
        <v>0</v>
      </c>
      <c r="Q131" s="968">
        <v>0</v>
      </c>
      <c r="R131" s="968">
        <v>0</v>
      </c>
      <c r="S131" s="959">
        <v>28955</v>
      </c>
      <c r="T131" s="959">
        <f t="shared" si="10"/>
        <v>15384</v>
      </c>
      <c r="U131" s="960">
        <f t="shared" si="11"/>
        <v>44339</v>
      </c>
      <c r="V131" s="1105"/>
      <c r="W131" s="1114"/>
      <c r="X131" s="959"/>
      <c r="Y131" s="968">
        <v>24101</v>
      </c>
      <c r="Z131" s="968">
        <v>6344</v>
      </c>
      <c r="AA131" s="968">
        <v>13386</v>
      </c>
      <c r="AB131" s="968">
        <v>0</v>
      </c>
      <c r="AC131" s="968">
        <v>508</v>
      </c>
      <c r="AD131" s="968">
        <v>0</v>
      </c>
      <c r="AE131" s="969">
        <f t="shared" si="12"/>
        <v>44339</v>
      </c>
    </row>
    <row r="132" spans="1:31" ht="12.75" customHeight="1" hidden="1">
      <c r="A132" s="1118"/>
      <c r="B132" s="1114"/>
      <c r="C132" s="973"/>
      <c r="D132" s="974"/>
      <c r="E132" s="959">
        <v>366</v>
      </c>
      <c r="F132" s="959"/>
      <c r="G132" s="968">
        <v>0</v>
      </c>
      <c r="H132" s="968">
        <v>15018</v>
      </c>
      <c r="I132" s="968"/>
      <c r="J132" s="968"/>
      <c r="K132" s="968"/>
      <c r="L132" s="968">
        <v>0</v>
      </c>
      <c r="M132" s="959">
        <v>0</v>
      </c>
      <c r="N132" s="959">
        <v>0</v>
      </c>
      <c r="O132" s="968">
        <v>0</v>
      </c>
      <c r="P132" s="968">
        <v>0</v>
      </c>
      <c r="Q132" s="968">
        <v>0</v>
      </c>
      <c r="R132" s="968">
        <v>0</v>
      </c>
      <c r="S132" s="959">
        <v>28955</v>
      </c>
      <c r="T132" s="959">
        <f t="shared" si="10"/>
        <v>15384</v>
      </c>
      <c r="U132" s="960">
        <f t="shared" si="11"/>
        <v>44339</v>
      </c>
      <c r="V132" s="1105"/>
      <c r="W132" s="1114"/>
      <c r="X132" s="968"/>
      <c r="Y132" s="968">
        <v>24101</v>
      </c>
      <c r="Z132" s="968">
        <v>6344</v>
      </c>
      <c r="AA132" s="968">
        <v>13386</v>
      </c>
      <c r="AB132" s="968">
        <v>0</v>
      </c>
      <c r="AC132" s="968">
        <v>508</v>
      </c>
      <c r="AD132" s="968">
        <v>0</v>
      </c>
      <c r="AE132" s="969">
        <f t="shared" si="12"/>
        <v>44339</v>
      </c>
    </row>
    <row r="133" spans="1:31" ht="12.75">
      <c r="A133" s="1118"/>
      <c r="B133" s="1114"/>
      <c r="C133" s="958" t="s">
        <v>565</v>
      </c>
      <c r="D133" s="975"/>
      <c r="E133" s="959">
        <v>365</v>
      </c>
      <c r="F133" s="959"/>
      <c r="G133" s="959">
        <v>0</v>
      </c>
      <c r="H133" s="959">
        <v>15018</v>
      </c>
      <c r="I133" s="959"/>
      <c r="J133" s="959"/>
      <c r="K133" s="959"/>
      <c r="L133" s="959">
        <v>0</v>
      </c>
      <c r="M133" s="959">
        <v>0</v>
      </c>
      <c r="N133" s="959">
        <v>0</v>
      </c>
      <c r="O133" s="959">
        <v>0</v>
      </c>
      <c r="P133" s="959">
        <v>0</v>
      </c>
      <c r="Q133" s="959">
        <v>0</v>
      </c>
      <c r="R133" s="959">
        <v>0</v>
      </c>
      <c r="S133" s="959">
        <v>30116</v>
      </c>
      <c r="T133" s="959">
        <f t="shared" si="10"/>
        <v>15383</v>
      </c>
      <c r="U133" s="960">
        <f t="shared" si="11"/>
        <v>45499</v>
      </c>
      <c r="V133" s="1105"/>
      <c r="W133" s="1114"/>
      <c r="X133" s="958" t="s">
        <v>565</v>
      </c>
      <c r="Y133" s="968">
        <v>24602</v>
      </c>
      <c r="Z133" s="968">
        <v>6376</v>
      </c>
      <c r="AA133" s="968">
        <v>14013</v>
      </c>
      <c r="AB133" s="968">
        <v>0</v>
      </c>
      <c r="AC133" s="968">
        <v>508</v>
      </c>
      <c r="AD133" s="968">
        <v>0</v>
      </c>
      <c r="AE133" s="969">
        <f t="shared" si="12"/>
        <v>45499</v>
      </c>
    </row>
    <row r="134" spans="1:31" ht="12.75">
      <c r="A134" s="1118"/>
      <c r="B134" s="1114"/>
      <c r="C134" s="962" t="s">
        <v>763</v>
      </c>
      <c r="D134" s="968">
        <v>0</v>
      </c>
      <c r="E134" s="968">
        <v>365</v>
      </c>
      <c r="F134" s="968">
        <v>0</v>
      </c>
      <c r="G134" s="968">
        <v>0</v>
      </c>
      <c r="H134" s="968">
        <v>21897</v>
      </c>
      <c r="I134" s="968"/>
      <c r="J134" s="968"/>
      <c r="K134" s="968"/>
      <c r="L134" s="968">
        <v>0</v>
      </c>
      <c r="M134" s="968">
        <v>280</v>
      </c>
      <c r="N134" s="968">
        <v>0</v>
      </c>
      <c r="O134" s="968">
        <v>0</v>
      </c>
      <c r="P134" s="968">
        <v>0</v>
      </c>
      <c r="Q134" s="968">
        <v>1499</v>
      </c>
      <c r="R134" s="968">
        <v>0</v>
      </c>
      <c r="S134" s="968">
        <v>27738</v>
      </c>
      <c r="T134" s="968">
        <f t="shared" si="10"/>
        <v>24041</v>
      </c>
      <c r="U134" s="968">
        <f t="shared" si="11"/>
        <v>51779</v>
      </c>
      <c r="V134" s="1105"/>
      <c r="W134" s="1114"/>
      <c r="X134" s="958" t="s">
        <v>763</v>
      </c>
      <c r="Y134" s="968">
        <v>28465</v>
      </c>
      <c r="Z134" s="968">
        <v>7420</v>
      </c>
      <c r="AA134" s="968">
        <v>13386</v>
      </c>
      <c r="AB134" s="968">
        <v>0</v>
      </c>
      <c r="AC134" s="968">
        <v>2508</v>
      </c>
      <c r="AD134" s="968">
        <v>0</v>
      </c>
      <c r="AE134" s="969">
        <f t="shared" si="12"/>
        <v>51779</v>
      </c>
    </row>
    <row r="135" spans="1:31" ht="12.75">
      <c r="A135" s="1118"/>
      <c r="B135" s="1114"/>
      <c r="C135" s="962" t="s">
        <v>763</v>
      </c>
      <c r="D135" s="968">
        <v>0</v>
      </c>
      <c r="E135" s="968">
        <v>365</v>
      </c>
      <c r="F135" s="968">
        <v>0</v>
      </c>
      <c r="G135" s="968">
        <v>0</v>
      </c>
      <c r="H135" s="968">
        <v>26164</v>
      </c>
      <c r="I135" s="968"/>
      <c r="J135" s="968"/>
      <c r="K135" s="968"/>
      <c r="L135" s="968">
        <v>0</v>
      </c>
      <c r="M135" s="968">
        <v>280</v>
      </c>
      <c r="N135" s="968">
        <v>0</v>
      </c>
      <c r="O135" s="968">
        <v>0</v>
      </c>
      <c r="P135" s="968">
        <v>0</v>
      </c>
      <c r="Q135" s="968">
        <v>1499</v>
      </c>
      <c r="R135" s="968">
        <v>0</v>
      </c>
      <c r="S135" s="968">
        <v>24362</v>
      </c>
      <c r="T135" s="968">
        <f t="shared" si="10"/>
        <v>28308</v>
      </c>
      <c r="U135" s="968">
        <f t="shared" si="11"/>
        <v>52670</v>
      </c>
      <c r="V135" s="1105"/>
      <c r="W135" s="1114"/>
      <c r="X135" s="962" t="s">
        <v>924</v>
      </c>
      <c r="Y135" s="968">
        <v>28899</v>
      </c>
      <c r="Z135" s="968">
        <v>7877</v>
      </c>
      <c r="AA135" s="968">
        <v>13386</v>
      </c>
      <c r="AB135" s="968">
        <v>0</v>
      </c>
      <c r="AC135" s="968">
        <v>2508</v>
      </c>
      <c r="AD135" s="968">
        <v>0</v>
      </c>
      <c r="AE135" s="969">
        <f t="shared" si="12"/>
        <v>52670</v>
      </c>
    </row>
    <row r="136" spans="1:31" ht="12.75">
      <c r="A136" s="1119"/>
      <c r="B136" s="1116"/>
      <c r="C136" s="962" t="s">
        <v>1045</v>
      </c>
      <c r="D136" s="968">
        <v>0</v>
      </c>
      <c r="E136" s="968">
        <v>365</v>
      </c>
      <c r="F136" s="968">
        <v>0</v>
      </c>
      <c r="G136" s="968">
        <v>0</v>
      </c>
      <c r="H136" s="968">
        <v>26292</v>
      </c>
      <c r="I136" s="968">
        <v>0</v>
      </c>
      <c r="J136" s="968">
        <v>0</v>
      </c>
      <c r="K136" s="968">
        <v>34</v>
      </c>
      <c r="L136" s="968">
        <v>0</v>
      </c>
      <c r="M136" s="968">
        <v>280</v>
      </c>
      <c r="N136" s="968">
        <v>0</v>
      </c>
      <c r="O136" s="968">
        <v>0</v>
      </c>
      <c r="P136" s="968">
        <v>0</v>
      </c>
      <c r="Q136" s="968">
        <v>1499</v>
      </c>
      <c r="R136" s="968">
        <v>0</v>
      </c>
      <c r="S136" s="968">
        <v>24305</v>
      </c>
      <c r="T136" s="968">
        <f t="shared" si="10"/>
        <v>28470</v>
      </c>
      <c r="U136" s="968">
        <f t="shared" si="11"/>
        <v>52775</v>
      </c>
      <c r="V136" s="1106"/>
      <c r="W136" s="1115"/>
      <c r="X136" s="962" t="s">
        <v>1045</v>
      </c>
      <c r="Y136" s="968">
        <v>28930</v>
      </c>
      <c r="Z136" s="968">
        <v>7890</v>
      </c>
      <c r="AA136" s="968">
        <v>13447</v>
      </c>
      <c r="AB136" s="968">
        <v>0</v>
      </c>
      <c r="AC136" s="968">
        <v>2508</v>
      </c>
      <c r="AD136" s="968">
        <v>0</v>
      </c>
      <c r="AE136" s="969">
        <f t="shared" si="12"/>
        <v>52775</v>
      </c>
    </row>
    <row r="137" spans="4:33" ht="12.75">
      <c r="D137" s="961"/>
      <c r="E137" s="961"/>
      <c r="F137" s="961"/>
      <c r="G137" s="961"/>
      <c r="H137" s="961"/>
      <c r="I137" s="961"/>
      <c r="J137" s="961"/>
      <c r="K137" s="961"/>
      <c r="L137" s="961"/>
      <c r="M137" s="961"/>
      <c r="N137" s="961"/>
      <c r="O137" s="961"/>
      <c r="P137" s="961"/>
      <c r="Q137" s="961"/>
      <c r="R137" s="961"/>
      <c r="S137" s="961"/>
      <c r="T137" s="961"/>
      <c r="U137" s="961"/>
      <c r="V137" s="961"/>
      <c r="W137" s="961"/>
      <c r="X137" s="961"/>
      <c r="Y137" s="961"/>
      <c r="Z137" s="961"/>
      <c r="AA137" s="961"/>
      <c r="AB137" s="961"/>
      <c r="AC137" s="961"/>
      <c r="AD137" s="961"/>
      <c r="AE137" s="961"/>
      <c r="AF137" s="961"/>
      <c r="AG137" s="961"/>
    </row>
    <row r="138" ht="12.75">
      <c r="U138" s="961"/>
    </row>
    <row r="139" spans="19:31" ht="12.75" customHeight="1">
      <c r="S139" s="961"/>
      <c r="V139" s="1035" t="s">
        <v>1147</v>
      </c>
      <c r="W139" s="1035"/>
      <c r="X139" s="1035"/>
      <c r="Y139" s="1035"/>
      <c r="Z139" s="1035"/>
      <c r="AA139" s="1035"/>
      <c r="AB139" s="1035"/>
      <c r="AC139" s="1035"/>
      <c r="AD139" s="1035"/>
      <c r="AE139" s="1035"/>
    </row>
    <row r="140" spans="19:31" ht="12.75" customHeight="1">
      <c r="S140" s="961"/>
      <c r="V140" s="1035" t="s">
        <v>1148</v>
      </c>
      <c r="W140" s="1035"/>
      <c r="X140" s="1035"/>
      <c r="Y140" s="1035"/>
      <c r="Z140" s="1035"/>
      <c r="AA140" s="1035"/>
      <c r="AB140" s="1035"/>
      <c r="AC140" s="1035"/>
      <c r="AD140" s="1035"/>
      <c r="AE140" s="1035"/>
    </row>
    <row r="141" spans="19:31" ht="12.75" customHeight="1">
      <c r="S141" s="961"/>
      <c r="V141" s="1035" t="s">
        <v>1149</v>
      </c>
      <c r="W141" s="1035"/>
      <c r="X141" s="1035"/>
      <c r="Y141" s="1035"/>
      <c r="Z141" s="1035"/>
      <c r="AA141" s="1035"/>
      <c r="AB141" s="1035"/>
      <c r="AC141" s="1035"/>
      <c r="AD141" s="1035"/>
      <c r="AE141" s="1035"/>
    </row>
    <row r="142" spans="22:31" ht="12.75" customHeight="1">
      <c r="V142" s="1035" t="s">
        <v>1150</v>
      </c>
      <c r="W142" s="1035"/>
      <c r="X142" s="1035"/>
      <c r="Y142" s="1035"/>
      <c r="Z142" s="1035"/>
      <c r="AA142" s="1035"/>
      <c r="AB142" s="1035"/>
      <c r="AC142" s="1035"/>
      <c r="AD142" s="1035"/>
      <c r="AE142" s="1035"/>
    </row>
  </sheetData>
  <mergeCells count="82">
    <mergeCell ref="A125:A129"/>
    <mergeCell ref="B125:B129"/>
    <mergeCell ref="V125:V129"/>
    <mergeCell ref="W125:W129"/>
    <mergeCell ref="A130:A136"/>
    <mergeCell ref="B130:B136"/>
    <mergeCell ref="V130:V136"/>
    <mergeCell ref="W130:W136"/>
    <mergeCell ref="W120:W124"/>
    <mergeCell ref="A100:A104"/>
    <mergeCell ref="V100:V104"/>
    <mergeCell ref="A105:A109"/>
    <mergeCell ref="V105:V109"/>
    <mergeCell ref="A110:A114"/>
    <mergeCell ref="V110:V114"/>
    <mergeCell ref="A115:A119"/>
    <mergeCell ref="V115:V119"/>
    <mergeCell ref="A120:A124"/>
    <mergeCell ref="B120:B124"/>
    <mergeCell ref="V120:V124"/>
    <mergeCell ref="W95:W99"/>
    <mergeCell ref="A75:A79"/>
    <mergeCell ref="V75:V79"/>
    <mergeCell ref="A80:A84"/>
    <mergeCell ref="V80:V84"/>
    <mergeCell ref="A85:A89"/>
    <mergeCell ref="V85:V89"/>
    <mergeCell ref="A90:A94"/>
    <mergeCell ref="V90:V94"/>
    <mergeCell ref="A95:A99"/>
    <mergeCell ref="B95:B99"/>
    <mergeCell ref="V95:V99"/>
    <mergeCell ref="A60:A64"/>
    <mergeCell ref="V60:V64"/>
    <mergeCell ref="A65:A69"/>
    <mergeCell ref="V65:V69"/>
    <mergeCell ref="A70:A74"/>
    <mergeCell ref="V70:V74"/>
    <mergeCell ref="A45:A49"/>
    <mergeCell ref="V45:V49"/>
    <mergeCell ref="A50:A54"/>
    <mergeCell ref="V50:V54"/>
    <mergeCell ref="A55:A59"/>
    <mergeCell ref="V55:V59"/>
    <mergeCell ref="A30:A34"/>
    <mergeCell ref="V30:V34"/>
    <mergeCell ref="A35:A39"/>
    <mergeCell ref="V35:V39"/>
    <mergeCell ref="A40:A44"/>
    <mergeCell ref="V40:V44"/>
    <mergeCell ref="A15:A19"/>
    <mergeCell ref="V15:V19"/>
    <mergeCell ref="A20:A24"/>
    <mergeCell ref="V20:V24"/>
    <mergeCell ref="A25:A29"/>
    <mergeCell ref="V25:V29"/>
    <mergeCell ref="X3:X4"/>
    <mergeCell ref="Y3:AB3"/>
    <mergeCell ref="A5:A9"/>
    <mergeCell ref="V5:V9"/>
    <mergeCell ref="A10:A14"/>
    <mergeCell ref="V10:V14"/>
    <mergeCell ref="D3:K3"/>
    <mergeCell ref="T3:T4"/>
    <mergeCell ref="U3:U4"/>
    <mergeCell ref="V3:V4"/>
    <mergeCell ref="V139:AE139"/>
    <mergeCell ref="V140:AE140"/>
    <mergeCell ref="V141:AE141"/>
    <mergeCell ref="V142:AE142"/>
    <mergeCell ref="A1:U1"/>
    <mergeCell ref="V1:AE1"/>
    <mergeCell ref="A3:A4"/>
    <mergeCell ref="B3:B4"/>
    <mergeCell ref="C3:C4"/>
    <mergeCell ref="L3:O3"/>
    <mergeCell ref="P3:P4"/>
    <mergeCell ref="Q3:R3"/>
    <mergeCell ref="S3:S4"/>
    <mergeCell ref="AC3:AD3"/>
    <mergeCell ref="AE3:AE4"/>
    <mergeCell ref="W3:W4"/>
  </mergeCells>
  <printOptions horizontalCentered="1"/>
  <pageMargins left="0.7086614173228347" right="0.7086614173228347" top="0.9448818897637796" bottom="0.7480314960629921" header="0.5118110236220472" footer="0.31496062992125984"/>
  <pageSetup horizontalDpi="600" verticalDpi="600" orientation="landscape" paperSize="9" scale="72" r:id="rId1"/>
  <headerFooter>
    <oddHeader>&amp;L&amp;"Times New Roman,Normál"6. melléklet a 1/2017.(II.24.) önkormányzati rendelethez
6. melléklet a 29/2015.(XII.18.) önkormányzati rendelethez</oddHeader>
  </headerFooter>
  <rowBreaks count="3" manualBreakCount="3">
    <brk id="44" max="16383" man="1"/>
    <brk id="84" max="16383" man="1"/>
    <brk id="119" max="16383" man="1"/>
  </rowBreaks>
  <colBreaks count="1" manualBreakCount="1">
    <brk id="21" max="1638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141"/>
  <sheetViews>
    <sheetView view="pageBreakPreview" zoomScaleSheetLayoutView="100" workbookViewId="0" topLeftCell="A103">
      <selection activeCell="A138" sqref="A138:XFD138"/>
    </sheetView>
  </sheetViews>
  <sheetFormatPr defaultColWidth="9.00390625" defaultRowHeight="12.75"/>
  <cols>
    <col min="1" max="1" width="73.75390625" style="495" customWidth="1"/>
    <col min="2" max="2" width="10.25390625" style="495" customWidth="1"/>
    <col min="3" max="3" width="12.375" style="495" customWidth="1"/>
    <col min="4" max="4" width="13.25390625" style="495" customWidth="1"/>
    <col min="5" max="5" width="5.375" style="495" hidden="1" customWidth="1"/>
    <col min="6" max="6" width="12.125" style="495" customWidth="1"/>
    <col min="7" max="7" width="11.75390625" style="495" customWidth="1"/>
    <col min="8" max="16384" width="9.125" style="495" customWidth="1"/>
  </cols>
  <sheetData>
    <row r="1" spans="1:5" ht="15.75">
      <c r="A1" s="1120" t="s">
        <v>198</v>
      </c>
      <c r="B1" s="1120"/>
      <c r="C1" s="1120"/>
      <c r="D1" s="1120"/>
      <c r="E1" s="520"/>
    </row>
    <row r="2" spans="1:5" ht="15.75">
      <c r="A2" s="1121" t="s">
        <v>199</v>
      </c>
      <c r="B2" s="1121"/>
      <c r="C2" s="1121"/>
      <c r="D2" s="1121"/>
      <c r="E2" s="519"/>
    </row>
    <row r="3" ht="15.75" thickBot="1"/>
    <row r="4" spans="1:5" ht="15.75">
      <c r="A4" s="518" t="s">
        <v>3</v>
      </c>
      <c r="B4" s="517" t="s">
        <v>4</v>
      </c>
      <c r="C4" s="517" t="s">
        <v>861</v>
      </c>
      <c r="D4" s="516" t="s">
        <v>1041</v>
      </c>
      <c r="E4" s="601" t="s">
        <v>1053</v>
      </c>
    </row>
    <row r="5" spans="1:5" ht="15.75">
      <c r="A5" s="501"/>
      <c r="B5" s="507"/>
      <c r="C5" s="507"/>
      <c r="D5" s="498"/>
      <c r="E5" s="950"/>
    </row>
    <row r="6" spans="1:5" ht="15.75">
      <c r="A6" s="506" t="s">
        <v>81</v>
      </c>
      <c r="B6" s="505">
        <f>SUM(B8,B12)</f>
        <v>143265</v>
      </c>
      <c r="C6" s="505">
        <f>SUM(C8,C12)</f>
        <v>215189</v>
      </c>
      <c r="D6" s="504">
        <f>SUM(D8,D12)</f>
        <v>333294</v>
      </c>
      <c r="E6" s="602">
        <f>SUM(E8,E12)</f>
        <v>95933</v>
      </c>
    </row>
    <row r="7" spans="1:5" ht="15.75">
      <c r="A7" s="501"/>
      <c r="B7" s="507"/>
      <c r="C7" s="507"/>
      <c r="D7" s="603"/>
      <c r="E7" s="951"/>
    </row>
    <row r="8" spans="1:5" ht="15.75">
      <c r="A8" s="506" t="s">
        <v>200</v>
      </c>
      <c r="B8" s="505">
        <f>SUM(B9:B10)</f>
        <v>5000</v>
      </c>
      <c r="C8" s="505">
        <f>SUM(C9:C10)</f>
        <v>10497</v>
      </c>
      <c r="D8" s="504">
        <f>SUM(D9:D10)</f>
        <v>10564</v>
      </c>
      <c r="E8" s="604">
        <f>SUM(E9:E10)</f>
        <v>68</v>
      </c>
    </row>
    <row r="9" spans="1:5" ht="15.75">
      <c r="A9" s="501" t="s">
        <v>201</v>
      </c>
      <c r="B9" s="499">
        <v>5000</v>
      </c>
      <c r="C9" s="499">
        <v>5100</v>
      </c>
      <c r="D9" s="603">
        <v>5168</v>
      </c>
      <c r="E9" s="605">
        <v>68</v>
      </c>
    </row>
    <row r="10" spans="1:5" ht="31.5">
      <c r="A10" s="501" t="s">
        <v>566</v>
      </c>
      <c r="B10" s="507"/>
      <c r="C10" s="499">
        <v>5397</v>
      </c>
      <c r="D10" s="603">
        <v>5396</v>
      </c>
      <c r="E10" s="952">
        <f>-5397+5397</f>
        <v>0</v>
      </c>
    </row>
    <row r="11" spans="1:5" ht="15.75">
      <c r="A11" s="501"/>
      <c r="B11" s="507"/>
      <c r="C11" s="507"/>
      <c r="D11" s="603"/>
      <c r="E11" s="951"/>
    </row>
    <row r="12" spans="1:5" ht="15.75">
      <c r="A12" s="506" t="s">
        <v>202</v>
      </c>
      <c r="B12" s="505">
        <f>SUM(B13:B79)</f>
        <v>138265</v>
      </c>
      <c r="C12" s="505">
        <f>SUM(C13:C79)</f>
        <v>204692</v>
      </c>
      <c r="D12" s="504">
        <f>SUM(D13:D96)</f>
        <v>322730</v>
      </c>
      <c r="E12" s="606">
        <f>SUM(E13:E95)</f>
        <v>95865</v>
      </c>
    </row>
    <row r="13" spans="1:5" ht="15.75">
      <c r="A13" s="501" t="s">
        <v>203</v>
      </c>
      <c r="B13" s="499">
        <v>6350</v>
      </c>
      <c r="C13" s="499">
        <v>2087</v>
      </c>
      <c r="D13" s="603">
        <v>2087</v>
      </c>
      <c r="E13" s="951"/>
    </row>
    <row r="14" spans="1:5" ht="15.75">
      <c r="A14" s="501" t="s">
        <v>963</v>
      </c>
      <c r="B14" s="499">
        <v>2500</v>
      </c>
      <c r="C14" s="500">
        <v>563</v>
      </c>
      <c r="D14" s="603">
        <v>563</v>
      </c>
      <c r="E14" s="951"/>
    </row>
    <row r="15" spans="1:5" ht="15.75">
      <c r="A15" s="501" t="s">
        <v>558</v>
      </c>
      <c r="B15" s="499">
        <v>17000</v>
      </c>
      <c r="C15" s="499">
        <v>12793</v>
      </c>
      <c r="D15" s="603">
        <v>12793</v>
      </c>
      <c r="E15" s="951"/>
    </row>
    <row r="16" spans="1:5" ht="15.75">
      <c r="A16" s="501" t="s">
        <v>205</v>
      </c>
      <c r="B16" s="499">
        <v>2500</v>
      </c>
      <c r="C16" s="499">
        <v>2500</v>
      </c>
      <c r="D16" s="603">
        <v>0</v>
      </c>
      <c r="E16" s="607">
        <v>-2500</v>
      </c>
    </row>
    <row r="17" spans="1:5" ht="15.75">
      <c r="A17" s="501" t="s">
        <v>206</v>
      </c>
      <c r="B17" s="499">
        <v>8400</v>
      </c>
      <c r="C17" s="499">
        <v>5865</v>
      </c>
      <c r="D17" s="603">
        <v>5865</v>
      </c>
      <c r="E17" s="951"/>
    </row>
    <row r="18" spans="1:5" ht="15.75">
      <c r="A18" s="501" t="s">
        <v>207</v>
      </c>
      <c r="B18" s="499">
        <v>4440</v>
      </c>
      <c r="C18" s="499">
        <v>4440</v>
      </c>
      <c r="D18" s="603">
        <v>4440</v>
      </c>
      <c r="E18" s="951"/>
    </row>
    <row r="19" spans="1:5" ht="15.75">
      <c r="A19" s="501" t="s">
        <v>208</v>
      </c>
      <c r="B19" s="499">
        <v>4000</v>
      </c>
      <c r="C19" s="499">
        <v>4700</v>
      </c>
      <c r="D19" s="603">
        <v>4219</v>
      </c>
      <c r="E19" s="607">
        <v>-481</v>
      </c>
    </row>
    <row r="20" spans="1:5" ht="15.75">
      <c r="A20" s="501" t="s">
        <v>209</v>
      </c>
      <c r="B20" s="499">
        <v>11850</v>
      </c>
      <c r="C20" s="499">
        <v>11850</v>
      </c>
      <c r="D20" s="603">
        <v>0</v>
      </c>
      <c r="E20" s="953" t="s">
        <v>1054</v>
      </c>
    </row>
    <row r="21" spans="1:5" ht="15.75">
      <c r="A21" s="501" t="s">
        <v>210</v>
      </c>
      <c r="B21" s="499">
        <v>1880</v>
      </c>
      <c r="C21" s="499">
        <v>1880</v>
      </c>
      <c r="D21" s="603">
        <v>1880</v>
      </c>
      <c r="E21" s="951"/>
    </row>
    <row r="22" spans="1:5" ht="15.75">
      <c r="A22" s="501" t="s">
        <v>557</v>
      </c>
      <c r="B22" s="499">
        <v>5000</v>
      </c>
      <c r="C22" s="499">
        <v>5000</v>
      </c>
      <c r="D22" s="603">
        <v>2500</v>
      </c>
      <c r="E22" s="607">
        <v>-2500</v>
      </c>
    </row>
    <row r="23" spans="1:5" ht="15.75">
      <c r="A23" s="501" t="s">
        <v>964</v>
      </c>
      <c r="B23" s="499">
        <v>20000</v>
      </c>
      <c r="C23" s="499">
        <v>15458</v>
      </c>
      <c r="D23" s="603">
        <v>0</v>
      </c>
      <c r="E23" s="953" t="s">
        <v>1055</v>
      </c>
    </row>
    <row r="24" spans="1:5" ht="15.75">
      <c r="A24" s="501" t="s">
        <v>211</v>
      </c>
      <c r="B24" s="499">
        <v>23497</v>
      </c>
      <c r="C24" s="499">
        <v>23497</v>
      </c>
      <c r="D24" s="603">
        <v>22708</v>
      </c>
      <c r="E24" s="953" t="s">
        <v>1056</v>
      </c>
    </row>
    <row r="25" spans="1:5" ht="15.75">
      <c r="A25" s="501" t="s">
        <v>212</v>
      </c>
      <c r="B25" s="499">
        <v>2500</v>
      </c>
      <c r="C25" s="499">
        <v>2500</v>
      </c>
      <c r="D25" s="603">
        <v>2500</v>
      </c>
      <c r="E25" s="951"/>
    </row>
    <row r="26" spans="1:5" ht="15.75">
      <c r="A26" s="501" t="s">
        <v>214</v>
      </c>
      <c r="B26" s="499">
        <v>8255</v>
      </c>
      <c r="C26" s="499">
        <v>8255</v>
      </c>
      <c r="D26" s="603">
        <v>2637</v>
      </c>
      <c r="E26" s="951">
        <v>-5618</v>
      </c>
    </row>
    <row r="27" spans="1:4" ht="15.75">
      <c r="A27" s="501" t="s">
        <v>215</v>
      </c>
      <c r="B27" s="499">
        <v>3000</v>
      </c>
      <c r="C27" s="500">
        <v>0</v>
      </c>
      <c r="D27" s="603">
        <v>0</v>
      </c>
    </row>
    <row r="28" spans="1:5" ht="15.75">
      <c r="A28" s="501" t="s">
        <v>216</v>
      </c>
      <c r="B28" s="499">
        <v>1500</v>
      </c>
      <c r="C28" s="499">
        <v>1500</v>
      </c>
      <c r="D28" s="603">
        <v>0</v>
      </c>
      <c r="E28" s="607">
        <v>-1500</v>
      </c>
    </row>
    <row r="29" spans="1:5" ht="15.75">
      <c r="A29" s="501" t="s">
        <v>217</v>
      </c>
      <c r="B29" s="499">
        <v>10758</v>
      </c>
      <c r="C29" s="499">
        <v>10758</v>
      </c>
      <c r="D29" s="603">
        <v>10758</v>
      </c>
      <c r="E29" s="951"/>
    </row>
    <row r="30" spans="1:5" ht="15.75">
      <c r="A30" s="501" t="s">
        <v>218</v>
      </c>
      <c r="B30" s="499">
        <v>1200</v>
      </c>
      <c r="C30" s="499">
        <v>1200</v>
      </c>
      <c r="D30" s="603">
        <v>0</v>
      </c>
      <c r="E30" s="607">
        <v>-1200</v>
      </c>
    </row>
    <row r="31" spans="1:5" ht="15.75">
      <c r="A31" s="501" t="s">
        <v>219</v>
      </c>
      <c r="B31" s="499">
        <v>3000</v>
      </c>
      <c r="C31" s="499">
        <v>4037</v>
      </c>
      <c r="D31" s="603">
        <v>4037</v>
      </c>
      <c r="E31" s="951"/>
    </row>
    <row r="32" spans="1:5" ht="15.75">
      <c r="A32" s="501" t="s">
        <v>965</v>
      </c>
      <c r="B32" s="500">
        <v>635</v>
      </c>
      <c r="C32" s="500">
        <v>136</v>
      </c>
      <c r="D32" s="603">
        <v>136</v>
      </c>
      <c r="E32" s="951"/>
    </row>
    <row r="33" spans="1:5" ht="15.75">
      <c r="A33" s="501" t="s">
        <v>966</v>
      </c>
      <c r="B33" s="500">
        <v>0</v>
      </c>
      <c r="C33" s="499">
        <v>16576</v>
      </c>
      <c r="D33" s="603">
        <v>10093</v>
      </c>
      <c r="E33" s="607">
        <v>-6483</v>
      </c>
    </row>
    <row r="34" spans="1:5" ht="15.75">
      <c r="A34" s="501" t="s">
        <v>852</v>
      </c>
      <c r="B34" s="500">
        <v>0</v>
      </c>
      <c r="C34" s="499">
        <v>10097</v>
      </c>
      <c r="D34" s="603">
        <v>10097</v>
      </c>
      <c r="E34" s="951"/>
    </row>
    <row r="35" spans="1:5" ht="15.75">
      <c r="A35" s="501" t="s">
        <v>967</v>
      </c>
      <c r="B35" s="500">
        <v>0</v>
      </c>
      <c r="C35" s="499">
        <v>8000</v>
      </c>
      <c r="D35" s="603">
        <v>8000</v>
      </c>
      <c r="E35" s="951"/>
    </row>
    <row r="36" spans="1:5" ht="15.75">
      <c r="A36" s="501" t="s">
        <v>728</v>
      </c>
      <c r="B36" s="500">
        <v>0</v>
      </c>
      <c r="C36" s="499">
        <v>1905</v>
      </c>
      <c r="D36" s="603">
        <v>1905</v>
      </c>
      <c r="E36" s="951"/>
    </row>
    <row r="37" spans="1:5" ht="15.75">
      <c r="A37" s="501" t="s">
        <v>729</v>
      </c>
      <c r="B37" s="500">
        <v>0</v>
      </c>
      <c r="C37" s="499">
        <v>1600</v>
      </c>
      <c r="D37" s="603">
        <v>1600</v>
      </c>
      <c r="E37" s="951"/>
    </row>
    <row r="38" spans="1:5" ht="32.25" customHeight="1">
      <c r="A38" s="501" t="s">
        <v>730</v>
      </c>
      <c r="B38" s="500">
        <v>0</v>
      </c>
      <c r="C38" s="500">
        <v>500</v>
      </c>
      <c r="D38" s="603">
        <v>500</v>
      </c>
      <c r="E38" s="951"/>
    </row>
    <row r="39" spans="1:5" ht="15.75">
      <c r="A39" s="501" t="s">
        <v>968</v>
      </c>
      <c r="B39" s="500">
        <v>0</v>
      </c>
      <c r="C39" s="499">
        <v>3779</v>
      </c>
      <c r="D39" s="603">
        <v>3779</v>
      </c>
      <c r="E39" s="951"/>
    </row>
    <row r="40" spans="1:5" ht="15.75">
      <c r="A40" s="501" t="s">
        <v>731</v>
      </c>
      <c r="B40" s="500">
        <v>0</v>
      </c>
      <c r="C40" s="499">
        <v>1092</v>
      </c>
      <c r="D40" s="603">
        <v>1482</v>
      </c>
      <c r="E40" s="605">
        <v>390</v>
      </c>
    </row>
    <row r="41" spans="1:5" ht="15.75">
      <c r="A41" s="501" t="s">
        <v>932</v>
      </c>
      <c r="B41" s="500">
        <v>0</v>
      </c>
      <c r="C41" s="499">
        <v>2197</v>
      </c>
      <c r="D41" s="603">
        <v>3379</v>
      </c>
      <c r="E41" s="605" t="s">
        <v>1098</v>
      </c>
    </row>
    <row r="42" spans="1:5" ht="15.75">
      <c r="A42" s="501" t="s">
        <v>933</v>
      </c>
      <c r="B42" s="500">
        <v>0</v>
      </c>
      <c r="C42" s="500">
        <v>532</v>
      </c>
      <c r="D42" s="603">
        <v>532</v>
      </c>
      <c r="E42" s="951"/>
    </row>
    <row r="43" spans="1:5" ht="15.75">
      <c r="A43" s="501" t="s">
        <v>732</v>
      </c>
      <c r="B43" s="500">
        <v>0</v>
      </c>
      <c r="C43" s="500">
        <v>610</v>
      </c>
      <c r="D43" s="603">
        <v>610</v>
      </c>
      <c r="E43" s="951"/>
    </row>
    <row r="44" spans="1:5" ht="15.75">
      <c r="A44" s="501" t="s">
        <v>733</v>
      </c>
      <c r="B44" s="500">
        <v>0</v>
      </c>
      <c r="C44" s="500">
        <v>473</v>
      </c>
      <c r="D44" s="603">
        <v>473</v>
      </c>
      <c r="E44" s="951"/>
    </row>
    <row r="45" spans="1:5" ht="15.75">
      <c r="A45" s="501" t="s">
        <v>734</v>
      </c>
      <c r="B45" s="500">
        <v>0</v>
      </c>
      <c r="C45" s="500">
        <v>96</v>
      </c>
      <c r="D45" s="603">
        <v>96</v>
      </c>
      <c r="E45" s="951"/>
    </row>
    <row r="46" spans="1:5" ht="15.75">
      <c r="A46" s="501" t="s">
        <v>735</v>
      </c>
      <c r="B46" s="500">
        <v>0</v>
      </c>
      <c r="C46" s="500">
        <v>229</v>
      </c>
      <c r="D46" s="603">
        <v>229</v>
      </c>
      <c r="E46" s="951"/>
    </row>
    <row r="47" spans="1:5" ht="15.75">
      <c r="A47" s="501" t="s">
        <v>736</v>
      </c>
      <c r="B47" s="500">
        <v>0</v>
      </c>
      <c r="C47" s="500">
        <v>406</v>
      </c>
      <c r="D47" s="603">
        <v>406</v>
      </c>
      <c r="E47" s="951"/>
    </row>
    <row r="48" spans="1:5" ht="15.75">
      <c r="A48" s="501" t="s">
        <v>934</v>
      </c>
      <c r="B48" s="500">
        <v>0</v>
      </c>
      <c r="C48" s="500">
        <v>317</v>
      </c>
      <c r="D48" s="608">
        <v>317</v>
      </c>
      <c r="E48" s="951"/>
    </row>
    <row r="49" spans="1:5" ht="15.75">
      <c r="A49" s="501" t="s">
        <v>1017</v>
      </c>
      <c r="B49" s="500">
        <v>0</v>
      </c>
      <c r="C49" s="499">
        <v>3543</v>
      </c>
      <c r="D49" s="609">
        <v>3543</v>
      </c>
      <c r="E49" s="951"/>
    </row>
    <row r="50" spans="1:5" ht="15.75">
      <c r="A50" s="501" t="s">
        <v>1005</v>
      </c>
      <c r="B50" s="500">
        <v>0</v>
      </c>
      <c r="C50" s="500">
        <v>499</v>
      </c>
      <c r="D50" s="608">
        <v>499</v>
      </c>
      <c r="E50" s="951"/>
    </row>
    <row r="51" spans="1:5" ht="15.75">
      <c r="A51" s="501" t="s">
        <v>737</v>
      </c>
      <c r="B51" s="500">
        <v>0</v>
      </c>
      <c r="C51" s="500">
        <v>260</v>
      </c>
      <c r="D51" s="608">
        <v>260</v>
      </c>
      <c r="E51" s="951"/>
    </row>
    <row r="52" spans="1:5" ht="31.5">
      <c r="A52" s="501" t="s">
        <v>1018</v>
      </c>
      <c r="B52" s="500">
        <v>0</v>
      </c>
      <c r="C52" s="500">
        <v>821</v>
      </c>
      <c r="D52" s="608">
        <v>821</v>
      </c>
      <c r="E52" s="951"/>
    </row>
    <row r="53" spans="1:5" ht="15.75">
      <c r="A53" s="501" t="s">
        <v>738</v>
      </c>
      <c r="B53" s="500">
        <v>0</v>
      </c>
      <c r="C53" s="500">
        <v>98</v>
      </c>
      <c r="D53" s="608">
        <v>98</v>
      </c>
      <c r="E53" s="951"/>
    </row>
    <row r="54" spans="1:5" ht="15.75">
      <c r="A54" s="501" t="s">
        <v>853</v>
      </c>
      <c r="B54" s="500">
        <v>0</v>
      </c>
      <c r="C54" s="500">
        <v>4</v>
      </c>
      <c r="D54" s="608">
        <v>4</v>
      </c>
      <c r="E54" s="951"/>
    </row>
    <row r="55" spans="1:5" ht="15.75">
      <c r="A55" s="501" t="s">
        <v>739</v>
      </c>
      <c r="B55" s="500">
        <v>0</v>
      </c>
      <c r="C55" s="499">
        <v>7493</v>
      </c>
      <c r="D55" s="609">
        <v>7493</v>
      </c>
      <c r="E55" s="951"/>
    </row>
    <row r="56" spans="1:5" ht="15.75">
      <c r="A56" s="501" t="s">
        <v>740</v>
      </c>
      <c r="B56" s="500">
        <v>0</v>
      </c>
      <c r="C56" s="499">
        <v>4673</v>
      </c>
      <c r="D56" s="609">
        <v>4674</v>
      </c>
      <c r="E56" s="951"/>
    </row>
    <row r="57" spans="1:5" ht="15.75">
      <c r="A57" s="501" t="s">
        <v>839</v>
      </c>
      <c r="B57" s="500">
        <v>0</v>
      </c>
      <c r="C57" s="499">
        <v>2500</v>
      </c>
      <c r="D57" s="609">
        <v>2500</v>
      </c>
      <c r="E57" s="951"/>
    </row>
    <row r="58" spans="1:5" ht="15.75">
      <c r="A58" s="501" t="s">
        <v>840</v>
      </c>
      <c r="B58" s="500">
        <v>0</v>
      </c>
      <c r="C58" s="499">
        <v>2000</v>
      </c>
      <c r="D58" s="603">
        <v>2292</v>
      </c>
      <c r="E58" s="605">
        <v>292</v>
      </c>
    </row>
    <row r="59" spans="1:5" ht="15.75">
      <c r="A59" s="501" t="s">
        <v>1022</v>
      </c>
      <c r="B59" s="500">
        <v>0</v>
      </c>
      <c r="C59" s="500">
        <v>24</v>
      </c>
      <c r="D59" s="608">
        <v>24</v>
      </c>
      <c r="E59" s="951"/>
    </row>
    <row r="60" spans="1:5" ht="15.75">
      <c r="A60" s="501" t="s">
        <v>969</v>
      </c>
      <c r="B60" s="500">
        <v>0</v>
      </c>
      <c r="C60" s="500">
        <v>239</v>
      </c>
      <c r="D60" s="608">
        <v>239</v>
      </c>
      <c r="E60" s="951"/>
    </row>
    <row r="61" spans="1:5" ht="15.75">
      <c r="A61" s="501" t="s">
        <v>970</v>
      </c>
      <c r="B61" s="500">
        <v>0</v>
      </c>
      <c r="C61" s="500">
        <v>103</v>
      </c>
      <c r="D61" s="608">
        <v>103</v>
      </c>
      <c r="E61" s="951"/>
    </row>
    <row r="62" spans="1:5" ht="15.75">
      <c r="A62" s="501" t="s">
        <v>1125</v>
      </c>
      <c r="B62" s="500">
        <v>0</v>
      </c>
      <c r="C62" s="500">
        <v>80</v>
      </c>
      <c r="D62" s="608">
        <v>80</v>
      </c>
      <c r="E62" s="951"/>
    </row>
    <row r="63" spans="1:5" ht="15.75">
      <c r="A63" s="501" t="s">
        <v>971</v>
      </c>
      <c r="B63" s="500">
        <v>0</v>
      </c>
      <c r="C63" s="500">
        <v>88</v>
      </c>
      <c r="D63" s="608">
        <v>88</v>
      </c>
      <c r="E63" s="951"/>
    </row>
    <row r="64" spans="1:5" ht="15.75">
      <c r="A64" s="501" t="s">
        <v>972</v>
      </c>
      <c r="B64" s="500">
        <v>0</v>
      </c>
      <c r="C64" s="500">
        <v>84</v>
      </c>
      <c r="D64" s="608">
        <v>84</v>
      </c>
      <c r="E64" s="951"/>
    </row>
    <row r="65" spans="1:5" ht="15.75">
      <c r="A65" s="501" t="s">
        <v>1019</v>
      </c>
      <c r="B65" s="500">
        <v>0</v>
      </c>
      <c r="C65" s="500">
        <v>96</v>
      </c>
      <c r="D65" s="608">
        <v>96</v>
      </c>
      <c r="E65" s="951"/>
    </row>
    <row r="66" spans="1:5" ht="15.75">
      <c r="A66" s="501" t="s">
        <v>1023</v>
      </c>
      <c r="B66" s="500">
        <v>0</v>
      </c>
      <c r="C66" s="500">
        <v>216</v>
      </c>
      <c r="D66" s="603">
        <v>1384</v>
      </c>
      <c r="E66" s="605" t="s">
        <v>1099</v>
      </c>
    </row>
    <row r="67" spans="1:5" ht="15.75">
      <c r="A67" s="511" t="s">
        <v>973</v>
      </c>
      <c r="B67" s="500">
        <v>0</v>
      </c>
      <c r="C67" s="500">
        <v>235</v>
      </c>
      <c r="D67" s="603">
        <v>235</v>
      </c>
      <c r="E67" s="951"/>
    </row>
    <row r="68" spans="1:5" ht="15.75">
      <c r="A68" s="501" t="s">
        <v>974</v>
      </c>
      <c r="B68" s="500">
        <v>0</v>
      </c>
      <c r="C68" s="500">
        <v>27</v>
      </c>
      <c r="D68" s="603">
        <v>27</v>
      </c>
      <c r="E68" s="951"/>
    </row>
    <row r="69" spans="1:5" ht="15.75">
      <c r="A69" s="501" t="s">
        <v>975</v>
      </c>
      <c r="B69" s="500">
        <v>0</v>
      </c>
      <c r="C69" s="500">
        <v>381</v>
      </c>
      <c r="D69" s="603">
        <v>2727</v>
      </c>
      <c r="E69" s="605" t="s">
        <v>1100</v>
      </c>
    </row>
    <row r="70" spans="1:5" ht="15.75">
      <c r="A70" s="501" t="s">
        <v>976</v>
      </c>
      <c r="B70" s="500">
        <v>0</v>
      </c>
      <c r="C70" s="500">
        <v>661</v>
      </c>
      <c r="D70" s="608">
        <v>1448</v>
      </c>
      <c r="E70" s="605">
        <v>787</v>
      </c>
    </row>
    <row r="71" spans="1:5" ht="15.75">
      <c r="A71" s="511" t="s">
        <v>977</v>
      </c>
      <c r="B71" s="500">
        <v>0</v>
      </c>
      <c r="C71" s="500">
        <v>495</v>
      </c>
      <c r="D71" s="608">
        <v>495</v>
      </c>
      <c r="E71" s="951"/>
    </row>
    <row r="72" spans="1:5" ht="15.75">
      <c r="A72" s="511" t="s">
        <v>1024</v>
      </c>
      <c r="B72" s="500">
        <v>0</v>
      </c>
      <c r="C72" s="500">
        <v>138</v>
      </c>
      <c r="D72" s="608">
        <v>138</v>
      </c>
      <c r="E72" s="951"/>
    </row>
    <row r="73" spans="1:5" ht="15.75">
      <c r="A73" s="511" t="s">
        <v>978</v>
      </c>
      <c r="B73" s="500">
        <v>0</v>
      </c>
      <c r="C73" s="500">
        <v>64</v>
      </c>
      <c r="D73" s="608">
        <v>64</v>
      </c>
      <c r="E73" s="951"/>
    </row>
    <row r="74" spans="1:5" ht="15.75">
      <c r="A74" s="515" t="s">
        <v>979</v>
      </c>
      <c r="B74" s="500">
        <v>0</v>
      </c>
      <c r="C74" s="499">
        <v>1511</v>
      </c>
      <c r="D74" s="609">
        <v>1511</v>
      </c>
      <c r="E74" s="951"/>
    </row>
    <row r="75" spans="1:5" ht="15.75">
      <c r="A75" s="515" t="s">
        <v>1025</v>
      </c>
      <c r="B75" s="500">
        <v>0</v>
      </c>
      <c r="C75" s="499">
        <v>5843</v>
      </c>
      <c r="D75" s="609">
        <v>5843</v>
      </c>
      <c r="E75" s="951"/>
    </row>
    <row r="76" spans="1:5" ht="15.75">
      <c r="A76" s="501" t="s">
        <v>980</v>
      </c>
      <c r="B76" s="500">
        <v>0</v>
      </c>
      <c r="C76" s="500">
        <v>50</v>
      </c>
      <c r="D76" s="608">
        <v>50</v>
      </c>
      <c r="E76" s="951"/>
    </row>
    <row r="77" spans="1:5" ht="15.75">
      <c r="A77" s="501" t="s">
        <v>1006</v>
      </c>
      <c r="B77" s="500">
        <v>0</v>
      </c>
      <c r="C77" s="500">
        <v>528</v>
      </c>
      <c r="D77" s="608">
        <v>528</v>
      </c>
      <c r="E77" s="951"/>
    </row>
    <row r="78" spans="1:5" ht="15.75">
      <c r="A78" s="501" t="s">
        <v>981</v>
      </c>
      <c r="B78" s="500">
        <v>0</v>
      </c>
      <c r="C78" s="500">
        <v>73</v>
      </c>
      <c r="D78" s="608">
        <v>73</v>
      </c>
      <c r="E78" s="951"/>
    </row>
    <row r="79" spans="1:5" ht="31.5" customHeight="1">
      <c r="A79" s="501" t="s">
        <v>1057</v>
      </c>
      <c r="B79" s="500">
        <v>0</v>
      </c>
      <c r="C79" s="499">
        <v>4437</v>
      </c>
      <c r="D79" s="603">
        <v>7213</v>
      </c>
      <c r="E79" s="610" t="s">
        <v>1101</v>
      </c>
    </row>
    <row r="80" spans="1:5" ht="16.5" customHeight="1">
      <c r="A80" s="501" t="s">
        <v>1078</v>
      </c>
      <c r="B80" s="500"/>
      <c r="C80" s="499"/>
      <c r="D80" s="603">
        <v>13656</v>
      </c>
      <c r="E80" s="610"/>
    </row>
    <row r="81" spans="1:5" ht="31.5">
      <c r="A81" s="501" t="s">
        <v>1058</v>
      </c>
      <c r="B81" s="500">
        <v>0</v>
      </c>
      <c r="C81" s="499">
        <v>0</v>
      </c>
      <c r="D81" s="603">
        <v>7650</v>
      </c>
      <c r="E81" s="605" t="s">
        <v>1102</v>
      </c>
    </row>
    <row r="82" spans="1:5" ht="31.5">
      <c r="A82" s="501" t="s">
        <v>1103</v>
      </c>
      <c r="B82" s="500">
        <v>0</v>
      </c>
      <c r="C82" s="499">
        <v>0</v>
      </c>
      <c r="D82" s="603">
        <v>2575</v>
      </c>
      <c r="E82" s="605" t="s">
        <v>1104</v>
      </c>
    </row>
    <row r="83" spans="1:5" ht="15.75">
      <c r="A83" s="501" t="s">
        <v>1059</v>
      </c>
      <c r="B83" s="500">
        <v>0</v>
      </c>
      <c r="C83" s="499">
        <v>0</v>
      </c>
      <c r="D83" s="603">
        <v>100000</v>
      </c>
      <c r="E83" s="605">
        <v>100000</v>
      </c>
    </row>
    <row r="84" spans="1:5" ht="15.75">
      <c r="A84" s="501" t="s">
        <v>1060</v>
      </c>
      <c r="B84" s="500">
        <v>0</v>
      </c>
      <c r="C84" s="499">
        <v>0</v>
      </c>
      <c r="D84" s="603">
        <v>1444</v>
      </c>
      <c r="E84" s="605">
        <v>1444</v>
      </c>
    </row>
    <row r="85" spans="1:5" ht="15.75">
      <c r="A85" s="501" t="s">
        <v>1126</v>
      </c>
      <c r="B85" s="500">
        <v>0</v>
      </c>
      <c r="C85" s="499">
        <v>0</v>
      </c>
      <c r="D85" s="603">
        <v>716</v>
      </c>
      <c r="E85" s="605">
        <v>716</v>
      </c>
    </row>
    <row r="86" spans="1:5" ht="15.75">
      <c r="A86" s="501" t="s">
        <v>1061</v>
      </c>
      <c r="B86" s="500">
        <v>0</v>
      </c>
      <c r="C86" s="499">
        <v>0</v>
      </c>
      <c r="D86" s="603">
        <v>370</v>
      </c>
      <c r="E86" s="605">
        <v>370</v>
      </c>
    </row>
    <row r="87" spans="1:5" ht="15.75">
      <c r="A87" s="501" t="s">
        <v>1062</v>
      </c>
      <c r="B87" s="500">
        <v>0</v>
      </c>
      <c r="C87" s="499">
        <v>0</v>
      </c>
      <c r="D87" s="603">
        <v>572</v>
      </c>
      <c r="E87" s="605">
        <v>572</v>
      </c>
    </row>
    <row r="88" spans="1:5" ht="15.75">
      <c r="A88" s="501" t="s">
        <v>1063</v>
      </c>
      <c r="B88" s="500">
        <v>0</v>
      </c>
      <c r="C88" s="499">
        <v>0</v>
      </c>
      <c r="D88" s="603">
        <v>8787</v>
      </c>
      <c r="E88" s="951">
        <v>8787</v>
      </c>
    </row>
    <row r="89" spans="1:5" ht="15.75">
      <c r="A89" s="501" t="s">
        <v>1064</v>
      </c>
      <c r="B89" s="500">
        <v>0</v>
      </c>
      <c r="C89" s="499">
        <v>0</v>
      </c>
      <c r="D89" s="603">
        <v>2408</v>
      </c>
      <c r="E89" s="951">
        <v>2408</v>
      </c>
    </row>
    <row r="90" spans="1:5" ht="15.75">
      <c r="A90" s="501" t="s">
        <v>1065</v>
      </c>
      <c r="B90" s="500">
        <v>0</v>
      </c>
      <c r="C90" s="499">
        <v>0</v>
      </c>
      <c r="D90" s="603">
        <v>381</v>
      </c>
      <c r="E90" s="605">
        <v>381</v>
      </c>
    </row>
    <row r="91" spans="1:5" ht="31.5">
      <c r="A91" s="501" t="s">
        <v>1105</v>
      </c>
      <c r="B91" s="500">
        <v>0</v>
      </c>
      <c r="C91" s="499">
        <v>0</v>
      </c>
      <c r="D91" s="603">
        <v>4410</v>
      </c>
      <c r="E91" s="605" t="s">
        <v>1106</v>
      </c>
    </row>
    <row r="92" spans="1:5" ht="31.5">
      <c r="A92" s="501" t="s">
        <v>1107</v>
      </c>
      <c r="B92" s="500">
        <v>0</v>
      </c>
      <c r="C92" s="499">
        <v>0</v>
      </c>
      <c r="D92" s="603">
        <v>4166</v>
      </c>
      <c r="E92" s="605" t="s">
        <v>1108</v>
      </c>
    </row>
    <row r="93" spans="1:5" ht="15.75">
      <c r="A93" s="501" t="s">
        <v>1109</v>
      </c>
      <c r="B93" s="500">
        <v>0</v>
      </c>
      <c r="C93" s="499">
        <v>0</v>
      </c>
      <c r="D93" s="603">
        <v>5246</v>
      </c>
      <c r="E93" s="605" t="s">
        <v>1110</v>
      </c>
    </row>
    <row r="94" spans="1:5" ht="15.75">
      <c r="A94" s="501" t="s">
        <v>1111</v>
      </c>
      <c r="B94" s="500">
        <v>0</v>
      </c>
      <c r="C94" s="499">
        <v>0</v>
      </c>
      <c r="D94" s="603">
        <v>318</v>
      </c>
      <c r="E94" s="605" t="s">
        <v>1112</v>
      </c>
    </row>
    <row r="95" spans="1:5" ht="15.75">
      <c r="A95" s="501" t="s">
        <v>1113</v>
      </c>
      <c r="B95" s="500">
        <v>0</v>
      </c>
      <c r="C95" s="499">
        <v>0</v>
      </c>
      <c r="D95" s="603">
        <v>3937</v>
      </c>
      <c r="E95" s="605" t="s">
        <v>1114</v>
      </c>
    </row>
    <row r="96" spans="1:5" ht="15.75">
      <c r="A96" s="501" t="s">
        <v>1115</v>
      </c>
      <c r="B96" s="500">
        <v>0</v>
      </c>
      <c r="C96" s="499">
        <v>0</v>
      </c>
      <c r="D96" s="603">
        <v>839</v>
      </c>
      <c r="E96" s="605" t="s">
        <v>1116</v>
      </c>
    </row>
    <row r="97" spans="1:5" ht="12.75" customHeight="1">
      <c r="A97" s="501"/>
      <c r="B97" s="507"/>
      <c r="C97" s="507"/>
      <c r="D97" s="603"/>
      <c r="E97" s="951"/>
    </row>
    <row r="98" spans="1:5" ht="15.75">
      <c r="A98" s="506" t="s">
        <v>82</v>
      </c>
      <c r="B98" s="505">
        <f>SUM(B100,B113,B116)</f>
        <v>33697</v>
      </c>
      <c r="C98" s="505">
        <f>SUM(C100,C113,C116)</f>
        <v>36614</v>
      </c>
      <c r="D98" s="504">
        <f>SUM(D100,D113,D116)</f>
        <v>20614</v>
      </c>
      <c r="E98" s="604">
        <f>SUM(E100,E113,E116)</f>
        <v>-16000</v>
      </c>
    </row>
    <row r="99" spans="1:5" ht="11.25" customHeight="1">
      <c r="A99" s="506"/>
      <c r="B99" s="514"/>
      <c r="C99" s="514"/>
      <c r="D99" s="611"/>
      <c r="E99" s="951"/>
    </row>
    <row r="100" spans="1:5" ht="15.75">
      <c r="A100" s="510" t="s">
        <v>220</v>
      </c>
      <c r="B100" s="513">
        <f>SUM(B101:B111)</f>
        <v>32970</v>
      </c>
      <c r="C100" s="513">
        <f>SUM(C101:C111)</f>
        <v>36014</v>
      </c>
      <c r="D100" s="512">
        <f>SUM(D101:D111)</f>
        <v>20014</v>
      </c>
      <c r="E100" s="612">
        <f>SUM(E101:E111)</f>
        <v>-16000</v>
      </c>
    </row>
    <row r="101" spans="1:5" ht="15.75">
      <c r="A101" s="501" t="s">
        <v>221</v>
      </c>
      <c r="B101" s="500">
        <v>200</v>
      </c>
      <c r="C101" s="500">
        <v>200</v>
      </c>
      <c r="D101" s="603">
        <v>100</v>
      </c>
      <c r="E101" s="951">
        <v>-100</v>
      </c>
    </row>
    <row r="102" spans="1:5" ht="15.75">
      <c r="A102" s="501" t="s">
        <v>222</v>
      </c>
      <c r="B102" s="502">
        <v>6000</v>
      </c>
      <c r="C102" s="499">
        <v>6000</v>
      </c>
      <c r="D102" s="603">
        <v>5900</v>
      </c>
      <c r="E102" s="951">
        <v>-100</v>
      </c>
    </row>
    <row r="103" spans="1:5" ht="31.5">
      <c r="A103" s="501" t="s">
        <v>1039</v>
      </c>
      <c r="B103" s="499">
        <v>3500</v>
      </c>
      <c r="C103" s="499">
        <v>6268</v>
      </c>
      <c r="D103" s="603">
        <v>2268</v>
      </c>
      <c r="E103" s="952">
        <v>-4000</v>
      </c>
    </row>
    <row r="104" spans="1:5" ht="15.75">
      <c r="A104" s="501" t="s">
        <v>223</v>
      </c>
      <c r="B104" s="500">
        <v>50</v>
      </c>
      <c r="C104" s="500">
        <v>50</v>
      </c>
      <c r="D104" s="603">
        <v>50</v>
      </c>
      <c r="E104" s="951">
        <v>0</v>
      </c>
    </row>
    <row r="105" spans="1:5" ht="15.75">
      <c r="A105" s="511" t="s">
        <v>1038</v>
      </c>
      <c r="B105" s="500">
        <v>300</v>
      </c>
      <c r="C105" s="500">
        <v>370</v>
      </c>
      <c r="D105" s="603">
        <v>370</v>
      </c>
      <c r="E105" s="951">
        <v>0</v>
      </c>
    </row>
    <row r="106" spans="1:5" ht="15.75">
      <c r="A106" s="501" t="s">
        <v>224</v>
      </c>
      <c r="B106" s="500">
        <v>300</v>
      </c>
      <c r="C106" s="500">
        <v>300</v>
      </c>
      <c r="D106" s="603">
        <v>300</v>
      </c>
      <c r="E106" s="951">
        <v>0</v>
      </c>
    </row>
    <row r="107" spans="1:5" ht="15.75">
      <c r="A107" s="501" t="s">
        <v>225</v>
      </c>
      <c r="B107" s="499">
        <v>1270</v>
      </c>
      <c r="C107" s="499">
        <v>1270</v>
      </c>
      <c r="D107" s="603">
        <v>70</v>
      </c>
      <c r="E107" s="951">
        <v>-1200</v>
      </c>
    </row>
    <row r="108" spans="1:5" ht="15.75">
      <c r="A108" s="501" t="s">
        <v>226</v>
      </c>
      <c r="B108" s="499">
        <v>21350</v>
      </c>
      <c r="C108" s="499">
        <v>21350</v>
      </c>
      <c r="D108" s="603">
        <v>10715</v>
      </c>
      <c r="E108" s="951">
        <v>-10635</v>
      </c>
    </row>
    <row r="109" spans="1:5" ht="15.75">
      <c r="A109" s="501" t="s">
        <v>567</v>
      </c>
      <c r="B109" s="500">
        <v>0</v>
      </c>
      <c r="C109" s="500">
        <v>168</v>
      </c>
      <c r="D109" s="603">
        <v>168</v>
      </c>
      <c r="E109" s="951">
        <v>0</v>
      </c>
    </row>
    <row r="110" spans="1:5" ht="31.5">
      <c r="A110" s="501" t="s">
        <v>982</v>
      </c>
      <c r="B110" s="500">
        <v>0</v>
      </c>
      <c r="C110" s="500">
        <v>29</v>
      </c>
      <c r="D110" s="603">
        <v>29</v>
      </c>
      <c r="E110" s="951">
        <v>0</v>
      </c>
    </row>
    <row r="111" spans="1:5" ht="31.5">
      <c r="A111" s="501" t="s">
        <v>983</v>
      </c>
      <c r="B111" s="500">
        <v>0</v>
      </c>
      <c r="C111" s="500">
        <v>9</v>
      </c>
      <c r="D111" s="603">
        <v>44</v>
      </c>
      <c r="E111" s="954">
        <v>35</v>
      </c>
    </row>
    <row r="112" spans="1:5" ht="15.75">
      <c r="A112" s="501"/>
      <c r="B112" s="507"/>
      <c r="C112" s="507"/>
      <c r="D112" s="603"/>
      <c r="E112" s="951"/>
    </row>
    <row r="113" spans="1:5" ht="15.75">
      <c r="A113" s="510" t="s">
        <v>157</v>
      </c>
      <c r="B113" s="509">
        <f>SUM(B114)</f>
        <v>127</v>
      </c>
      <c r="C113" s="509">
        <f>SUM(C114)</f>
        <v>0</v>
      </c>
      <c r="D113" s="512">
        <f>SUM(D114)</f>
        <v>0</v>
      </c>
      <c r="E113" s="951"/>
    </row>
    <row r="114" spans="1:5" ht="15.75">
      <c r="A114" s="501" t="s">
        <v>984</v>
      </c>
      <c r="B114" s="500">
        <v>127</v>
      </c>
      <c r="C114" s="500">
        <v>0</v>
      </c>
      <c r="D114" s="603">
        <v>0</v>
      </c>
      <c r="E114" s="951"/>
    </row>
    <row r="115" spans="1:5" ht="12.75" customHeight="1">
      <c r="A115" s="501"/>
      <c r="B115" s="507"/>
      <c r="C115" s="507"/>
      <c r="D115" s="603"/>
      <c r="E115" s="951"/>
    </row>
    <row r="116" spans="1:5" ht="15.75">
      <c r="A116" s="510" t="s">
        <v>155</v>
      </c>
      <c r="B116" s="509">
        <f>SUM(B117)</f>
        <v>600</v>
      </c>
      <c r="C116" s="509">
        <f>SUM(C117)</f>
        <v>600</v>
      </c>
      <c r="D116" s="508">
        <f>SUM(D117)</f>
        <v>600</v>
      </c>
      <c r="E116" s="951"/>
    </row>
    <row r="117" spans="1:5" ht="15.75">
      <c r="A117" s="501" t="s">
        <v>227</v>
      </c>
      <c r="B117" s="500">
        <v>600</v>
      </c>
      <c r="C117" s="500">
        <v>600</v>
      </c>
      <c r="D117" s="608">
        <v>600</v>
      </c>
      <c r="E117" s="951"/>
    </row>
    <row r="118" spans="1:5" ht="11.25" customHeight="1">
      <c r="A118" s="501"/>
      <c r="B118" s="507"/>
      <c r="C118" s="507"/>
      <c r="D118" s="603"/>
      <c r="E118" s="951"/>
    </row>
    <row r="119" spans="1:5" ht="15.75">
      <c r="A119" s="506" t="s">
        <v>228</v>
      </c>
      <c r="B119" s="505">
        <f>SUM(B120:B136)</f>
        <v>16297</v>
      </c>
      <c r="C119" s="505">
        <f>SUM(C120:C136)</f>
        <v>26142</v>
      </c>
      <c r="D119" s="504">
        <f>SUM(D120:D136)</f>
        <v>31295</v>
      </c>
      <c r="E119" s="604">
        <f>SUM(E120:E136)</f>
        <v>5153</v>
      </c>
    </row>
    <row r="120" spans="1:5" ht="15.75">
      <c r="A120" s="501" t="s">
        <v>229</v>
      </c>
      <c r="B120" s="500">
        <v>485</v>
      </c>
      <c r="C120" s="503">
        <v>485</v>
      </c>
      <c r="D120" s="613">
        <v>485</v>
      </c>
      <c r="E120" s="951">
        <v>0</v>
      </c>
    </row>
    <row r="121" spans="1:5" ht="15.75">
      <c r="A121" s="501" t="s">
        <v>985</v>
      </c>
      <c r="B121" s="500">
        <v>319</v>
      </c>
      <c r="C121" s="503">
        <v>582</v>
      </c>
      <c r="D121" s="613">
        <v>758</v>
      </c>
      <c r="E121" s="953">
        <v>176</v>
      </c>
    </row>
    <row r="122" spans="1:5" ht="31.5">
      <c r="A122" s="501" t="s">
        <v>848</v>
      </c>
      <c r="B122" s="500">
        <v>250</v>
      </c>
      <c r="C122" s="503">
        <v>481</v>
      </c>
      <c r="D122" s="613">
        <v>536</v>
      </c>
      <c r="E122" s="952">
        <v>55</v>
      </c>
    </row>
    <row r="123" spans="1:5" ht="31.5">
      <c r="A123" s="501" t="s">
        <v>986</v>
      </c>
      <c r="B123" s="500">
        <v>0</v>
      </c>
      <c r="C123" s="503">
        <v>803</v>
      </c>
      <c r="D123" s="613">
        <v>803</v>
      </c>
      <c r="E123" s="951">
        <v>0</v>
      </c>
    </row>
    <row r="124" spans="1:5" ht="15.75">
      <c r="A124" s="501" t="s">
        <v>849</v>
      </c>
      <c r="B124" s="500">
        <v>0</v>
      </c>
      <c r="C124" s="503">
        <v>28</v>
      </c>
      <c r="D124" s="613">
        <v>138</v>
      </c>
      <c r="E124" s="951">
        <v>110</v>
      </c>
    </row>
    <row r="125" spans="1:5" ht="15.75">
      <c r="A125" s="501" t="s">
        <v>987</v>
      </c>
      <c r="B125" s="500">
        <v>0</v>
      </c>
      <c r="C125" s="503">
        <v>76</v>
      </c>
      <c r="D125" s="613">
        <v>81</v>
      </c>
      <c r="E125" s="951">
        <v>5</v>
      </c>
    </row>
    <row r="126" spans="1:5" ht="15.75">
      <c r="A126" s="501" t="s">
        <v>988</v>
      </c>
      <c r="B126" s="499">
        <v>1460</v>
      </c>
      <c r="C126" s="502">
        <v>1560</v>
      </c>
      <c r="D126" s="613">
        <v>1560</v>
      </c>
      <c r="E126" s="951">
        <v>0</v>
      </c>
    </row>
    <row r="127" spans="1:5" ht="15.75">
      <c r="A127" s="501" t="s">
        <v>989</v>
      </c>
      <c r="B127" s="500">
        <v>0</v>
      </c>
      <c r="C127" s="503">
        <v>257</v>
      </c>
      <c r="D127" s="613">
        <v>257</v>
      </c>
      <c r="E127" s="951">
        <v>0</v>
      </c>
    </row>
    <row r="128" spans="1:5" ht="31.5">
      <c r="A128" s="501" t="s">
        <v>568</v>
      </c>
      <c r="B128" s="500">
        <v>0</v>
      </c>
      <c r="C128" s="503">
        <v>331</v>
      </c>
      <c r="D128" s="613">
        <v>331</v>
      </c>
      <c r="E128" s="951">
        <v>0</v>
      </c>
    </row>
    <row r="129" spans="1:5" ht="31.5">
      <c r="A129" s="501" t="s">
        <v>569</v>
      </c>
      <c r="B129" s="500">
        <v>400</v>
      </c>
      <c r="C129" s="503">
        <v>445</v>
      </c>
      <c r="D129" s="613">
        <v>445</v>
      </c>
      <c r="E129" s="951">
        <v>0</v>
      </c>
    </row>
    <row r="130" spans="1:5" ht="31.5">
      <c r="A130" s="501" t="s">
        <v>990</v>
      </c>
      <c r="B130" s="500">
        <v>0</v>
      </c>
      <c r="C130" s="503">
        <v>57</v>
      </c>
      <c r="D130" s="613">
        <v>57</v>
      </c>
      <c r="E130" s="951">
        <v>0</v>
      </c>
    </row>
    <row r="131" spans="1:5" ht="15.75">
      <c r="A131" s="501" t="s">
        <v>230</v>
      </c>
      <c r="B131" s="500">
        <v>650</v>
      </c>
      <c r="C131" s="503">
        <v>650</v>
      </c>
      <c r="D131" s="613">
        <v>379</v>
      </c>
      <c r="E131" s="951">
        <v>-271</v>
      </c>
    </row>
    <row r="132" spans="1:5" ht="15.75">
      <c r="A132" s="501" t="s">
        <v>991</v>
      </c>
      <c r="B132" s="499">
        <v>1250</v>
      </c>
      <c r="C132" s="502">
        <v>1000</v>
      </c>
      <c r="D132" s="613">
        <v>1000</v>
      </c>
      <c r="E132" s="951">
        <v>0</v>
      </c>
    </row>
    <row r="133" spans="1:5" ht="15.75">
      <c r="A133" s="501" t="s">
        <v>231</v>
      </c>
      <c r="B133" s="500">
        <v>975</v>
      </c>
      <c r="C133" s="502">
        <v>1275</v>
      </c>
      <c r="D133" s="613">
        <v>1275</v>
      </c>
      <c r="E133" s="951">
        <v>0</v>
      </c>
    </row>
    <row r="134" spans="1:5" ht="31.5">
      <c r="A134" s="501" t="s">
        <v>992</v>
      </c>
      <c r="B134" s="499">
        <v>10000</v>
      </c>
      <c r="C134" s="502">
        <v>10101</v>
      </c>
      <c r="D134" s="613">
        <v>14881</v>
      </c>
      <c r="E134" s="952">
        <v>4780</v>
      </c>
    </row>
    <row r="135" spans="1:5" ht="15.75">
      <c r="A135" s="501" t="s">
        <v>232</v>
      </c>
      <c r="B135" s="500">
        <v>508</v>
      </c>
      <c r="C135" s="502">
        <v>2508</v>
      </c>
      <c r="D135" s="613">
        <v>2508</v>
      </c>
      <c r="E135" s="951">
        <v>0</v>
      </c>
    </row>
    <row r="136" spans="1:5" ht="31.5">
      <c r="A136" s="501" t="s">
        <v>935</v>
      </c>
      <c r="B136" s="500">
        <v>0</v>
      </c>
      <c r="C136" s="499">
        <v>5503</v>
      </c>
      <c r="D136" s="603">
        <v>5801</v>
      </c>
      <c r="E136" s="954">
        <v>298</v>
      </c>
    </row>
    <row r="137" spans="1:5" ht="16.5" thickBot="1">
      <c r="A137" s="497" t="s">
        <v>194</v>
      </c>
      <c r="B137" s="496">
        <f>SUM(B6,B98,B119)</f>
        <v>193259</v>
      </c>
      <c r="C137" s="496">
        <f aca="true" t="shared" si="0" ref="C137:E137">SUM(C6,C98,C119)</f>
        <v>277945</v>
      </c>
      <c r="D137" s="614">
        <f t="shared" si="0"/>
        <v>385203</v>
      </c>
      <c r="E137" s="614">
        <f t="shared" si="0"/>
        <v>85086</v>
      </c>
    </row>
    <row r="138" spans="1:10" ht="12.75">
      <c r="A138" s="1035" t="s">
        <v>1151</v>
      </c>
      <c r="B138" s="1035"/>
      <c r="C138" s="1035"/>
      <c r="D138" s="1035"/>
      <c r="E138" s="1035"/>
      <c r="F138" s="1035"/>
      <c r="G138" s="1035"/>
      <c r="H138" s="1035"/>
      <c r="I138" s="1035"/>
      <c r="J138" s="1035"/>
    </row>
    <row r="139" spans="1:10" ht="12.75">
      <c r="A139" s="1035" t="s">
        <v>1152</v>
      </c>
      <c r="B139" s="1035"/>
      <c r="C139" s="1035"/>
      <c r="D139" s="1035"/>
      <c r="E139" s="1035"/>
      <c r="F139" s="1035"/>
      <c r="G139" s="1035"/>
      <c r="H139" s="1035"/>
      <c r="I139" s="1035"/>
      <c r="J139" s="1035"/>
    </row>
    <row r="140" spans="1:10" ht="12.75">
      <c r="A140" s="1035" t="s">
        <v>1153</v>
      </c>
      <c r="B140" s="1035"/>
      <c r="C140" s="1035"/>
      <c r="D140" s="1035"/>
      <c r="E140" s="1035"/>
      <c r="F140" s="1035"/>
      <c r="G140" s="1035"/>
      <c r="H140" s="1035"/>
      <c r="I140" s="1035"/>
      <c r="J140" s="1035"/>
    </row>
    <row r="141" spans="1:10" ht="12.75">
      <c r="A141" s="1035" t="s">
        <v>1154</v>
      </c>
      <c r="B141" s="1035"/>
      <c r="C141" s="1035"/>
      <c r="D141" s="1035"/>
      <c r="E141" s="1035"/>
      <c r="F141" s="1035"/>
      <c r="G141" s="1035"/>
      <c r="H141" s="1035"/>
      <c r="I141" s="1035"/>
      <c r="J141" s="1035"/>
    </row>
  </sheetData>
  <mergeCells count="6">
    <mergeCell ref="A141:J141"/>
    <mergeCell ref="A1:D1"/>
    <mergeCell ref="A2:D2"/>
    <mergeCell ref="A138:J138"/>
    <mergeCell ref="A139:J139"/>
    <mergeCell ref="A140:J140"/>
  </mergeCells>
  <printOptions horizontalCentered="1"/>
  <pageMargins left="0.4330708661417323" right="0.4330708661417323" top="0.9448818897637796" bottom="0.7480314960629921" header="0.5118110236220472" footer="0.31496062992125984"/>
  <pageSetup fitToHeight="0" fitToWidth="1" horizontalDpi="600" verticalDpi="600" orientation="portrait" paperSize="9" scale="85" r:id="rId1"/>
  <headerFooter>
    <oddHeader>&amp;L 7. melléklet a 1/2017.(II.24.) önkormányzati rendelethez
 7. melléklet a 29/2015.(XII.18.) önkormányzati rendelethez
</oddHeader>
  </headerFooter>
  <rowBreaks count="2" manualBreakCount="2">
    <brk id="51" max="16383" man="1"/>
    <brk id="9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71"/>
  <sheetViews>
    <sheetView view="pageBreakPreview" zoomScaleSheetLayoutView="100" workbookViewId="0" topLeftCell="A54">
      <selection activeCell="H64" sqref="H64"/>
    </sheetView>
  </sheetViews>
  <sheetFormatPr defaultColWidth="9.00390625" defaultRowHeight="12.75"/>
  <cols>
    <col min="1" max="1" width="75.00390625" style="0" customWidth="1"/>
    <col min="2" max="2" width="11.875" style="0" customWidth="1"/>
    <col min="3" max="3" width="9.125" style="0" hidden="1" customWidth="1"/>
    <col min="4" max="4" width="14.75390625" style="0" customWidth="1"/>
    <col min="5" max="5" width="13.125" style="0" customWidth="1"/>
    <col min="6" max="6" width="14.375" style="0" hidden="1" customWidth="1"/>
    <col min="7" max="7" width="13.875" style="0" customWidth="1"/>
  </cols>
  <sheetData>
    <row r="1" spans="1:5" ht="15.75">
      <c r="A1" s="1122" t="s">
        <v>813</v>
      </c>
      <c r="B1" s="1122"/>
      <c r="C1" s="1122"/>
      <c r="D1" s="1122"/>
      <c r="E1" s="1122"/>
    </row>
    <row r="2" spans="1:5" ht="15.75">
      <c r="A2" s="1121" t="s">
        <v>233</v>
      </c>
      <c r="B2" s="1121"/>
      <c r="C2" s="1121"/>
      <c r="D2" s="1121"/>
      <c r="E2" s="1121"/>
    </row>
    <row r="3" spans="1:4" ht="15.75" thickBot="1">
      <c r="A3" s="403"/>
      <c r="B3" s="404"/>
      <c r="C3" s="404"/>
      <c r="D3" s="402"/>
    </row>
    <row r="4" spans="1:6" ht="15.75">
      <c r="A4" s="615" t="s">
        <v>3</v>
      </c>
      <c r="B4" s="616" t="s">
        <v>4</v>
      </c>
      <c r="C4" s="616" t="s">
        <v>814</v>
      </c>
      <c r="D4" s="617" t="s">
        <v>861</v>
      </c>
      <c r="E4" s="618" t="s">
        <v>1041</v>
      </c>
      <c r="F4" s="619" t="s">
        <v>1053</v>
      </c>
    </row>
    <row r="5" spans="1:6" ht="15.75">
      <c r="A5" s="405"/>
      <c r="B5" s="406"/>
      <c r="C5" s="406"/>
      <c r="D5" s="407"/>
      <c r="E5" s="400"/>
      <c r="F5" s="620"/>
    </row>
    <row r="6" spans="1:6" ht="15.75">
      <c r="A6" s="408" t="s">
        <v>81</v>
      </c>
      <c r="B6" s="409">
        <f>SUM(B8,B12)</f>
        <v>114633</v>
      </c>
      <c r="C6" s="409">
        <f>SUM(C8,C12)</f>
        <v>1990</v>
      </c>
      <c r="D6" s="410">
        <f>SUM(D8,D12)</f>
        <v>156455</v>
      </c>
      <c r="E6" s="401">
        <f>SUM(E8,E12)</f>
        <v>146065</v>
      </c>
      <c r="F6" s="621">
        <f>SUM(F8,F12)</f>
        <v>-11991</v>
      </c>
    </row>
    <row r="7" spans="1:6" ht="15.75">
      <c r="A7" s="405"/>
      <c r="B7" s="406"/>
      <c r="C7" s="406"/>
      <c r="D7" s="407"/>
      <c r="E7" s="400"/>
      <c r="F7" s="620"/>
    </row>
    <row r="8" spans="1:6" ht="15.75">
      <c r="A8" s="408" t="s">
        <v>815</v>
      </c>
      <c r="B8" s="409">
        <f>SUM(B9:B10)</f>
        <v>5675</v>
      </c>
      <c r="C8" s="409">
        <f>SUM(C9:C10)</f>
        <v>0</v>
      </c>
      <c r="D8" s="410">
        <f>SUM(D9:D10)</f>
        <v>2367</v>
      </c>
      <c r="E8" s="401">
        <f>SUM(E9:E10)</f>
        <v>833</v>
      </c>
      <c r="F8" s="622">
        <f>SUM(F9:F10)</f>
        <v>-1534</v>
      </c>
    </row>
    <row r="9" spans="1:6" ht="15.75">
      <c r="A9" s="405" t="s">
        <v>994</v>
      </c>
      <c r="B9" s="406">
        <v>3175</v>
      </c>
      <c r="C9" s="406"/>
      <c r="D9" s="407">
        <v>2367</v>
      </c>
      <c r="E9" s="400">
        <v>833</v>
      </c>
      <c r="F9" s="623">
        <v>-1534</v>
      </c>
    </row>
    <row r="10" spans="1:6" ht="31.5">
      <c r="A10" s="405" t="s">
        <v>995</v>
      </c>
      <c r="B10" s="406">
        <v>2500</v>
      </c>
      <c r="C10" s="406"/>
      <c r="D10" s="407">
        <v>0</v>
      </c>
      <c r="E10" s="400">
        <v>0</v>
      </c>
      <c r="F10" s="624">
        <v>0</v>
      </c>
    </row>
    <row r="11" spans="1:6" ht="15.75">
      <c r="A11" s="405"/>
      <c r="B11" s="406"/>
      <c r="C11" s="406"/>
      <c r="D11" s="407"/>
      <c r="E11" s="400"/>
      <c r="F11" s="624"/>
    </row>
    <row r="12" spans="1:6" ht="15.75">
      <c r="A12" s="408" t="s">
        <v>202</v>
      </c>
      <c r="B12" s="409">
        <f>SUM(B13:B33)</f>
        <v>108958</v>
      </c>
      <c r="C12" s="409">
        <f>SUM(C13:C51)</f>
        <v>1990</v>
      </c>
      <c r="D12" s="410">
        <f>SUM(D13:D40)</f>
        <v>154088</v>
      </c>
      <c r="E12" s="401">
        <f>SUM(E13:E45)</f>
        <v>145232</v>
      </c>
      <c r="F12" s="622">
        <f>SUM(F13:F43)</f>
        <v>-10457</v>
      </c>
    </row>
    <row r="13" spans="1:6" ht="15.75">
      <c r="A13" s="405" t="s">
        <v>816</v>
      </c>
      <c r="B13" s="406">
        <v>16910</v>
      </c>
      <c r="C13" s="406"/>
      <c r="D13" s="407">
        <v>16910</v>
      </c>
      <c r="E13" s="400">
        <v>2427</v>
      </c>
      <c r="F13" s="623">
        <v>-14483</v>
      </c>
    </row>
    <row r="14" spans="1:6" ht="15.75">
      <c r="A14" s="405" t="s">
        <v>817</v>
      </c>
      <c r="B14" s="406">
        <v>4445</v>
      </c>
      <c r="C14" s="406">
        <v>6350</v>
      </c>
      <c r="D14" s="407">
        <v>11168</v>
      </c>
      <c r="E14" s="400">
        <v>10495</v>
      </c>
      <c r="F14" s="625">
        <v>-673</v>
      </c>
    </row>
    <row r="15" spans="1:6" ht="31.5">
      <c r="A15" s="405" t="s">
        <v>818</v>
      </c>
      <c r="B15" s="406">
        <v>0</v>
      </c>
      <c r="C15" s="406"/>
      <c r="D15" s="407">
        <v>879</v>
      </c>
      <c r="E15" s="400">
        <v>879</v>
      </c>
      <c r="F15" s="624"/>
    </row>
    <row r="16" spans="1:6" ht="15.75">
      <c r="A16" s="405" t="s">
        <v>819</v>
      </c>
      <c r="B16" s="406">
        <v>8000</v>
      </c>
      <c r="C16" s="406"/>
      <c r="D16" s="407">
        <v>6908</v>
      </c>
      <c r="E16" s="400">
        <v>0</v>
      </c>
      <c r="F16" s="626" t="s">
        <v>1066</v>
      </c>
    </row>
    <row r="17" spans="1:6" ht="15.75">
      <c r="A17" s="405" t="s">
        <v>996</v>
      </c>
      <c r="B17" s="406">
        <v>10000</v>
      </c>
      <c r="C17" s="406"/>
      <c r="D17" s="407">
        <v>10886</v>
      </c>
      <c r="E17" s="400">
        <v>11688</v>
      </c>
      <c r="F17" s="624">
        <v>802</v>
      </c>
    </row>
    <row r="18" spans="1:6" ht="15.75">
      <c r="A18" s="405" t="s">
        <v>997</v>
      </c>
      <c r="B18" s="406">
        <v>10000</v>
      </c>
      <c r="C18" s="406">
        <f>-3194-1500</f>
        <v>-4694</v>
      </c>
      <c r="D18" s="407">
        <v>3576</v>
      </c>
      <c r="E18" s="400">
        <v>3576</v>
      </c>
      <c r="F18" s="624"/>
    </row>
    <row r="19" spans="1:6" ht="15.75">
      <c r="A19" s="405" t="s">
        <v>820</v>
      </c>
      <c r="B19" s="406">
        <v>2285</v>
      </c>
      <c r="C19" s="406"/>
      <c r="D19" s="407">
        <v>2285</v>
      </c>
      <c r="E19" s="400">
        <v>2285</v>
      </c>
      <c r="F19" s="624"/>
    </row>
    <row r="20" spans="1:6" ht="15.75">
      <c r="A20" s="405" t="s">
        <v>821</v>
      </c>
      <c r="B20" s="406">
        <v>1905</v>
      </c>
      <c r="C20" s="406"/>
      <c r="D20" s="407">
        <v>1905</v>
      </c>
      <c r="E20" s="400">
        <v>2496</v>
      </c>
      <c r="F20" s="627">
        <v>591</v>
      </c>
    </row>
    <row r="21" spans="1:6" ht="15.75">
      <c r="A21" s="405" t="s">
        <v>822</v>
      </c>
      <c r="B21" s="406">
        <v>1000</v>
      </c>
      <c r="C21" s="406"/>
      <c r="D21" s="407">
        <v>1000</v>
      </c>
      <c r="E21" s="400">
        <v>0</v>
      </c>
      <c r="F21" s="623">
        <v>-1000</v>
      </c>
    </row>
    <row r="22" spans="1:6" ht="15.75">
      <c r="A22" s="405" t="s">
        <v>823</v>
      </c>
      <c r="B22" s="406">
        <v>3500</v>
      </c>
      <c r="C22" s="406"/>
      <c r="D22" s="407">
        <v>3500</v>
      </c>
      <c r="E22" s="400">
        <v>2928</v>
      </c>
      <c r="F22" s="627">
        <v>-572</v>
      </c>
    </row>
    <row r="23" spans="1:6" ht="15.75">
      <c r="A23" s="405" t="s">
        <v>824</v>
      </c>
      <c r="B23" s="406">
        <v>7500</v>
      </c>
      <c r="C23" s="406"/>
      <c r="D23" s="407">
        <v>0</v>
      </c>
      <c r="E23" s="400">
        <v>0</v>
      </c>
      <c r="F23" s="624"/>
    </row>
    <row r="24" spans="1:6" ht="15.75">
      <c r="A24" s="405" t="s">
        <v>825</v>
      </c>
      <c r="B24" s="406">
        <v>8000</v>
      </c>
      <c r="C24" s="406"/>
      <c r="D24" s="407">
        <v>0</v>
      </c>
      <c r="E24" s="400">
        <v>0</v>
      </c>
      <c r="F24" s="624"/>
    </row>
    <row r="25" spans="1:6" ht="15.75">
      <c r="A25" s="405" t="s">
        <v>998</v>
      </c>
      <c r="B25" s="406">
        <v>0</v>
      </c>
      <c r="C25" s="406"/>
      <c r="D25" s="407">
        <v>15094</v>
      </c>
      <c r="E25" s="400">
        <v>15094</v>
      </c>
      <c r="F25" s="624"/>
    </row>
    <row r="26" spans="1:6" ht="15.75">
      <c r="A26" s="405" t="s">
        <v>826</v>
      </c>
      <c r="B26" s="406">
        <f>6500+6000</f>
        <v>12500</v>
      </c>
      <c r="C26" s="406"/>
      <c r="D26" s="407">
        <v>12500</v>
      </c>
      <c r="E26" s="400">
        <v>12473</v>
      </c>
      <c r="F26" s="628">
        <v>-27</v>
      </c>
    </row>
    <row r="27" spans="1:6" ht="31.5">
      <c r="A27" s="405" t="s">
        <v>827</v>
      </c>
      <c r="B27" s="406">
        <v>5000</v>
      </c>
      <c r="C27" s="406"/>
      <c r="D27" s="407">
        <v>0</v>
      </c>
      <c r="E27" s="400">
        <v>0</v>
      </c>
      <c r="F27" s="624"/>
    </row>
    <row r="28" spans="1:6" ht="15.75">
      <c r="A28" s="405" t="s">
        <v>828</v>
      </c>
      <c r="B28" s="406">
        <v>1778</v>
      </c>
      <c r="C28" s="406"/>
      <c r="D28" s="407">
        <v>1549</v>
      </c>
      <c r="E28" s="400">
        <v>0</v>
      </c>
      <c r="F28" s="623">
        <v>-1549</v>
      </c>
    </row>
    <row r="29" spans="1:6" ht="15.75">
      <c r="A29" s="405" t="s">
        <v>1020</v>
      </c>
      <c r="B29" s="406">
        <v>5080</v>
      </c>
      <c r="C29" s="406"/>
      <c r="D29" s="407">
        <v>300</v>
      </c>
      <c r="E29" s="400">
        <v>300</v>
      </c>
      <c r="F29" s="624"/>
    </row>
    <row r="30" spans="1:6" ht="15.75">
      <c r="A30" s="405" t="s">
        <v>829</v>
      </c>
      <c r="B30" s="406">
        <v>635</v>
      </c>
      <c r="C30" s="406"/>
      <c r="D30" s="407">
        <v>635</v>
      </c>
      <c r="E30" s="400">
        <v>635</v>
      </c>
      <c r="F30" s="624"/>
    </row>
    <row r="31" spans="1:6" ht="15.75">
      <c r="A31" s="405" t="s">
        <v>830</v>
      </c>
      <c r="B31" s="406">
        <v>7620</v>
      </c>
      <c r="C31" s="406"/>
      <c r="D31" s="407">
        <v>7620</v>
      </c>
      <c r="E31" s="400">
        <v>0</v>
      </c>
      <c r="F31" s="623">
        <v>-7620</v>
      </c>
    </row>
    <row r="32" spans="1:6" ht="15.75">
      <c r="A32" s="405" t="s">
        <v>831</v>
      </c>
      <c r="B32" s="406">
        <v>2000</v>
      </c>
      <c r="C32" s="406"/>
      <c r="D32" s="407">
        <v>2000</v>
      </c>
      <c r="E32" s="400">
        <v>2000</v>
      </c>
      <c r="F32" s="624"/>
    </row>
    <row r="33" spans="1:6" ht="15.75">
      <c r="A33" s="405" t="s">
        <v>1021</v>
      </c>
      <c r="B33" s="406">
        <v>800</v>
      </c>
      <c r="C33" s="406">
        <v>334</v>
      </c>
      <c r="D33" s="407">
        <v>4473</v>
      </c>
      <c r="E33" s="400">
        <v>4473</v>
      </c>
      <c r="F33" s="624"/>
    </row>
    <row r="34" spans="1:6" ht="15.75">
      <c r="A34" s="405" t="s">
        <v>999</v>
      </c>
      <c r="B34" s="406">
        <v>0</v>
      </c>
      <c r="C34" s="406"/>
      <c r="D34" s="407">
        <v>43444</v>
      </c>
      <c r="E34" s="400">
        <v>41394</v>
      </c>
      <c r="F34" s="623">
        <v>-2050</v>
      </c>
    </row>
    <row r="35" spans="1:6" ht="15.75">
      <c r="A35" s="405" t="s">
        <v>1000</v>
      </c>
      <c r="B35" s="406">
        <v>0</v>
      </c>
      <c r="C35" s="406"/>
      <c r="D35" s="407">
        <v>950</v>
      </c>
      <c r="E35" s="400">
        <v>950</v>
      </c>
      <c r="F35" s="624"/>
    </row>
    <row r="36" spans="1:6" ht="15.75">
      <c r="A36" s="405" t="s">
        <v>1001</v>
      </c>
      <c r="B36" s="406">
        <v>0</v>
      </c>
      <c r="C36" s="406"/>
      <c r="D36" s="407">
        <v>3351</v>
      </c>
      <c r="E36" s="400">
        <v>3351</v>
      </c>
      <c r="F36" s="624"/>
    </row>
    <row r="37" spans="1:6" ht="15.75">
      <c r="A37" s="405" t="s">
        <v>1026</v>
      </c>
      <c r="B37" s="406">
        <v>0</v>
      </c>
      <c r="C37" s="406"/>
      <c r="D37" s="477">
        <v>227</v>
      </c>
      <c r="E37" s="452">
        <v>227</v>
      </c>
      <c r="F37" s="624"/>
    </row>
    <row r="38" spans="1:6" ht="15.75">
      <c r="A38" s="405" t="s">
        <v>1027</v>
      </c>
      <c r="B38" s="406">
        <v>0</v>
      </c>
      <c r="C38" s="406"/>
      <c r="D38" s="478">
        <v>1000</v>
      </c>
      <c r="E38" s="453">
        <v>1099</v>
      </c>
      <c r="F38" s="627">
        <v>99</v>
      </c>
    </row>
    <row r="39" spans="1:6" ht="15.75">
      <c r="A39" s="405" t="s">
        <v>1004</v>
      </c>
      <c r="B39" s="406">
        <v>0</v>
      </c>
      <c r="C39" s="406"/>
      <c r="D39" s="407">
        <v>1429</v>
      </c>
      <c r="E39" s="400">
        <v>1429</v>
      </c>
      <c r="F39" s="624"/>
    </row>
    <row r="40" spans="1:6" ht="15.75">
      <c r="A40" s="405" t="s">
        <v>1003</v>
      </c>
      <c r="B40" s="406">
        <v>0</v>
      </c>
      <c r="C40" s="406"/>
      <c r="D40" s="407">
        <v>499</v>
      </c>
      <c r="E40" s="400">
        <v>499</v>
      </c>
      <c r="F40" s="624"/>
    </row>
    <row r="41" spans="1:6" ht="15.75">
      <c r="A41" s="405" t="s">
        <v>1079</v>
      </c>
      <c r="B41" s="406">
        <v>0</v>
      </c>
      <c r="C41" s="406"/>
      <c r="D41" s="407">
        <v>0</v>
      </c>
      <c r="E41" s="400">
        <v>1778</v>
      </c>
      <c r="F41" s="624"/>
    </row>
    <row r="42" spans="1:6" ht="15.75">
      <c r="A42" s="405" t="s">
        <v>1067</v>
      </c>
      <c r="B42" s="406">
        <v>0</v>
      </c>
      <c r="C42" s="406"/>
      <c r="D42" s="407">
        <v>0</v>
      </c>
      <c r="E42" s="400">
        <v>914</v>
      </c>
      <c r="F42" s="629">
        <v>914</v>
      </c>
    </row>
    <row r="43" spans="1:6" ht="15.75">
      <c r="A43" s="405" t="s">
        <v>1068</v>
      </c>
      <c r="B43" s="406">
        <v>0</v>
      </c>
      <c r="C43" s="406"/>
      <c r="D43" s="407">
        <v>0</v>
      </c>
      <c r="E43" s="400">
        <v>15111</v>
      </c>
      <c r="F43" s="629">
        <v>15111</v>
      </c>
    </row>
    <row r="44" spans="1:6" ht="15.75">
      <c r="A44" s="405" t="s">
        <v>1117</v>
      </c>
      <c r="B44" s="406">
        <v>0</v>
      </c>
      <c r="C44" s="406"/>
      <c r="D44" s="407">
        <v>0</v>
      </c>
      <c r="E44" s="400">
        <v>6531</v>
      </c>
      <c r="F44" s="629" t="s">
        <v>1118</v>
      </c>
    </row>
    <row r="45" spans="1:6" ht="15.75">
      <c r="A45" s="405" t="s">
        <v>1119</v>
      </c>
      <c r="B45" s="406">
        <v>0</v>
      </c>
      <c r="C45" s="406"/>
      <c r="D45" s="407">
        <v>0</v>
      </c>
      <c r="E45" s="400">
        <v>200</v>
      </c>
      <c r="F45" s="629" t="s">
        <v>1120</v>
      </c>
    </row>
    <row r="46" spans="1:6" ht="15.75">
      <c r="A46" s="405"/>
      <c r="B46" s="406"/>
      <c r="C46" s="406"/>
      <c r="D46" s="407"/>
      <c r="E46" s="400"/>
      <c r="F46" s="624"/>
    </row>
    <row r="47" spans="1:6" ht="15.75">
      <c r="A47" s="408" t="s">
        <v>82</v>
      </c>
      <c r="B47" s="409">
        <v>0</v>
      </c>
      <c r="C47" s="409">
        <f>SUM(C60,C49,C63)</f>
        <v>0</v>
      </c>
      <c r="D47" s="410">
        <f>SUM(D50)</f>
        <v>185</v>
      </c>
      <c r="E47" s="401">
        <f>SUM(E50)</f>
        <v>186</v>
      </c>
      <c r="F47" s="621">
        <f>SUM(F50)</f>
        <v>0</v>
      </c>
    </row>
    <row r="48" spans="1:6" ht="15.75">
      <c r="A48" s="408"/>
      <c r="B48" s="409"/>
      <c r="C48" s="409"/>
      <c r="D48" s="410"/>
      <c r="E48" s="401"/>
      <c r="F48" s="624"/>
    </row>
    <row r="49" spans="1:6" ht="15.75">
      <c r="A49" s="411" t="s">
        <v>220</v>
      </c>
      <c r="B49" s="412">
        <v>0</v>
      </c>
      <c r="C49" s="412">
        <f aca="true" t="shared" si="0" ref="C49">SUM(C50:C58)</f>
        <v>0</v>
      </c>
      <c r="D49" s="413">
        <f>SUM(D50)</f>
        <v>185</v>
      </c>
      <c r="E49" s="414">
        <f>SUM(E50)</f>
        <v>186</v>
      </c>
      <c r="F49" s="630">
        <f>SUM(F50)</f>
        <v>0</v>
      </c>
    </row>
    <row r="50" spans="1:6" ht="15.75">
      <c r="A50" s="405" t="s">
        <v>930</v>
      </c>
      <c r="B50" s="406">
        <v>0</v>
      </c>
      <c r="C50" s="406">
        <v>0</v>
      </c>
      <c r="D50" s="407">
        <v>185</v>
      </c>
      <c r="E50" s="400">
        <v>186</v>
      </c>
      <c r="F50" s="631"/>
    </row>
    <row r="51" spans="1:6" ht="15.75">
      <c r="A51" s="405"/>
      <c r="B51" s="406"/>
      <c r="C51" s="406"/>
      <c r="D51" s="407"/>
      <c r="E51" s="400"/>
      <c r="F51" s="624"/>
    </row>
    <row r="52" spans="1:6" ht="18" customHeight="1">
      <c r="A52" s="408" t="s">
        <v>228</v>
      </c>
      <c r="B52" s="409">
        <f>SUM(B53:B63)</f>
        <v>48013</v>
      </c>
      <c r="C52" s="409">
        <f>SUM(C53:C63)</f>
        <v>0</v>
      </c>
      <c r="D52" s="410">
        <f>SUM(D53:D64)</f>
        <v>48807</v>
      </c>
      <c r="E52" s="401">
        <f>SUM(E53:E64)</f>
        <v>43335</v>
      </c>
      <c r="F52" s="632">
        <f>SUM(F53:F64)</f>
        <v>-5472</v>
      </c>
    </row>
    <row r="53" spans="1:6" ht="31.5">
      <c r="A53" s="405" t="s">
        <v>850</v>
      </c>
      <c r="B53" s="406">
        <v>400</v>
      </c>
      <c r="C53" s="406"/>
      <c r="D53" s="407">
        <v>1655</v>
      </c>
      <c r="E53" s="400">
        <v>1683</v>
      </c>
      <c r="F53" s="624">
        <v>28</v>
      </c>
    </row>
    <row r="54" spans="1:6" ht="15.75">
      <c r="A54" s="405" t="s">
        <v>854</v>
      </c>
      <c r="B54" s="406">
        <v>2146</v>
      </c>
      <c r="C54" s="406"/>
      <c r="D54" s="407">
        <v>2237</v>
      </c>
      <c r="E54" s="400">
        <v>2237</v>
      </c>
      <c r="F54" s="624">
        <v>0</v>
      </c>
    </row>
    <row r="55" spans="1:6" ht="15.75">
      <c r="A55" s="405" t="s">
        <v>832</v>
      </c>
      <c r="B55" s="406">
        <v>400</v>
      </c>
      <c r="C55" s="406"/>
      <c r="D55" s="407">
        <v>740</v>
      </c>
      <c r="E55" s="400">
        <v>740</v>
      </c>
      <c r="F55" s="624">
        <v>0</v>
      </c>
    </row>
    <row r="56" spans="1:6" ht="15.75">
      <c r="A56" s="405" t="s">
        <v>833</v>
      </c>
      <c r="B56" s="406">
        <v>677</v>
      </c>
      <c r="C56" s="406"/>
      <c r="D56" s="407">
        <v>677</v>
      </c>
      <c r="E56" s="400">
        <v>677</v>
      </c>
      <c r="F56" s="624">
        <v>0</v>
      </c>
    </row>
    <row r="57" spans="1:6" ht="15.75">
      <c r="A57" s="405" t="s">
        <v>834</v>
      </c>
      <c r="B57" s="406">
        <v>1080</v>
      </c>
      <c r="C57" s="406"/>
      <c r="D57" s="407">
        <v>0</v>
      </c>
      <c r="E57" s="400">
        <v>0</v>
      </c>
      <c r="F57" s="624">
        <v>0</v>
      </c>
    </row>
    <row r="58" spans="1:6" ht="31.5">
      <c r="A58" s="405" t="s">
        <v>835</v>
      </c>
      <c r="B58" s="406">
        <v>32500</v>
      </c>
      <c r="C58" s="406"/>
      <c r="D58" s="407">
        <v>32500</v>
      </c>
      <c r="E58" s="400">
        <v>32500</v>
      </c>
      <c r="F58" s="624">
        <v>0</v>
      </c>
    </row>
    <row r="59" spans="1:6" ht="31.5">
      <c r="A59" s="405" t="s">
        <v>836</v>
      </c>
      <c r="B59" s="406">
        <v>310</v>
      </c>
      <c r="C59" s="406"/>
      <c r="D59" s="407">
        <v>310</v>
      </c>
      <c r="E59" s="400">
        <v>310</v>
      </c>
      <c r="F59" s="624">
        <v>0</v>
      </c>
    </row>
    <row r="60" spans="1:6" ht="31.5">
      <c r="A60" s="405" t="s">
        <v>837</v>
      </c>
      <c r="B60" s="406">
        <v>5550</v>
      </c>
      <c r="C60" s="406"/>
      <c r="D60" s="407">
        <v>5550</v>
      </c>
      <c r="E60" s="400">
        <v>2550</v>
      </c>
      <c r="F60" s="633">
        <v>-3000</v>
      </c>
    </row>
    <row r="61" spans="1:6" ht="15.75">
      <c r="A61" s="405" t="s">
        <v>1002</v>
      </c>
      <c r="B61" s="406">
        <v>1250</v>
      </c>
      <c r="C61" s="406"/>
      <c r="D61" s="407">
        <v>950</v>
      </c>
      <c r="E61" s="400">
        <v>950</v>
      </c>
      <c r="F61" s="624">
        <v>0</v>
      </c>
    </row>
    <row r="62" spans="1:6" ht="15.75">
      <c r="A62" s="405" t="s">
        <v>838</v>
      </c>
      <c r="B62" s="406">
        <v>500</v>
      </c>
      <c r="C62" s="406"/>
      <c r="D62" s="407">
        <v>500</v>
      </c>
      <c r="E62" s="400">
        <v>0</v>
      </c>
      <c r="F62" s="633">
        <v>-500</v>
      </c>
    </row>
    <row r="63" spans="1:6" ht="31.5">
      <c r="A63" s="405" t="s">
        <v>931</v>
      </c>
      <c r="B63" s="406">
        <v>3200</v>
      </c>
      <c r="C63" s="406"/>
      <c r="D63" s="407">
        <v>2000</v>
      </c>
      <c r="E63" s="400">
        <v>0</v>
      </c>
      <c r="F63" s="633">
        <v>-2000</v>
      </c>
    </row>
    <row r="64" spans="1:6" ht="15.75">
      <c r="A64" s="405" t="s">
        <v>855</v>
      </c>
      <c r="B64" s="406"/>
      <c r="C64" s="406"/>
      <c r="D64" s="407">
        <v>1688</v>
      </c>
      <c r="E64" s="400">
        <v>1688</v>
      </c>
      <c r="F64" s="624">
        <v>0</v>
      </c>
    </row>
    <row r="65" spans="1:6" ht="15.75">
      <c r="A65" s="405"/>
      <c r="B65" s="406"/>
      <c r="C65" s="406"/>
      <c r="D65" s="407"/>
      <c r="E65" s="400"/>
      <c r="F65" s="624"/>
    </row>
    <row r="66" spans="1:6" ht="16.5" thickBot="1">
      <c r="A66" s="415" t="s">
        <v>194</v>
      </c>
      <c r="B66" s="416">
        <f>SUM(B6,B52)</f>
        <v>162646</v>
      </c>
      <c r="C66" s="416"/>
      <c r="D66" s="417">
        <f>SUM(D6,D47,D52)</f>
        <v>205447</v>
      </c>
      <c r="E66" s="418">
        <f>SUM(E6,E47,E52)</f>
        <v>189586</v>
      </c>
      <c r="F66" s="634">
        <f>SUM(F6,F47,F52)</f>
        <v>-17463</v>
      </c>
    </row>
    <row r="68" spans="1:10" ht="12.75">
      <c r="A68" s="1035" t="s">
        <v>1155</v>
      </c>
      <c r="B68" s="1035"/>
      <c r="C68" s="1035"/>
      <c r="D68" s="1035"/>
      <c r="E68" s="1035"/>
      <c r="F68" s="1035"/>
      <c r="G68" s="1035"/>
      <c r="H68" s="1035"/>
      <c r="I68" s="1035"/>
      <c r="J68" s="1035"/>
    </row>
    <row r="69" spans="1:10" ht="12.75">
      <c r="A69" s="1035" t="s">
        <v>1156</v>
      </c>
      <c r="B69" s="1035"/>
      <c r="C69" s="1035"/>
      <c r="D69" s="1035"/>
      <c r="E69" s="1035"/>
      <c r="F69" s="1035"/>
      <c r="G69" s="1035"/>
      <c r="H69" s="1035"/>
      <c r="I69" s="1035"/>
      <c r="J69" s="1035"/>
    </row>
    <row r="70" spans="1:10" ht="12.75">
      <c r="A70" s="1035" t="s">
        <v>1157</v>
      </c>
      <c r="B70" s="1035"/>
      <c r="C70" s="1035"/>
      <c r="D70" s="1035"/>
      <c r="E70" s="1035"/>
      <c r="F70" s="1035"/>
      <c r="G70" s="1035"/>
      <c r="H70" s="1035"/>
      <c r="I70" s="1035"/>
      <c r="J70" s="1035"/>
    </row>
    <row r="71" spans="1:10" ht="12.75">
      <c r="A71" s="1035" t="s">
        <v>1158</v>
      </c>
      <c r="B71" s="1035"/>
      <c r="C71" s="1035"/>
      <c r="D71" s="1035"/>
      <c r="E71" s="1035"/>
      <c r="F71" s="1035"/>
      <c r="G71" s="1035"/>
      <c r="H71" s="1035"/>
      <c r="I71" s="1035"/>
      <c r="J71" s="1035"/>
    </row>
  </sheetData>
  <mergeCells count="6">
    <mergeCell ref="A71:J71"/>
    <mergeCell ref="A1:E1"/>
    <mergeCell ref="A2:E2"/>
    <mergeCell ref="A68:J68"/>
    <mergeCell ref="A69:J69"/>
    <mergeCell ref="A70:J70"/>
  </mergeCells>
  <printOptions horizontalCentered="1"/>
  <pageMargins left="0.7086614173228347" right="0.7086614173228347" top="0.9448818897637796" bottom="0.7480314960629921" header="0.5118110236220472" footer="0.31496062992125984"/>
  <pageSetup fitToHeight="0" fitToWidth="1" horizontalDpi="600" verticalDpi="600" orientation="portrait" paperSize="9" scale="55" r:id="rId1"/>
  <headerFooter>
    <oddHeader>&amp;L8. melléklet a 1/2017.(II.24.) önkormányzati rendelethez
8. melléklet a 29/2015.(XII.18.)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 Titkárság</dc:creator>
  <cp:keywords/>
  <dc:description/>
  <cp:lastModifiedBy>zomborimonika</cp:lastModifiedBy>
  <cp:lastPrinted>2017-02-22T14:43:52Z</cp:lastPrinted>
  <dcterms:created xsi:type="dcterms:W3CDTF">2016-03-22T13:59:53Z</dcterms:created>
  <dcterms:modified xsi:type="dcterms:W3CDTF">2017-02-22T14:45:38Z</dcterms:modified>
  <cp:category/>
  <cp:version/>
  <cp:contentType/>
  <cp:contentStatus/>
</cp:coreProperties>
</file>