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295" windowHeight="6255" activeTab="0"/>
  </bookViews>
  <sheets>
    <sheet name="1.sz. melléklet" sheetId="1" r:id="rId1"/>
    <sheet name="1.a1.b. melléklet" sheetId="2" r:id="rId2"/>
    <sheet name="2. sz. melléklet" sheetId="3" r:id="rId3"/>
    <sheet name="3.sz. melléklet" sheetId="4" r:id="rId4"/>
    <sheet name="4. sz. melléklet" sheetId="5" r:id="rId5"/>
    <sheet name="5. sz. melléklet" sheetId="6" r:id="rId6"/>
    <sheet name="6. sz. melléklet" sheetId="7" r:id="rId7"/>
    <sheet name="7. sz. melléklet" sheetId="8" r:id="rId8"/>
    <sheet name="8. sz. melléklet" sheetId="9" r:id="rId9"/>
    <sheet name="9. sz. melléklet" sheetId="10" r:id="rId10"/>
    <sheet name="10. sz. melléklet" sheetId="11" r:id="rId11"/>
    <sheet name="11. sz. melléklet" sheetId="12" r:id="rId12"/>
    <sheet name="12. sz. melléklet" sheetId="13" r:id="rId13"/>
  </sheets>
  <definedNames/>
  <calcPr fullCalcOnLoad="1"/>
</workbook>
</file>

<file path=xl/sharedStrings.xml><?xml version="1.0" encoding="utf-8"?>
<sst xmlns="http://schemas.openxmlformats.org/spreadsheetml/2006/main" count="1477" uniqueCount="798">
  <si>
    <t xml:space="preserve"> - Szent Kereszt Plébánia Hivatalnak a Tatai Római Katolikus Templom toronysüvegeinek felújítására</t>
  </si>
  <si>
    <t xml:space="preserve"> - Tatai Városkapu Zrt.-nek az intézmények energiaracionalizálása pályázattal kapcs. költségekre</t>
  </si>
  <si>
    <t xml:space="preserve"> - Vértes Volán Zrt.-nek felhalm. célú pénzeszközátadás</t>
  </si>
  <si>
    <t xml:space="preserve"> - Jenő malom megvásárlása</t>
  </si>
  <si>
    <t xml:space="preserve"> - Tatai Ipari Park és Logisztikai Kft. jegyzett tőke emelés</t>
  </si>
  <si>
    <t xml:space="preserve"> - Eötvös Gimnázium főépületének infrasuktúrális fejlesztése - pályázati önerő</t>
  </si>
  <si>
    <t xml:space="preserve"> - Fáklya u. felújítása - pályázati önerő KDOP-2009-4.2.1B</t>
  </si>
  <si>
    <t xml:space="preserve"> - Eötvös J. Gimnázium infrastuktúrális felújítása (pályázati előkészítés)</t>
  </si>
  <si>
    <t>Ebből: - Lakáscélra (szociális 6.000 E Ft, munkáltatói 2.500 E Ft)</t>
  </si>
  <si>
    <t xml:space="preserve">Kölcsön </t>
  </si>
  <si>
    <t xml:space="preserve"> - Víz-Zene-Virág Fesztivál Egyesület</t>
  </si>
  <si>
    <t xml:space="preserve"> - Tatai Fényes Fürdő Kft</t>
  </si>
  <si>
    <t xml:space="preserve">Kölcsönvisszatérülés </t>
  </si>
  <si>
    <t xml:space="preserve"> - Víz-Zene-Virág Fesztivál</t>
  </si>
  <si>
    <t xml:space="preserve">Kölcsön nyújtásra </t>
  </si>
  <si>
    <t xml:space="preserve"> - Víz-Zene-Virág Fesztiválhoz </t>
  </si>
  <si>
    <t xml:space="preserve"> - Tatai Fényes Fürdő Kft. </t>
  </si>
  <si>
    <t>2009. év</t>
  </si>
  <si>
    <t xml:space="preserve"> - P.H. bútorbeszerzés (a felújított irodákba)</t>
  </si>
  <si>
    <t xml:space="preserve"> - Mansbarth Antal emléktábla</t>
  </si>
  <si>
    <t xml:space="preserve"> - Mindszenty tér 16. csapadékcsatorna</t>
  </si>
  <si>
    <t>Önkormányzati saját hatáskörben adott természetbeni ellátás</t>
  </si>
  <si>
    <t xml:space="preserve"> -- Tatai Kenderke Alapítvány</t>
  </si>
  <si>
    <t xml:space="preserve"> -- Tatai Mecénás Közalapítvány</t>
  </si>
  <si>
    <t xml:space="preserve"> - Választás - Szilágyi Ottó munkabére ÉGÁZ-DÉGÁZ</t>
  </si>
  <si>
    <t xml:space="preserve"> -- Tatai Kenderke Néptánc Egyesület</t>
  </si>
  <si>
    <t xml:space="preserve"> -- Magyary Zoltán Népfőiskolai Társaság</t>
  </si>
  <si>
    <t>Európai Parlamenti választás</t>
  </si>
  <si>
    <t>Előző évi pénzmaradvány átadása</t>
  </si>
  <si>
    <t>Mindösszesen</t>
  </si>
  <si>
    <t>Kiegyenlítő - függő - átfutó</t>
  </si>
  <si>
    <t xml:space="preserve"> - egyéb tárgyi eszköz értékesítés</t>
  </si>
  <si>
    <t>Előző évi visszatérítés</t>
  </si>
  <si>
    <t>Működési célra átvett pénzeszköz</t>
  </si>
  <si>
    <t>Fényes-fürdő Kft-nek nyújtott tagi kölcsön és a kamat eredménytartalékba helyezése</t>
  </si>
  <si>
    <t xml:space="preserve"> - Fényes-fürdő Kft-nek nyújtott tagi kölcsön és a kamat eredménytartalékba helyezése</t>
  </si>
  <si>
    <t>MS Közalapítvány megszűnése miatti számla egyenleg utalása</t>
  </si>
  <si>
    <t>Nemzetközi Visegrádi Alaptól</t>
  </si>
  <si>
    <t>Befektetési célú értékpapír értékesítés</t>
  </si>
  <si>
    <t>Ifj. referens bérére Szoc. és Munkaügyi Minisztérium</t>
  </si>
  <si>
    <t>Forgatási célú értékpapír értékesítés</t>
  </si>
  <si>
    <t>Egyéb tárgyi eszköz értékesítés</t>
  </si>
  <si>
    <t>Befektetési célú értékpapír értékesítése</t>
  </si>
  <si>
    <t>2009. évi áthúzódó bevétel (Hosszú és rövid lejáratú Magyar Államkötvény, Diszkontkincstárjegy)</t>
  </si>
  <si>
    <t>Központosított támogatás</t>
  </si>
  <si>
    <t>Kőkúti Általános Iskola</t>
  </si>
  <si>
    <t>Menner B. Zeneiskola</t>
  </si>
  <si>
    <t>Kötvénykibocsátásból rendelkezésre álló fejlesztési forrás felhasználás (E Ft-ban)</t>
  </si>
  <si>
    <t xml:space="preserve"> - Déli Ipari park feltáró út </t>
  </si>
  <si>
    <t>EU Parlementi választás</t>
  </si>
  <si>
    <t>853 136</t>
  </si>
  <si>
    <t>Gyermek- és ifjúságvédelmi feladatok</t>
  </si>
  <si>
    <t>Beruházási feladatok összesen:</t>
  </si>
  <si>
    <t>Felújítási feladatok összesen:</t>
  </si>
  <si>
    <t xml:space="preserve">Előző évi visszatérülés, pénzmaradvány átvétel </t>
  </si>
  <si>
    <t>Dologi kiadások és egyéb folyó kiadás (kamat nélkül)</t>
  </si>
  <si>
    <t xml:space="preserve">Intézmények Gazdasági Hivatala </t>
  </si>
  <si>
    <t>Rendelkezésre állási támogatás</t>
  </si>
  <si>
    <t xml:space="preserve"> - Szent Kereszt Plébánia Hivatalnak a Tatai Római Katolikus Templom toronysüvegeinek felújítására kötvényből</t>
  </si>
  <si>
    <t>Mód.(X.28.)</t>
  </si>
  <si>
    <t>Tata Város Önkormányzatának 2009. évi bevételei forrásonként ( E Ft-ban)</t>
  </si>
  <si>
    <t>2009. évi működési célú bevételek és kiadások mérlege (E Ft-ban)</t>
  </si>
  <si>
    <t>2009. évi fejlesztési célú bevételek és kiadások mérlege (E Ft-ban)</t>
  </si>
  <si>
    <t xml:space="preserve"> Tata Város Önkormányzatának 2009.évi pénzforgalmi mérlege (E Ft-ban)</t>
  </si>
  <si>
    <t xml:space="preserve">Tata Város Önkormányzatának 2009. évi költségvetési kiadásai </t>
  </si>
  <si>
    <t>Polgármesteri Hivatal 2009. évi költségvetési terve (szakfeladatok és kiemelt előirányzatok szerinti bontásban)</t>
  </si>
  <si>
    <t>2009. évi beruházási kiadások feladatonként (ÁFA-val)</t>
  </si>
  <si>
    <t>Tata Város Önkormányzata által folyósított 2009. évi ellátások alakulásának részletezése</t>
  </si>
  <si>
    <t>Pénzeszközátadások, támogatások 2009. évi előirányzata (E Ft-ban)</t>
  </si>
  <si>
    <t>2009. évi alakulása (E Ft-ban)</t>
  </si>
  <si>
    <t>Realizált árfolyam nyereség</t>
  </si>
  <si>
    <t>Kamatbevétel kötvényből</t>
  </si>
  <si>
    <t>Választókerületi keret</t>
  </si>
  <si>
    <t>Felhalmozási célú pénzeszközátadások és támogatások:</t>
  </si>
  <si>
    <t>Működési célú pénzeszközátadások és támogatások a Polgármesteri Hivatalnál:</t>
  </si>
  <si>
    <t>támogatásértékű bevételei és államháztartáson kívülről átvett pénzeszközeinek</t>
  </si>
  <si>
    <t xml:space="preserve">E Ft-ban </t>
  </si>
  <si>
    <t xml:space="preserve"> - lakbér</t>
  </si>
  <si>
    <t xml:space="preserve"> - támogatás értékű működési bevételek</t>
  </si>
  <si>
    <t xml:space="preserve"> - támogatás értékű felhalmozási bevételek</t>
  </si>
  <si>
    <t>Adósságkezelési szolgáltatással kapcsolatos támogatás</t>
  </si>
  <si>
    <t xml:space="preserve"> - Szociális gyermekjóléti és egészségvédelmi pályázatokra </t>
  </si>
  <si>
    <t xml:space="preserve"> - Kulturális pályázatokra</t>
  </si>
  <si>
    <t xml:space="preserve"> - Művészeti Iskola támogatása - Református Egyház, Kenderke</t>
  </si>
  <si>
    <t xml:space="preserve"> - Concerto Kht. támogatása</t>
  </si>
  <si>
    <t xml:space="preserve"> - Környezetvédelmi támogatásra</t>
  </si>
  <si>
    <t>Közlekedési támogatás tanulóknak</t>
  </si>
  <si>
    <t>Kölcsön visszatérülés(lakástám.,szoc+munkált., Távhő, egyéb)</t>
  </si>
  <si>
    <t>Újhegy ivóvízellátás fejlesztéshez közműfejlesztési hozzájárulás</t>
  </si>
  <si>
    <t xml:space="preserve"> - Tatabányai Tűzoltóság eszközfejlesztésére</t>
  </si>
  <si>
    <t xml:space="preserve"> - Barokk Fesztivál</t>
  </si>
  <si>
    <t xml:space="preserve"> - TIT KEM Egyesület támogatása</t>
  </si>
  <si>
    <t xml:space="preserve"> - Pötörke Népművészeti Egyesület</t>
  </si>
  <si>
    <t xml:space="preserve"> - Tatai Televízió Közalapítvány felhalmozási célú támogatása</t>
  </si>
  <si>
    <t>Házi segítségnyújtás előtti szakértői vizsgálatra</t>
  </si>
  <si>
    <t xml:space="preserve"> - működési célra átvett pénzeszköz</t>
  </si>
  <si>
    <t xml:space="preserve"> -- Késedelmi pótlék</t>
  </si>
  <si>
    <t xml:space="preserve"> - Intézményi saját bevétel </t>
  </si>
  <si>
    <t>Tardostól zenei alapfokú oktatáshoz</t>
  </si>
  <si>
    <t>Erdeti</t>
  </si>
  <si>
    <t xml:space="preserve"> - központosított támogatás - kisebbségi önkormányzatoknak</t>
  </si>
  <si>
    <t xml:space="preserve"> - Kuny Domokos Múzeum támogatása (ebből Zsinagóga körüli parkra 300 E Ft)</t>
  </si>
  <si>
    <t>E Ft-ban</t>
  </si>
  <si>
    <t xml:space="preserve"> - ÁFA bevételek, visszatérülés</t>
  </si>
  <si>
    <t xml:space="preserve"> - kamatbevételek</t>
  </si>
  <si>
    <t>Intézm. működ. bevételei összesen</t>
  </si>
  <si>
    <t xml:space="preserve"> - átengedett SZJA</t>
  </si>
  <si>
    <t xml:space="preserve"> - gépjárműadó</t>
  </si>
  <si>
    <t xml:space="preserve"> - termőföld bérbeadásából SZJA</t>
  </si>
  <si>
    <t>Működési bevételek összesen</t>
  </si>
  <si>
    <t xml:space="preserve"> - földterület értékesítés</t>
  </si>
  <si>
    <t xml:space="preserve"> - normatív állami hozzájárulás</t>
  </si>
  <si>
    <t>Bevételek Mindösszesen:</t>
  </si>
  <si>
    <t>Felhalm. és tőkejellegű bevétel össz.</t>
  </si>
  <si>
    <t>Bevételek</t>
  </si>
  <si>
    <t xml:space="preserve">8.sz. melléklet </t>
  </si>
  <si>
    <t>Időskorúak járadéka</t>
  </si>
  <si>
    <t>Köztemetés</t>
  </si>
  <si>
    <t>Közgyógyellátás</t>
  </si>
  <si>
    <t>9. sz. melléklet</t>
  </si>
  <si>
    <t>(E Ft-ban)</t>
  </si>
  <si>
    <t xml:space="preserve"> - egyéb ingatlan értékesítés</t>
  </si>
  <si>
    <t xml:space="preserve"> - Juniorka Óvoda alapítványi támogatása</t>
  </si>
  <si>
    <t xml:space="preserve"> - Tanulmányi ösztöndíjra (Mecénás közalap, Bursa Hungarica)</t>
  </si>
  <si>
    <t xml:space="preserve"> - Színes Iskola támogatása</t>
  </si>
  <si>
    <t xml:space="preserve"> - Juniorka Bölcsőde támogatása</t>
  </si>
  <si>
    <t xml:space="preserve"> - Vöröskereszt tatai szervezetének támogatása</t>
  </si>
  <si>
    <t xml:space="preserve"> - Polgárőr Egyesület támogatása</t>
  </si>
  <si>
    <t xml:space="preserve"> - Víz - Zene - Virág Fesztivál Egyesület támogatása</t>
  </si>
  <si>
    <t xml:space="preserve"> - Lakáscélú szociális támogatás végleges jelleggel</t>
  </si>
  <si>
    <t xml:space="preserve"> - Talajterhelési díj</t>
  </si>
  <si>
    <t>Önk. Sajátos működ. bev. összesen</t>
  </si>
  <si>
    <t>Önk.költségvetési támogatás össz.</t>
  </si>
  <si>
    <t>2. sz. melléklet</t>
  </si>
  <si>
    <t>6. sz. melléklet</t>
  </si>
  <si>
    <t>7. sz. melléklet</t>
  </si>
  <si>
    <t xml:space="preserve"> - Máltai Szeretetszolgálat támogatása</t>
  </si>
  <si>
    <t>Mód.(V.27.)</t>
  </si>
  <si>
    <t xml:space="preserve"> - működési célú tartalék- lemondásra kerülő állami hozzájárulás</t>
  </si>
  <si>
    <t>Önkormányzati költségvetési szervek engedélyezett álláshelyeinek száma</t>
  </si>
  <si>
    <t xml:space="preserve"> - működési céltartalék THAC kézilabda </t>
  </si>
  <si>
    <t xml:space="preserve"> - felhalmozási célútartalék - elővásárlási jog érv.</t>
  </si>
  <si>
    <t xml:space="preserve"> - működési céltartalék</t>
  </si>
  <si>
    <t xml:space="preserve"> - működési céltartalék - THAC kézilabda szakosztály</t>
  </si>
  <si>
    <t>Finanszírozási kiadások összesen:</t>
  </si>
  <si>
    <t>Bevételek összesen:</t>
  </si>
  <si>
    <t xml:space="preserve"> - működési célútartalék áll. tám. lemondási kötel.miatt</t>
  </si>
  <si>
    <t xml:space="preserve"> - fejl.célú tartalék elővásárlási jog érv.</t>
  </si>
  <si>
    <t xml:space="preserve">Fejlesztési célú tartalék - elővásárlási jog érv. </t>
  </si>
  <si>
    <t>Működési céltartalék THAC kézilabda szakosztály</t>
  </si>
  <si>
    <t>Fazekas u. Tagintézmény</t>
  </si>
  <si>
    <t>221 214</t>
  </si>
  <si>
    <t>Saját vagy bérelt ingatlan hasznosítása (Agostyáni 1-3., egyéb)</t>
  </si>
  <si>
    <t>"Gyermekbarát város" kiadásai</t>
  </si>
  <si>
    <t>Iparosított tech.lakások felújítása, ÖKO program, NEP pályázatok támogatása</t>
  </si>
  <si>
    <t>Visszafizetés kötvény tartalékba</t>
  </si>
  <si>
    <t>Óvodai nevelés: Juniorka Óvoda tám., Bartók Óvoda bővítés</t>
  </si>
  <si>
    <t xml:space="preserve"> - Rügy u., Kakas u. árokburkolat helyreállítás (vis maior)</t>
  </si>
  <si>
    <t xml:space="preserve"> - Rügy u. burkolatfelújítási munkák 0150; 0115 hrsz (vis maior)</t>
  </si>
  <si>
    <t xml:space="preserve"> - Újhegyi úti vízfolyás Munkácsy u. akna átépítése</t>
  </si>
  <si>
    <t>Iskolás korúak Ált. iskolai oktatása (tám., Kőkúti Isk. uszoda)</t>
  </si>
  <si>
    <t>853 266</t>
  </si>
  <si>
    <t xml:space="preserve">Városi Diákönkormányzat </t>
  </si>
  <si>
    <t>Intézmények energiaracionalizálása</t>
  </si>
  <si>
    <t>Állami támogatás lemondási kötelezettség miatti tartalék</t>
  </si>
  <si>
    <t xml:space="preserve">Pénzügyi befektetés (kötvény) </t>
  </si>
  <si>
    <t>Egyes jöv. pótló tám. kieg. 72.870 E Ft, közcélú támog. 15.000 E Ft</t>
  </si>
  <si>
    <t>Egyes jöv.pótló támog. Kiegészítése, közcélú foglal.</t>
  </si>
  <si>
    <t>Helyi adók és gépjárműadó 10 %-a</t>
  </si>
  <si>
    <t>Központosított támogatás TEUT pályázat</t>
  </si>
  <si>
    <t xml:space="preserve">Pénzügyi befektetés kötvényből </t>
  </si>
  <si>
    <t xml:space="preserve">Céltartalék </t>
  </si>
  <si>
    <t xml:space="preserve"> - fejl.célú tartalék kötvényből</t>
  </si>
  <si>
    <t>Felhalmozási célú bérbeadás (koncesszió 38 M, Vízmű)</t>
  </si>
  <si>
    <t xml:space="preserve">         -Talajterhelési díj</t>
  </si>
  <si>
    <t>általános tartalék</t>
  </si>
  <si>
    <t>céltartalékok:</t>
  </si>
  <si>
    <t>Céltartalékok:</t>
  </si>
  <si>
    <t xml:space="preserve"> - lakossági</t>
  </si>
  <si>
    <t xml:space="preserve"> - munkáltatói</t>
  </si>
  <si>
    <t xml:space="preserve">4.sz. melléklet                 </t>
  </si>
  <si>
    <t>E. Ft-ban</t>
  </si>
  <si>
    <t>Önkorm. feladatokra nem tervezhető elszám.</t>
  </si>
  <si>
    <t>751 889</t>
  </si>
  <si>
    <t>Hiteltörlesztés, kamat, kezességvállalás</t>
  </si>
  <si>
    <t>Polgármesteri Hivatal feladatainak költségvetése összesen:</t>
  </si>
  <si>
    <t>Német Kisebbségi Önkormányzat</t>
  </si>
  <si>
    <t>Lengyel Kisebbségi Önkormányzat</t>
  </si>
  <si>
    <t>Cigány Kisebbségi Önkormányzat</t>
  </si>
  <si>
    <t>Kisebbségi Önkormányzatok összesen</t>
  </si>
  <si>
    <t>Játszóterek fenntartása</t>
  </si>
  <si>
    <t>Tűzvédelem, közbiztonsági feladatok</t>
  </si>
  <si>
    <t>Egészségügyi feladatok</t>
  </si>
  <si>
    <t>Gyámhivatal hivatásos gondnok díja</t>
  </si>
  <si>
    <t>Szociális ellátás (támogatások)</t>
  </si>
  <si>
    <t>Kulturális feladatok</t>
  </si>
  <si>
    <t>Tatai Televizió kiadásai</t>
  </si>
  <si>
    <t>Bevétel</t>
  </si>
  <si>
    <t>Rendszeres gyermekvédelmi pénzbeli ell.</t>
  </si>
  <si>
    <t>Rendszeres szociális pénzbeni ellátások</t>
  </si>
  <si>
    <t>Kistérségi Többcélú Társulás</t>
  </si>
  <si>
    <t>Eseti pénzbeni szociális ellátások</t>
  </si>
  <si>
    <t>Munkanélküliek szociális segélyezése</t>
  </si>
  <si>
    <t>Eseti pénzbeli gyermekvédelmi ellátás</t>
  </si>
  <si>
    <t>Egyéb ingatlan értékesítés</t>
  </si>
  <si>
    <t>Egyéb ingatlanértékesítés</t>
  </si>
  <si>
    <t>Rövid lejáratú hiteltörlesztés</t>
  </si>
  <si>
    <t>751 966</t>
  </si>
  <si>
    <t>801 115</t>
  </si>
  <si>
    <t>801 214</t>
  </si>
  <si>
    <t>851 967</t>
  </si>
  <si>
    <t>751 856</t>
  </si>
  <si>
    <t>751 669</t>
  </si>
  <si>
    <t>751 670</t>
  </si>
  <si>
    <t>751 791</t>
  </si>
  <si>
    <t>751 834</t>
  </si>
  <si>
    <t>751 845</t>
  </si>
  <si>
    <t>852 018</t>
  </si>
  <si>
    <t>853 311</t>
  </si>
  <si>
    <t>853 344</t>
  </si>
  <si>
    <t>901 116</t>
  </si>
  <si>
    <t>902 113</t>
  </si>
  <si>
    <t>924 047</t>
  </si>
  <si>
    <t>926 018</t>
  </si>
  <si>
    <t>751 153</t>
  </si>
  <si>
    <t>702 012</t>
  </si>
  <si>
    <t>701 015</t>
  </si>
  <si>
    <t>631 211</t>
  </si>
  <si>
    <t>452 025</t>
  </si>
  <si>
    <t>020 215</t>
  </si>
  <si>
    <t>930 910</t>
  </si>
  <si>
    <t>930 921</t>
  </si>
  <si>
    <t>Beruházási célra átvett pénzeszköz</t>
  </si>
  <si>
    <t>Köztemető fenntartási feladatok</t>
  </si>
  <si>
    <t>Felújítás ( ÁFA-val )</t>
  </si>
  <si>
    <t>( kiemelt előirányzatok szerinti részletezésben ) E Ft-ban</t>
  </si>
  <si>
    <t>Szivárvány Óvoda</t>
  </si>
  <si>
    <t>Piros Óvoda</t>
  </si>
  <si>
    <t>Új úti Bölcsőde</t>
  </si>
  <si>
    <t>Kölcsönnyújtás összesen</t>
  </si>
  <si>
    <t>Kölcsönnyújtás ( lakás támog. szoc + munk.)</t>
  </si>
  <si>
    <t>TEUT támogatás</t>
  </si>
  <si>
    <t>Kiegyenlítő, függő, átfutó</t>
  </si>
  <si>
    <t>Előző évi pénzmaradvány átvétele</t>
  </si>
  <si>
    <t>Kiadások mindösszesen:</t>
  </si>
  <si>
    <t>Bevételek mindösszesen:</t>
  </si>
  <si>
    <t xml:space="preserve">Kiegészülések, visszatérülések </t>
  </si>
  <si>
    <t>Finanszírozási bevételek:</t>
  </si>
  <si>
    <t xml:space="preserve"> - Idegenforgalmi feladatok</t>
  </si>
  <si>
    <t>Felhalmozási célra átvett pénzeszközök</t>
  </si>
  <si>
    <t>Támog. értékű bevételek összesen:</t>
  </si>
  <si>
    <t>Hiteltörlesztés - hosszú lejáratú</t>
  </si>
  <si>
    <t>Eü. műk. TB támogatása</t>
  </si>
  <si>
    <t xml:space="preserve"> - felhalmozási céltartalék - kötvényből</t>
  </si>
  <si>
    <t xml:space="preserve"> - felhalmozási céltartalék - egyéb feladatokra</t>
  </si>
  <si>
    <t xml:space="preserve"> - fejl.célú tartalék egyéb feladatokra</t>
  </si>
  <si>
    <t>Felhalmozási céltartalék - egyéb feladatokra</t>
  </si>
  <si>
    <t>Kölcsön visszatérülés (lakástámogatás 11 M Ft, Távhő 41 M Ft,             Víz-Zene-Virág Fesztivál 2 M Ft, Fényes Fürdő Kft. 5 M Ft)</t>
  </si>
  <si>
    <t>Felhalmozási céltartalék - kötvényből pü. befektetés</t>
  </si>
  <si>
    <t>Mód.(XII.16.)</t>
  </si>
  <si>
    <t>Fényes Fürdő tagi kölcsön átminősítés</t>
  </si>
  <si>
    <t xml:space="preserve">Fényes-fürdő tagi kölcsön átminősítés </t>
  </si>
  <si>
    <t>ÁROP pályázat</t>
  </si>
  <si>
    <t>"Kihiváok hét keretében" pályázat</t>
  </si>
  <si>
    <t>Gyermekbarát Városra pályázati támogatás</t>
  </si>
  <si>
    <t>Minimarathon pályázat</t>
  </si>
  <si>
    <t>Kábítószeres pályázat</t>
  </si>
  <si>
    <t>Intézmények energiaracionalizálása pályázat</t>
  </si>
  <si>
    <t>Bartók Béla utcai Óvoda pályázat</t>
  </si>
  <si>
    <t xml:space="preserve">Gyermekbarát Városra </t>
  </si>
  <si>
    <t>Pénzügyi befektetésből - működésre átforgatva</t>
  </si>
  <si>
    <t>Pénzügyi befektetés (kötvényből) kamata</t>
  </si>
  <si>
    <t>Tatai Fényes-fürdő Kft. tagi kölcsön kamat</t>
  </si>
  <si>
    <t>Tatai Fényes-fürdő Kft. részére tagi kölcsön átminősítése</t>
  </si>
  <si>
    <t>HUSK pályázat</t>
  </si>
  <si>
    <t xml:space="preserve"> - Képviselői keretből megvalósuló felújítások</t>
  </si>
  <si>
    <t xml:space="preserve">  -- Gesztenye fasor 35. melletti játszótér körbekerítése (Borsó Tibor keretéből)</t>
  </si>
  <si>
    <t xml:space="preserve">  -- Gesztenye fasor 45. játszótér rendezése (Borsó Tibor keretéből)</t>
  </si>
  <si>
    <t xml:space="preserve">  -- Bacsó B. u. járda felújítás (Dr. Czunyi Zoltán keretéből)</t>
  </si>
  <si>
    <t xml:space="preserve">  -- Erzsébet tér parkfelújítás (Kaszál József keretéből)</t>
  </si>
  <si>
    <t xml:space="preserve">  -- Toldi M. u. járda felújítás (Kovács Attila keretéből 1.000 EFt)</t>
  </si>
  <si>
    <t xml:space="preserve">  -- Bajcsy Zs. u.-Lovassy u. közötti köz, Agostyáni u. 11 előtti járda, Május 1. u. 5-17 végében járda felúj. (dr. Varga András keretéből)</t>
  </si>
  <si>
    <t xml:space="preserve">  -- Agostyáni u. - Bacsó B. u. sarkán lévő játszótér bekerítése (dr. Varga András keretéből)</t>
  </si>
  <si>
    <t xml:space="preserve">  -- Agostyán, templom padfűtés és villanyszerelési munkák (Dr. Pethő Emil keretéből)</t>
  </si>
  <si>
    <t xml:space="preserve"> - Lengyel Kisebbség - Magyarországi Bem József Lengyel Kulturális Egyesület támogatása</t>
  </si>
  <si>
    <t xml:space="preserve"> - Corvinus Egyetem Kert- és Szabadtér tervezési Tanszéke</t>
  </si>
  <si>
    <t xml:space="preserve"> -- Kuny Domokos Megyei Múzeum </t>
  </si>
  <si>
    <t xml:space="preserve"> -- Magyar Vöröskereszt KEM szervezete</t>
  </si>
  <si>
    <t xml:space="preserve"> -- Tatai Sárkányhajó és Természetjáró Egyesület</t>
  </si>
  <si>
    <t xml:space="preserve"> -- Lengyel - Cigány és Német Kisebbségi Önkormányzat</t>
  </si>
  <si>
    <t xml:space="preserve"> -- NIFFAN Bt.</t>
  </si>
  <si>
    <t xml:space="preserve"> -- DK. Digitális Kommunikáció Közhasznú Nonprofit Kft.</t>
  </si>
  <si>
    <t xml:space="preserve"> -- Arspoetica Consult Bt. </t>
  </si>
  <si>
    <t xml:space="preserve"> -- Tatai Honvéd Bajtársi Klub</t>
  </si>
  <si>
    <t xml:space="preserve"> -- Tatai Távhőszolgáltató Kft-nek - Gesztenyefasori kazánház felújítása</t>
  </si>
  <si>
    <t xml:space="preserve">  -- Május 1. u. 30. előtti parkoló felújítás (Robozné Schönfeld Zsuzsanna keretéből)</t>
  </si>
  <si>
    <t xml:space="preserve"> - Magyary Zoltán Művelődési Központ felújítási munkáira</t>
  </si>
  <si>
    <t xml:space="preserve"> - Dózsa Gy. u. - József A. u. felújítási tervek</t>
  </si>
  <si>
    <t xml:space="preserve"> - Helységek felújítás (szociális helység, krónikus belgyógy konyha, rendelő, központi fűtés a rendelőben, vizesblokk a belgyógyászaton)</t>
  </si>
  <si>
    <t>Kálvária u. Óvoda - tetőfelújítás</t>
  </si>
  <si>
    <t>Kertvárosi Óvoda - villanyhálózat, központi fűtés, padozat csere, kerítés és kapu, védőszönyeg udvari játékok alá, fűves sportpálya</t>
  </si>
  <si>
    <t>Piros Óvoda - mosdók, szennyvízcső csere, esővízelvezető cső, kerítés</t>
  </si>
  <si>
    <t>Bergengócia Óvoda - tetőfelújítás, homlokzat</t>
  </si>
  <si>
    <t>Új Úti Bölcsőde - fürdő, mosdó blokk felújítás, parketta csere</t>
  </si>
  <si>
    <t>Vaszary J. Általános Iskola - vizesblokk felújítás, tetőfelújítás, oromfal visszabontás</t>
  </si>
  <si>
    <t>Kőkúti Általános Iskola - vizesblokk felújítása</t>
  </si>
  <si>
    <t xml:space="preserve"> - Képvieslői keretből megvalósuló beruházások</t>
  </si>
  <si>
    <t xml:space="preserve">  -- Környei út vízelvezetés tervezés (Dinga László keretéből)</t>
  </si>
  <si>
    <t xml:space="preserve">  -- Pálóczi H. Á. u. parkolók tervezése (Gerébi Ákos keretéből)</t>
  </si>
  <si>
    <t xml:space="preserve"> - Gyermekbarát város mintaprojekt  - tárgyi eszköz beszerzés</t>
  </si>
  <si>
    <t xml:space="preserve"> - Kossuth tér rehabilitációja KDOP-2009-3.1.1./A pályázati előkészítés, Kossuth tér 10. átalakítási munkái a pályázathoz kapcsolódóan</t>
  </si>
  <si>
    <t xml:space="preserve"> - Jávorka iskola mögötti terület hasznosításának előkészítésére</t>
  </si>
  <si>
    <t xml:space="preserve"> - Csapadékcsatorna és úttelek vásárlása 460/89 hrsz, 460/111 hrsz</t>
  </si>
  <si>
    <t xml:space="preserve"> - Deák F. u.-i szoc. Alapellátó infrastuktúrális fejlesztése pályázat előkészítése pályázat előkészítés</t>
  </si>
  <si>
    <t xml:space="preserve"> - Új u-i bölcsöde infrastuktúrális fejlesztése pályázat előkészítés</t>
  </si>
  <si>
    <t xml:space="preserve"> - Fényes-fürdő Kft. adott kölcsön és kamat eredménytartalékba helyezés</t>
  </si>
  <si>
    <t xml:space="preserve"> - Bartók B. u-i Óvoda - tárgyi eszköz vásárlás</t>
  </si>
  <si>
    <t xml:space="preserve"> - Új u-i Bölcsöde</t>
  </si>
  <si>
    <t xml:space="preserve"> - Vaszary J. Ált. Iskola - számítógép vásárlás</t>
  </si>
  <si>
    <t xml:space="preserve"> - Kőkúti Általános Iskola - számítógép vásárlás</t>
  </si>
  <si>
    <t xml:space="preserve"> - Menner B. Zeneiskola - eszközbeszerzés</t>
  </si>
  <si>
    <t xml:space="preserve"> - Móricz Zs. könyvtár - informatikai eszközök beszerzése</t>
  </si>
  <si>
    <t xml:space="preserve"> </t>
  </si>
  <si>
    <t>Intézmények energiaracionalizálása című projekt kapcsán megérkezett támogatási előleg</t>
  </si>
  <si>
    <t>Bartók B.úti Óvoda bővítése című projekt kapcsán a megérkezett támogatási előleg</t>
  </si>
  <si>
    <t xml:space="preserve"> - Jávorka Sándor Mezőgazd.Szakközépisk.mögötti terület hasznosításának előkészítése</t>
  </si>
  <si>
    <t xml:space="preserve"> - Csapadékvíz-csatorna és úttelek vásárlás 460/89.hrsz, 460/111.hrsz.</t>
  </si>
  <si>
    <t xml:space="preserve"> - Szociális alapellátó pályázat előkészítés</t>
  </si>
  <si>
    <t xml:space="preserve"> - Új úti Bölcsőde infrastrukturális fejlesztési pályázat előkészítés</t>
  </si>
  <si>
    <t xml:space="preserve"> - Dózsa Gy. u.-József A. u. felújítási tervek elkészítése</t>
  </si>
  <si>
    <t xml:space="preserve"> - tatai Gesztenye fasori kazánház átalakítására (Tatai Távhőszolgáltató Kft.)</t>
  </si>
  <si>
    <t>Készfizető kezesség Tatai Távhő Kft. pénzügyi szoftver vásárlásához</t>
  </si>
  <si>
    <t>Az intézmények energiaracionalizálása tárgyú KEOP pályázat projektmenedzsment költségeire működési kiadás</t>
  </si>
  <si>
    <t>Hiteltörlesztés fejl.célú</t>
  </si>
  <si>
    <t>Szennyvízelvezetés</t>
  </si>
  <si>
    <t>Pénzeszköz átadás, támogatás:</t>
  </si>
  <si>
    <t>Eü működésre TB. Támogatás</t>
  </si>
  <si>
    <t>Működési célra támogatások</t>
  </si>
  <si>
    <t>Felhalmozási célra támogatások</t>
  </si>
  <si>
    <t>Szociális intézmények kialakítása (Diák F. u. 1. ingatlan, Idősek Klubja)</t>
  </si>
  <si>
    <t>Működési célra tám. pénzeszköz átvétele</t>
  </si>
  <si>
    <t xml:space="preserve">Előző évi pénzmaradvány </t>
  </si>
  <si>
    <t>Támogatás értékű átvételek felhalmozási célra</t>
  </si>
  <si>
    <t>Beruházási hitel törlesztés</t>
  </si>
  <si>
    <t>Erdőgazdálkodási szolgáltatás (kártevőírtás)</t>
  </si>
  <si>
    <t>751 867</t>
  </si>
  <si>
    <t>Árpád-házi Szent Erzsébet Szakkórház és Rendelőintézet</t>
  </si>
  <si>
    <t xml:space="preserve"> - Szociális Alapellátó Intézmény - jelzőrendszeres házi segítségnyújtó rendszer kialakítása, éjjeli menedékhely bővítés, betegszoba, gépkocsi vás.</t>
  </si>
  <si>
    <t xml:space="preserve"> -- Természetes Életmódért Alapítvány</t>
  </si>
  <si>
    <t xml:space="preserve"> -- Puedló Kft-nek könyvkiadásra</t>
  </si>
  <si>
    <t xml:space="preserve"> -- MAZSIHISZ Tatai Zsidó temető kerítéséhez</t>
  </si>
  <si>
    <t>Felhalmozási kiadások</t>
  </si>
  <si>
    <t>Eredeti</t>
  </si>
  <si>
    <t>Egyéb visszatérítendő támogatás</t>
  </si>
  <si>
    <t>Kölcsönvisszatérülés (Távhő, Városgazda Kht.)</t>
  </si>
  <si>
    <t>Egyéb központosított támogatás</t>
  </si>
  <si>
    <t>Egyéb központosított bevételek</t>
  </si>
  <si>
    <t xml:space="preserve">Eredeti </t>
  </si>
  <si>
    <t>ÁFA bevétel</t>
  </si>
  <si>
    <t>Dologi kiadás (beruházási hitelkamat és ÁFA nélkül)</t>
  </si>
  <si>
    <t>Kötvény kamata</t>
  </si>
  <si>
    <t>Települési hulladékok kezelése, köztisztaság</t>
  </si>
  <si>
    <t>Felhalmozási céltartalék - kötvényből pénzügyi befektetésre</t>
  </si>
  <si>
    <t>Pályázat figyelési feladatokra - Városkapu Zrt.</t>
  </si>
  <si>
    <t>Közterület-felügyelet</t>
  </si>
  <si>
    <t>Kötvénykibocsátás bevétele</t>
  </si>
  <si>
    <t>551 414</t>
  </si>
  <si>
    <t>Önkormányzat igazgatási tevékenysége</t>
  </si>
  <si>
    <t>751 878</t>
  </si>
  <si>
    <t>Állategészségügyi feladatok</t>
  </si>
  <si>
    <t>751164</t>
  </si>
  <si>
    <t xml:space="preserve">         -Egyéb sajátos bevételek (bérleti díj, lakbér, bírság)</t>
  </si>
  <si>
    <t>1. sz. melléklet</t>
  </si>
  <si>
    <t>Fejlesztési céltartalék kötvényből</t>
  </si>
  <si>
    <t>014034</t>
  </si>
  <si>
    <t xml:space="preserve"> - működési célú tartalék</t>
  </si>
  <si>
    <t>Működési céltartalék</t>
  </si>
  <si>
    <t>Központosított tám. - kisebbségi önkormányzatoknak</t>
  </si>
  <si>
    <t>Felhalmozási céltartalék pályázati önerőre</t>
  </si>
  <si>
    <t>Intézmények Gazdasági Hivatala</t>
  </si>
  <si>
    <t>Mindösszesen:</t>
  </si>
  <si>
    <t xml:space="preserve">3.sz.melléklet    </t>
  </si>
  <si>
    <t>Kiadások</t>
  </si>
  <si>
    <t>Összesen</t>
  </si>
  <si>
    <t>Személyi juttatások</t>
  </si>
  <si>
    <t>Munkaadót terh. járulékok</t>
  </si>
  <si>
    <t>Dologi kiadások</t>
  </si>
  <si>
    <t>Kamatkiadások</t>
  </si>
  <si>
    <t xml:space="preserve"> - működési célra</t>
  </si>
  <si>
    <t xml:space="preserve"> - felhalmozási célra</t>
  </si>
  <si>
    <t>Önk. által folyósított ellátás</t>
  </si>
  <si>
    <t>Ellátottak pénzbeli juttat.</t>
  </si>
  <si>
    <t>Beruházás ( ÁFA-val )</t>
  </si>
  <si>
    <t>Hiteltörlesztés</t>
  </si>
  <si>
    <t>Kiadások összesen:</t>
  </si>
  <si>
    <t>Bevételi előirányzat</t>
  </si>
  <si>
    <t>Kiadási előirányzat</t>
  </si>
  <si>
    <t xml:space="preserve">Működési bevételek </t>
  </si>
  <si>
    <t xml:space="preserve">       - Intézmények</t>
  </si>
  <si>
    <t xml:space="preserve">       - Polgármesteri Hivatal</t>
  </si>
  <si>
    <t>Önkormányzat sajátos működési bevétele</t>
  </si>
  <si>
    <t xml:space="preserve">        -Helyi adók</t>
  </si>
  <si>
    <t xml:space="preserve">        -Átengedett központi adók</t>
  </si>
  <si>
    <t xml:space="preserve">   - átengedett SZJA</t>
  </si>
  <si>
    <t xml:space="preserve">   - SZJA kiegészítés</t>
  </si>
  <si>
    <t xml:space="preserve">   - Gépjárműadó</t>
  </si>
  <si>
    <t xml:space="preserve">         -Földterület bérbeadásából származó szja.</t>
  </si>
  <si>
    <t>Önkorm. és int. működési bevételei összesen</t>
  </si>
  <si>
    <t>Beruházás</t>
  </si>
  <si>
    <t>Földterület értékesítés</t>
  </si>
  <si>
    <t>Hitelkamat</t>
  </si>
  <si>
    <t>Bérbeadásból felhalmozási bevétel</t>
  </si>
  <si>
    <t>Tartalékok</t>
  </si>
  <si>
    <t>Felhalmozási és tőkejellegű bev. összesen</t>
  </si>
  <si>
    <t>Normatív állami hozzájárulás</t>
  </si>
  <si>
    <t>Támogatás központi költségvetésből</t>
  </si>
  <si>
    <t>Előző évi pénzmaradvány</t>
  </si>
  <si>
    <t>Tartalék összesen:</t>
  </si>
  <si>
    <t xml:space="preserve">  1/a. melléklet   </t>
  </si>
  <si>
    <t>Működési bevétel</t>
  </si>
  <si>
    <t>Személyi juttatás</t>
  </si>
  <si>
    <t>Járulékok</t>
  </si>
  <si>
    <t>Pénzeszköz  átadás, támogatás</t>
  </si>
  <si>
    <t>Szociális támogatás műk.</t>
  </si>
  <si>
    <t>Ellátottak pénzbeli juttatása</t>
  </si>
  <si>
    <t>Összesen:</t>
  </si>
  <si>
    <t xml:space="preserve">1/b. melléklet                       </t>
  </si>
  <si>
    <t>Felújítás</t>
  </si>
  <si>
    <t>Fejl. célú pe. átadás</t>
  </si>
  <si>
    <t>Beruházási hitel kamat</t>
  </si>
  <si>
    <t>Kölcsön visszatérülések</t>
  </si>
  <si>
    <t>Megnevezés</t>
  </si>
  <si>
    <t>Kiadás</t>
  </si>
  <si>
    <t>Működési kiadások</t>
  </si>
  <si>
    <t>Dologi</t>
  </si>
  <si>
    <t>Parkfenntartási feladatok</t>
  </si>
  <si>
    <t>Helyi közutak létesítése</t>
  </si>
  <si>
    <t>Üdültetés</t>
  </si>
  <si>
    <t>Közutak, hidak üzemeltetése</t>
  </si>
  <si>
    <t>Lakásgazdálkodás</t>
  </si>
  <si>
    <t>Közhasznú foglalkoztatás</t>
  </si>
  <si>
    <t>Polgári védelem</t>
  </si>
  <si>
    <t>Vízkárelhárítás</t>
  </si>
  <si>
    <t>Környezet és természetvédelmi feladatok</t>
  </si>
  <si>
    <t xml:space="preserve"> - Város és községgazdálkodás</t>
  </si>
  <si>
    <t xml:space="preserve"> - Építés és településfejlesztés</t>
  </si>
  <si>
    <t>Települési vízellátás</t>
  </si>
  <si>
    <t>Közvilágítás</t>
  </si>
  <si>
    <t>Csapadékvízelvezetés</t>
  </si>
  <si>
    <t xml:space="preserve">Sportcélok és feladatok </t>
  </si>
  <si>
    <t>Fürdő és strandszolg.</t>
  </si>
  <si>
    <t>Társadalmi és családi ünnepek</t>
  </si>
  <si>
    <t>Testvérvárosi feladatok kialakítása</t>
  </si>
  <si>
    <t>Fizetendő ÁFA</t>
  </si>
  <si>
    <t>Kisebbségi Önkormányzatok</t>
  </si>
  <si>
    <t>Fürdő utcai Óvoda</t>
  </si>
  <si>
    <t>Kálvária utcai Óvoda</t>
  </si>
  <si>
    <t>Kuckó Óvoda</t>
  </si>
  <si>
    <t>Geszti Óvoda</t>
  </si>
  <si>
    <t>Kertvárosi Óvoda</t>
  </si>
  <si>
    <t>Bergengócia Óvoda</t>
  </si>
  <si>
    <t>Lakások értékesítése</t>
  </si>
  <si>
    <t xml:space="preserve"> - Lakáscélú támogatás (lakossági, munkáltatói kölcsönök)</t>
  </si>
  <si>
    <t>Kötvény hozam</t>
  </si>
  <si>
    <t>Városkapu Közhasznú Zrt. kiadásai - közművelődési és közhasznú feladatokra</t>
  </si>
  <si>
    <t>Kistérségi Tanuszoda</t>
  </si>
  <si>
    <t>Városmarketing feladatok + lapkiadás</t>
  </si>
  <si>
    <t>Általános tartalék</t>
  </si>
  <si>
    <t>Járulék</t>
  </si>
  <si>
    <t>Dologi kiadás</t>
  </si>
  <si>
    <t>Pénzeszköz átadás</t>
  </si>
  <si>
    <t>Szociális juttatás</t>
  </si>
  <si>
    <t>Ellátottak juttatásai</t>
  </si>
  <si>
    <t>Általános műk. Tartalék</t>
  </si>
  <si>
    <t>Kamatm. váll. kölcs vissz.</t>
  </si>
  <si>
    <t>Működési hiány</t>
  </si>
  <si>
    <t>Lakásértékesítés</t>
  </si>
  <si>
    <t>Munkaadókat terhelő járulékok</t>
  </si>
  <si>
    <t>Pénzeszközátadás</t>
  </si>
  <si>
    <t>Önk.által folyósított ellátások</t>
  </si>
  <si>
    <t>Ellátottak pénzbeli juttatásai</t>
  </si>
  <si>
    <t>Dologi és egyéb folyók. össz.:</t>
  </si>
  <si>
    <t>Önk.sajátos működési bev.</t>
  </si>
  <si>
    <t>Polgármesteri Hivatal</t>
  </si>
  <si>
    <t>Költségvetési szervek megnevezése</t>
  </si>
  <si>
    <t>Engedélyezett létszám (fő)</t>
  </si>
  <si>
    <t>Bartók B. úti Óvoda</t>
  </si>
  <si>
    <t>Vaszary János Általános Iskola</t>
  </si>
  <si>
    <t>Vaszary János Általános Iskola - Jázmin tagintézmény</t>
  </si>
  <si>
    <t>Móricz Zsigmond Könyvtár</t>
  </si>
  <si>
    <t>Intézmények Gazdasági Hivatala összesen</t>
  </si>
  <si>
    <t>Városi Önkormányzat Intézmények összesen:</t>
  </si>
  <si>
    <t>Polgármesteri Hivatal: -köztisztviselők, ügykezelők</t>
  </si>
  <si>
    <t xml:space="preserve"> - választott tisztségviselő</t>
  </si>
  <si>
    <t xml:space="preserve"> - köztisztviselők, ügyintézők (2009.IV.01-től)</t>
  </si>
  <si>
    <t xml:space="preserve"> - Közterület-felügyelet (önállóan működő)</t>
  </si>
  <si>
    <t>Szociális Alapellátó Intézmény (számszaki javítás)</t>
  </si>
  <si>
    <t xml:space="preserve"> - Új úti gyalogátkelőhelyek ("Gyerekbarát város" programja)</t>
  </si>
  <si>
    <t xml:space="preserve"> - Agostyáni út II. ütem kivitelezés ( Feszty u.- Hollósi u. közvilágítás)</t>
  </si>
  <si>
    <t xml:space="preserve"> - József A. u. melletti terület kisajátítása</t>
  </si>
  <si>
    <t>Tanuszoda igénybevételére Kistérségi Önkormányzatoktól</t>
  </si>
  <si>
    <t xml:space="preserve"> - Tatai Városgazda Nonprofit Kft. - Angolkert és Cseke-tó rendbetétele</t>
  </si>
  <si>
    <t xml:space="preserve"> - Tatai kistérség - önkormányzati épületek energetikai rekostrukciója - támogatás</t>
  </si>
  <si>
    <t>Vis Mayor támogatás</t>
  </si>
  <si>
    <t xml:space="preserve">            - Víz-Zene-Virág Fesztivál Egyesület</t>
  </si>
  <si>
    <t xml:space="preserve">            - Tatai Fényes Fürdő Kft-nek</t>
  </si>
  <si>
    <t xml:space="preserve">            - Tatai Távhő Kft-nek</t>
  </si>
  <si>
    <t>Vaszary János Általános Iskola - Tardos tagintézmény</t>
  </si>
  <si>
    <t>Kötvénykamata - működésre átforgatva</t>
  </si>
  <si>
    <t>Készfizető kezesség - Városkapu Zrt-nek,</t>
  </si>
  <si>
    <t>Kölcsön Távhő Kft-nek.</t>
  </si>
  <si>
    <t>TEUT pályázati támogatás (Rákóczi u.burkolat felújítás)</t>
  </si>
  <si>
    <t xml:space="preserve"> - Természetvédelmi terület vásárlás 1363/76 hrsz</t>
  </si>
  <si>
    <t xml:space="preserve"> - Távhőrendszer korszerűsítése KEOP-2009-4.2. pályázat előkészítő munkákra</t>
  </si>
  <si>
    <t xml:space="preserve"> - Agostyán, római katolikus templom külső villamos energia ellátása</t>
  </si>
  <si>
    <t xml:space="preserve"> - Kakas u. vízrendezési terv</t>
  </si>
  <si>
    <t xml:space="preserve"> - Nagy L. u. vízelvezetés folytatása Nagy L. u. és Tavasz u. (ideiglenes nyitott árok Újhegyi vízfolyásba való bekötése)</t>
  </si>
  <si>
    <t xml:space="preserve"> - Parkolóépítés (Keszthelyi u.)</t>
  </si>
  <si>
    <t xml:space="preserve"> - Kossuth tér rehabilitációja KDOP-2009-3.1.1./A pályázati előkészítés</t>
  </si>
  <si>
    <t xml:space="preserve"> - Fényes fürdőn II. sz. Camping megvásárlása</t>
  </si>
  <si>
    <t xml:space="preserve"> - Kajakház - Öreg tavi kerékpárút KDOP 2.1.1./B pályázat előkészítés</t>
  </si>
  <si>
    <t xml:space="preserve"> - Távhő mellett található ingatlanok megvásárlása 137/2009(V.27.) határozat</t>
  </si>
  <si>
    <t xml:space="preserve"> - Újhegyi úti vízfolyás mederburkolás (vis maior)</t>
  </si>
  <si>
    <t xml:space="preserve"> - Székely B., és Gyár u. vízkárelhárítás, vízelvezetés</t>
  </si>
  <si>
    <t xml:space="preserve"> - Fazekas Iskola támfal és vízelvezetés helyreállítása</t>
  </si>
  <si>
    <t xml:space="preserve"> - Talentum Iskola szennyvízvezeték kiváltása</t>
  </si>
  <si>
    <t xml:space="preserve"> - Vértesszőlősi úti csapadékcsatorna kiváltás terv</t>
  </si>
  <si>
    <t xml:space="preserve"> - Szilágyi E. úti járdaszakasz felújítása pótmunka</t>
  </si>
  <si>
    <t xml:space="preserve"> - Agostyáni u-i járda felújításának pótmunkái</t>
  </si>
  <si>
    <t xml:space="preserve"> - Rákóczi u. burkolat felújítás</t>
  </si>
  <si>
    <t xml:space="preserve"> - Tatai Távhő Kft-nek rövid távú felújításra </t>
  </si>
  <si>
    <t xml:space="preserve"> - Baji úti útkorszerűsítésre pénzeszköz átadás Útpénztárnak</t>
  </si>
  <si>
    <t xml:space="preserve"> - Panel program 2007.évi önerő visszafizetése lakóközösségnek</t>
  </si>
  <si>
    <t xml:space="preserve"> - Városgazda Kft. KEOP pályázatra (Angolkert )</t>
  </si>
  <si>
    <t xml:space="preserve"> - Tatai Kistérségi Többcélú Társulás (KEOP-2009-5.3.0/A épületenergatikai fejlesztések pályázatra)</t>
  </si>
  <si>
    <t xml:space="preserve"> - Városkapu Zrt-nek az Angol kerttel kapcsolatos pályázattal felmerülő költségek fedezetére</t>
  </si>
  <si>
    <t>Felhalmozási célú pénzeszközátadás összesen:</t>
  </si>
  <si>
    <t>Kamatmentes kölcsön biztosítása Tatai Távhő Kft-nek ÖKO pályázat megvalósításához</t>
  </si>
  <si>
    <t>2009. évi felújítási kiadások célonként (ÁFA-val)</t>
  </si>
  <si>
    <t xml:space="preserve"> - Diófa utca burkolat felújítása (pályázati önerő - KDOP)</t>
  </si>
  <si>
    <t xml:space="preserve"> - Klapka Gy. u. felújítása</t>
  </si>
  <si>
    <t xml:space="preserve"> - Balatonvilágosi üdülő fürdőszobák felújítása</t>
  </si>
  <si>
    <t xml:space="preserve"> - Játszóterekre új eszközök kihelyezée</t>
  </si>
  <si>
    <t xml:space="preserve"> - Keszthelyi úti játszótér melletti járda átépítése pótmunkák</t>
  </si>
  <si>
    <t xml:space="preserve"> - TEUT (2009. évi) pályázatokhoz készített tervek</t>
  </si>
  <si>
    <t xml:space="preserve"> - Építők Parkja útkorszerűsítés tervek</t>
  </si>
  <si>
    <t xml:space="preserve"> - Vasút u. útkoszerűsítés tervek</t>
  </si>
  <si>
    <t xml:space="preserve"> - Deák F. u. burkolat felújítása tervek</t>
  </si>
  <si>
    <t xml:space="preserve"> - Tervezési feladatok (Kinizsi u., Újvilág u., Balogh F. u., Gesztenye fasor, Dózsa Gy. u. kerékpárút, Piactér, Ady E. u.)</t>
  </si>
  <si>
    <t xml:space="preserve"> - Fekete út melletti járdaszakasz 3.000 EFt, Zrínyi u. hiányzó járda és parkolók 9.050 EFt)</t>
  </si>
  <si>
    <t xml:space="preserve"> -- Építéshatóság részére számítástechnkai eszköz beszerzés</t>
  </si>
  <si>
    <t xml:space="preserve"> - Borostyán ház megnevezésű felépítmény várárlása</t>
  </si>
  <si>
    <t xml:space="preserve"> - József A. u. csapadékvíz rendezése KDOP-2009-4.1.1.E pályázat előkészítés</t>
  </si>
  <si>
    <t xml:space="preserve"> - Nagy L. u., Váczi M. u., Tavasz u. csapadékvíz rendezése KDOP-2009-4.1.1.E.</t>
  </si>
  <si>
    <t xml:space="preserve"> - Rendezvényház előkészítési munkáira</t>
  </si>
  <si>
    <t xml:space="preserve"> - Fürdő u. - Bláthy O. u. közötti átkötés tervezése</t>
  </si>
  <si>
    <t xml:space="preserve"> - Parkolóhelyek tervezése</t>
  </si>
  <si>
    <t xml:space="preserve"> - Járdák tervezése (Fekete u., Komáromi u.)</t>
  </si>
  <si>
    <t xml:space="preserve"> - Polgármesteri Hivatal akadálymentesítés (pályázati önerő) KDOP-2009-5.3.2.</t>
  </si>
  <si>
    <t xml:space="preserve"> - Tatai Városgazda Nonprofit Kft. telephely kialakításra, pályázati önerő</t>
  </si>
  <si>
    <t xml:space="preserve"> - Közművelődési fel. ell. Városkapu Zrt-nek (közhasznú, közművelődési megáll. alapján)</t>
  </si>
  <si>
    <t xml:space="preserve">   -- Városi sportegyesületek szakosztályainak működésére pályázati alap</t>
  </si>
  <si>
    <t xml:space="preserve">   -- Kőkúti Sasok DSE</t>
  </si>
  <si>
    <t xml:space="preserve">   -- Sport pályázatokra</t>
  </si>
  <si>
    <t>Ebből zárolt</t>
  </si>
  <si>
    <t xml:space="preserve"> - Székely Bertalan u. - Eszperantó tér  oszlopsűrítés, átépítés (közvilágítás)</t>
  </si>
  <si>
    <t xml:space="preserve"> - Agostyáni u.- a  vasút - Feszty u. között (áthúzódó szerződés alapján) (közvilágítás)</t>
  </si>
  <si>
    <t xml:space="preserve"> - Fazekas u. iskola környékén közvilágítás bővítés</t>
  </si>
  <si>
    <t xml:space="preserve">Ápolási díj járulék 24 % </t>
  </si>
  <si>
    <t xml:space="preserve"> - Háziorvosok szerződés szerinti támogatása (21 praxis, 250 E Ft/év/praxis)</t>
  </si>
  <si>
    <t xml:space="preserve">   -- THAC - kézilabda szakosztály férfi csapata (800 E Ft/hó)</t>
  </si>
  <si>
    <t xml:space="preserve"> - Kenderke Néptánc Egyesület támogatása </t>
  </si>
  <si>
    <t xml:space="preserve"> - Kocsi u. - Környei u. jelzőlámpa</t>
  </si>
  <si>
    <t xml:space="preserve"> - Kötvényből Panel Program támogatása, ÖKO-program, NEP pályázatok támogatása</t>
  </si>
  <si>
    <t xml:space="preserve"> - Juniorka Óvoda Alapítványi támogatása felújításra</t>
  </si>
  <si>
    <t xml:space="preserve"> - Kis és középvállalkozások támogatása</t>
  </si>
  <si>
    <t xml:space="preserve">Elkülönített alapoktól közhasznúra átvett </t>
  </si>
  <si>
    <t>Támogató szolgálat 2009. évi működésére Foglalkoztatási és Szociális Hivatal</t>
  </si>
  <si>
    <t>Közösségi ellátás 2009. évi működésére Foglalkoztatási és Szociális Hivatal</t>
  </si>
  <si>
    <t>Polgármesteri Hivatal szervezetfejlesztésre ÁROP pályázat</t>
  </si>
  <si>
    <t>Váralja csatorna közmű befizetés (lakossági - kötvény tartalék)</t>
  </si>
  <si>
    <t xml:space="preserve"> - Oktatási és ifjúsági pályázatokra 3.000 E Ft</t>
  </si>
  <si>
    <t>Áthúzódó kötelezettségvállalással terhelt feladatok:</t>
  </si>
  <si>
    <t>Áthúzódó kötelezettségvállalással terhelt feladatok kötvényből:</t>
  </si>
  <si>
    <t>2009. évi igények:</t>
  </si>
  <si>
    <t xml:space="preserve"> - Fáklya u. öltöző - WC blokk cseréje</t>
  </si>
  <si>
    <t xml:space="preserve"> - Bérlakások és nem lakás célú helységek felújítása</t>
  </si>
  <si>
    <t>2009. évi igények kötvényből:</t>
  </si>
  <si>
    <t>Vaszary - Jázmin U. Tagintézmény - kazánfelújítás 0,45 M Ft</t>
  </si>
  <si>
    <t xml:space="preserve"> - Angol parki pályázathoz kapcsolódó feladatok (Sport u., Baji u. parkolók, Hattyúliget u.)</t>
  </si>
  <si>
    <t xml:space="preserve"> - Hajdú u. 1. ingatlanvásárlás (áthúzódó részlet)</t>
  </si>
  <si>
    <t xml:space="preserve"> - Kocsi út melletti kerékpárút (pályázati előkészítés KDOP)</t>
  </si>
  <si>
    <t xml:space="preserve"> - Somogyi B. u. és Bacsó B. u. gyalogátkelőhely létesítés</t>
  </si>
  <si>
    <t xml:space="preserve"> - Fényes-fürdő karsztforrásokkal kapcsolatos feladatok</t>
  </si>
  <si>
    <t xml:space="preserve"> - Angol park rekonstrukció (pályázat)</t>
  </si>
  <si>
    <t xml:space="preserve"> - Polgármesteri Hivatal akadálymentesítés (pályázati önerő)</t>
  </si>
  <si>
    <t xml:space="preserve"> 2009. évi igények:</t>
  </si>
  <si>
    <t xml:space="preserve"> - Intézmények energiaracionalizálása</t>
  </si>
  <si>
    <t xml:space="preserve"> - bírság (környezetvédelmi 500, közterület 2500, építés 1500)</t>
  </si>
  <si>
    <t xml:space="preserve"> - bérleti díj, közterület használat</t>
  </si>
  <si>
    <t xml:space="preserve"> - Pénzügyi befektetés (kötvényből)</t>
  </si>
  <si>
    <t xml:space="preserve"> - üzemeltetés, bérbeadás felhalm. bevétel</t>
  </si>
  <si>
    <t xml:space="preserve"> - TEUT támogatás (Öveges u., Veres P.u., Kocsi u.)</t>
  </si>
  <si>
    <t>Hitel felvétel (hiány)</t>
  </si>
  <si>
    <t xml:space="preserve"> - közp. egyes jöv. pótló támog. kieg. 72.870, közcélú tám 15.000)</t>
  </si>
  <si>
    <t xml:space="preserve"> - TEUT pályázati támogatással burkolat felújítások (Veres P. u., Öveges u.,  Kocsi u.)</t>
  </si>
  <si>
    <t xml:space="preserve"> - Járdafelújítások (Keszthelyi u. játszótér mellett, Szilágyi u., Agostyáni úti)</t>
  </si>
  <si>
    <t xml:space="preserve"> - Kastély tér felújítása (érdekeltek bevonásával)</t>
  </si>
  <si>
    <t xml:space="preserve"> - Latinka S. u. burkolat építés</t>
  </si>
  <si>
    <t xml:space="preserve"> - Parkoló építés </t>
  </si>
  <si>
    <t xml:space="preserve"> - Almási u. - Május 1. út direktága</t>
  </si>
  <si>
    <t xml:space="preserve"> - Május 1. út 5-17 útcsatlakozás</t>
  </si>
  <si>
    <t xml:space="preserve"> - Május 1. út gyalogátkelőhelyek</t>
  </si>
  <si>
    <t xml:space="preserve"> - Vécsey út járdaépítés</t>
  </si>
  <si>
    <t xml:space="preserve"> - Öreg tó körüli és Baji úti kerékpár út tervek</t>
  </si>
  <si>
    <t xml:space="preserve"> - Nyugati tehermentesítő út tanulmányterve</t>
  </si>
  <si>
    <t xml:space="preserve"> - Bartók Béla útkorszerűsítés tervezés</t>
  </si>
  <si>
    <t xml:space="preserve"> - József A. u. - Komáromi út csomopont terv</t>
  </si>
  <si>
    <t xml:space="preserve">Áthúzódó kötelezettségvállalással terhelt feladatok: </t>
  </si>
  <si>
    <t xml:space="preserve"> - Déli Ipari park feltárú út </t>
  </si>
  <si>
    <t xml:space="preserve"> - Újpiactér </t>
  </si>
  <si>
    <t xml:space="preserve"> - Által-ér völgyi kerékpárút (pályázat előkészítés, önrész)</t>
  </si>
  <si>
    <t xml:space="preserve"> - Bartók Béla u. tömb belső burkolat korszerűsítés</t>
  </si>
  <si>
    <t xml:space="preserve"> - Árendás patak mederrendezés (vb. védmű) ebből áthúzódó 3M</t>
  </si>
  <si>
    <t xml:space="preserve"> - Dobroszláv utcai MOBA szivattyú, elektronika és energiaellátás felújítása</t>
  </si>
  <si>
    <t xml:space="preserve"> - József A. u. melletti külterület vízrendezése (övárok kivitelezése, vízügyi hatósági kötelezés alapján) áthúzódó</t>
  </si>
  <si>
    <t xml:space="preserve"> - Karácsonyi díszek, díszkivilágítás korszerűsítés II. ütem</t>
  </si>
  <si>
    <t xml:space="preserve"> - Tóparti korlátok, kőoszlopok pótlása, javítása</t>
  </si>
  <si>
    <t xml:space="preserve"> - Ivókútak, díszkútak felújítás</t>
  </si>
  <si>
    <t xml:space="preserve"> - Folyékony hulladék fogadó felújítása</t>
  </si>
  <si>
    <t xml:space="preserve"> - Polgármesteri Hivatal - illemhelyek felújítása</t>
  </si>
  <si>
    <t xml:space="preserve"> - Vértes Volán helyi közlekedés támogatása</t>
  </si>
  <si>
    <t xml:space="preserve"> -- Peron Alapítvány</t>
  </si>
  <si>
    <t xml:space="preserve"> -- VIII. Vajdasági Szabadegyetem</t>
  </si>
  <si>
    <t xml:space="preserve"> -- Magyar Kézművességért Alapítvány</t>
  </si>
  <si>
    <t xml:space="preserve"> -- István Király lovasszobor Révkomáromban</t>
  </si>
  <si>
    <t xml:space="preserve"> - Tatai Református Egyház - családi napközi indítása</t>
  </si>
  <si>
    <t xml:space="preserve"> - Tatai Rendőrkapitányság támogatása</t>
  </si>
  <si>
    <t xml:space="preserve"> - Tatai Kenderke Református Alapfokú Művészetoktatási Intézmény - családi napközi</t>
  </si>
  <si>
    <t xml:space="preserve"> - Ház-Tűz Őrző Nők és Anyák Egyesületének - családi napközi</t>
  </si>
  <si>
    <t xml:space="preserve"> - Talentum Általános Iskola, Gimnázium és Kézműves Szakiskola működtetéséhez  támogatás</t>
  </si>
  <si>
    <t xml:space="preserve"> - TDM szervezet működésének támogatása</t>
  </si>
  <si>
    <t xml:space="preserve"> - Baji úti útkorszerűsítésre</t>
  </si>
  <si>
    <t xml:space="preserve"> - Tatai Távhő Kft. Európai Uniós pályázathoz (kötvény)</t>
  </si>
  <si>
    <t xml:space="preserve"> - 2007. évi Panel program - önerő visszafizetése lakóközösségnek </t>
  </si>
  <si>
    <t xml:space="preserve"> - Tatai Városkapu Zrt-nek  - Angolpark és szabadtéri színpad rekonstrukciója</t>
  </si>
  <si>
    <t xml:space="preserve"> - Fazekas u. 47. Ingatlanfelújítása alapfokú művészetoktatás intézmény céljára</t>
  </si>
  <si>
    <t xml:space="preserve">Fürdő U. Óvoda - vizesblokk felújítás </t>
  </si>
  <si>
    <t xml:space="preserve">Kőkúti - Fazekas U. Tagintézmény - 6 db tanterem armatúra cseréje </t>
  </si>
  <si>
    <t xml:space="preserve">Szociális Alapellátó intézmény - Almási úti épület fűtéskorszerűsítés </t>
  </si>
  <si>
    <t>IGH - irattár kialakítás</t>
  </si>
  <si>
    <t xml:space="preserve"> - A távhőszolgáltatás koncesszióba adásával kapcsolatos koncesszióba adandó nagy értékű tárgyi eszközök megvásárlása</t>
  </si>
  <si>
    <t xml:space="preserve"> - Tópart sétány közvilágítása ( áthúzódó szerződés alapján)</t>
  </si>
  <si>
    <t xml:space="preserve"> - Tópart sétány közvilágítás tervezés ( Grill - Pötörke malom)</t>
  </si>
  <si>
    <t xml:space="preserve"> - Fényes fürdőn felépítmény vásárlás</t>
  </si>
  <si>
    <t xml:space="preserve"> - Agostyán, Kert u. kialakítás kisajátítási eljárással</t>
  </si>
  <si>
    <t xml:space="preserve"> - Tata, Újhegy közút céljára kisajátítás</t>
  </si>
  <si>
    <t xml:space="preserve"> - Akácfa u. útszelvény kialakításhoz kártalanítás</t>
  </si>
  <si>
    <t xml:space="preserve"> - Május 1. út körforgalmi direktág kialakításhoz területrendezés</t>
  </si>
  <si>
    <t xml:space="preserve"> -- számítástechnikai fejlesztés (hardver, szoftver)</t>
  </si>
  <si>
    <t xml:space="preserve"> -- ÁROP pályázat, szervezetfejlesztés</t>
  </si>
  <si>
    <t xml:space="preserve"> - Polgármesteri Hivatal: </t>
  </si>
  <si>
    <t xml:space="preserve"> - Balatonvilágosi üdülőben 2 db fürdőszoba korszerűsítés</t>
  </si>
  <si>
    <t xml:space="preserve"> - Bartók Béla u. Óvoda bővítés (pályázati önerő)</t>
  </si>
  <si>
    <t xml:space="preserve"> - Új könyvtár kialakításának tervezése</t>
  </si>
  <si>
    <t xml:space="preserve"> - Kőfaragó ház projekt tervezési dokumentumai</t>
  </si>
  <si>
    <t xml:space="preserve"> - Idősek Klubja (Kocsi u.) telephely áthelyezés</t>
  </si>
  <si>
    <t xml:space="preserve"> - Közterület-felügyelet tárgyi eszköz beszerzés</t>
  </si>
  <si>
    <t xml:space="preserve"> - irattár kialakítás</t>
  </si>
  <si>
    <t xml:space="preserve"> - Kálvária utcai Óvoda udvari játékok beszerzése</t>
  </si>
  <si>
    <t xml:space="preserve"> - Kőkúti Általános Iskola Fazekas u. tagintézmény - kazáncsere</t>
  </si>
  <si>
    <t xml:space="preserve"> - Irinyi út burkolatfelújítás</t>
  </si>
  <si>
    <t xml:space="preserve"> - Bacsó Béla lakótelep - Zrínyi u. - Temesvári u. tulajdonjog-rendezés </t>
  </si>
  <si>
    <t xml:space="preserve"> - Tatai TV. Közalapítvány támogatására</t>
  </si>
  <si>
    <t>Ezen belül:</t>
  </si>
  <si>
    <t xml:space="preserve"> -- Építményadó</t>
  </si>
  <si>
    <t xml:space="preserve"> -- Telekadó</t>
  </si>
  <si>
    <t xml:space="preserve"> -- Idegenforgalmi adó</t>
  </si>
  <si>
    <t xml:space="preserve"> -- Iparűzési adó</t>
  </si>
  <si>
    <t xml:space="preserve"> -- Egyéb beszed. Szla (pénzbírság, helyszíni bírság)</t>
  </si>
  <si>
    <t xml:space="preserve"> - Polgárdi Önkormányzat komplex hulladékgazd. Rendszer (100 Ft/fő)</t>
  </si>
  <si>
    <t xml:space="preserve"> - Tatai Városgazda Kht. bér- és működési támogatás</t>
  </si>
  <si>
    <t>Mozgáskorlátozottak közlekedési támogatása</t>
  </si>
  <si>
    <t>Kistérségi Többcélú Társulástól társulási felad.</t>
  </si>
  <si>
    <t xml:space="preserve"> - helyi adók és egyéb bevételek</t>
  </si>
  <si>
    <t>Egyéb víziközmű befizetések (lakossági)</t>
  </si>
  <si>
    <t xml:space="preserve">Tata Város Polgármesteri Hivatal </t>
  </si>
  <si>
    <t>Támogatás értékű működési bevételek</t>
  </si>
  <si>
    <t>Támogatás értékű felhalmozási célú bevételek</t>
  </si>
  <si>
    <t xml:space="preserve"> -- Tatai Aréna SE Autós Szakosztály</t>
  </si>
  <si>
    <t>Felhalmozási célra átvett pénzeszköz államháztartáson kívülről</t>
  </si>
  <si>
    <t>Lehívható központi támogatás</t>
  </si>
  <si>
    <t>Tartósan munkanélküliek rendszeres szociális segélye</t>
  </si>
  <si>
    <t>Rendszeres szociális segély</t>
  </si>
  <si>
    <t>Lakásfenntartási támogatás (normatív)</t>
  </si>
  <si>
    <t>Lakásfenntartási támogatás (helyi megállapítás)</t>
  </si>
  <si>
    <t>Ápolási díj (normatív)</t>
  </si>
  <si>
    <t>Ápolási díj (helyi megállapítás)</t>
  </si>
  <si>
    <t>Átmeneti segély</t>
  </si>
  <si>
    <t>Temetési segély</t>
  </si>
  <si>
    <t>Nyári gyermekétkeztetés</t>
  </si>
  <si>
    <t>Otthonteremtési támogatás</t>
  </si>
  <si>
    <t xml:space="preserve"> - "Szorgalmas Diák" ösztöndíj támogatás</t>
  </si>
  <si>
    <t>Házi segítségnyújtás szakértői bizottság működéséhez</t>
  </si>
  <si>
    <t xml:space="preserve">   - - kötvényhozam, kamat</t>
  </si>
  <si>
    <t>Természetben nyújtott átmeneti segély</t>
  </si>
  <si>
    <t>Rendszeres gyermekvédelmi támogatás (normatív)</t>
  </si>
  <si>
    <t>Rendkívüli gyermekvédelmi támogatás (helyi megállapítás)</t>
  </si>
  <si>
    <t>Rászorultságtól függő pénzbeli szociális, gyermekvédelmi ellátások összesen</t>
  </si>
  <si>
    <t xml:space="preserve"> - Tatai Távhő Kft. </t>
  </si>
  <si>
    <t xml:space="preserve">Személyi juttatások </t>
  </si>
  <si>
    <t>M.adókat terh. jár.</t>
  </si>
  <si>
    <t xml:space="preserve">Dologi egyéb folyó </t>
  </si>
  <si>
    <t>Pénzeszk. átadás és kezesség váll.</t>
  </si>
  <si>
    <t>Önk.által foly. ellátás</t>
  </si>
  <si>
    <t>Hiteltörl. Kölcsön</t>
  </si>
  <si>
    <t>Hiteltörl. kölcsön</t>
  </si>
  <si>
    <t xml:space="preserve"> - VIS MAYOR támogatás</t>
  </si>
  <si>
    <t xml:space="preserve"> - TEUT támogatás (Rákóczi u.)</t>
  </si>
  <si>
    <t>Tardosi Fekete Lajos Ált. iskola önkormányzati támogatása</t>
  </si>
  <si>
    <t>Magyarországi Nemzeti Etnikai Kis. Közalapítványtól Lengyel Kisebbségi Önk.</t>
  </si>
  <si>
    <t>Intézmények Gazdasági Hivatalához tartozó részben önálló intézmények 2009. évi költségvetése</t>
  </si>
  <si>
    <t>Költségvetési alcím megnevezése</t>
  </si>
  <si>
    <t>Egyéb saját bevétel</t>
  </si>
  <si>
    <t>Egyéb saját bevételből ellátottak étkezési térítési díj bevétele</t>
  </si>
  <si>
    <t>ÁFA</t>
  </si>
  <si>
    <t>Kamat-bevételek</t>
  </si>
  <si>
    <t>Átvett pénzeszközök</t>
  </si>
  <si>
    <t>Támogatásértékű bevétel</t>
  </si>
  <si>
    <t>Tárgyi eszköz, immat. javak értékesítése</t>
  </si>
  <si>
    <t>Pénzmaradvány</t>
  </si>
  <si>
    <t>Bevételek összesen</t>
  </si>
  <si>
    <t>Kiadások összesen</t>
  </si>
  <si>
    <t>működési célra</t>
  </si>
  <si>
    <t>felhalmozási célra</t>
  </si>
  <si>
    <t>pénzforalom nélküli</t>
  </si>
  <si>
    <t>előző évi átvétele</t>
  </si>
  <si>
    <t>M.adókat terhelő jár.</t>
  </si>
  <si>
    <t>Dologiból ellátottakra vonatkozó élelmiszer beszerzés és vásárolt élelmezés</t>
  </si>
  <si>
    <t>Pénzbeli juttatás</t>
  </si>
  <si>
    <t>Bartók B. utcai Óvoda</t>
  </si>
  <si>
    <t>Bölcsöde</t>
  </si>
  <si>
    <t>Vaszary J. Általános Iskola</t>
  </si>
  <si>
    <t>Vaszary-Jázmin Tagint.</t>
  </si>
  <si>
    <t>Vaszary-Tardosi Tagint.</t>
  </si>
  <si>
    <t>Vaszary összesen</t>
  </si>
  <si>
    <t>Kőkúti Általános Iskola - Fazekas U. Tagintézmény</t>
  </si>
  <si>
    <t>Kőkúti összesen</t>
  </si>
  <si>
    <t>Móricz Zs. Könyvtár</t>
  </si>
  <si>
    <t>Szociális Alapellátó Intézmény</t>
  </si>
  <si>
    <t>Kvi. alcímek és szakf. Összesen:</t>
  </si>
  <si>
    <t>Mód(X.28)</t>
  </si>
  <si>
    <t>Természetben nyújtott ellátások összesen</t>
  </si>
  <si>
    <t>Önkormányzatok által folyósított szociális, gyermekvédelmi ellátások összesen:</t>
  </si>
  <si>
    <t xml:space="preserve"> - normatív</t>
  </si>
  <si>
    <t xml:space="preserve"> - méltányosság </t>
  </si>
  <si>
    <t xml:space="preserve"> - lakásértékesítés (részletek törlesztése)</t>
  </si>
  <si>
    <t xml:space="preserve"> - felhalmozási célra átvett pénzeszköz</t>
  </si>
  <si>
    <t xml:space="preserve"> - támogatás egészségügyi műk. célra Tb.</t>
  </si>
  <si>
    <t>Támogatás értékű bevétel összesen:</t>
  </si>
  <si>
    <t xml:space="preserve"> - Sport támogatások:</t>
  </si>
  <si>
    <t>Tatai fiatalok életkezdési támogatásához</t>
  </si>
  <si>
    <t>Mozgáskorlátozottak támogatása</t>
  </si>
  <si>
    <t>10. sz. melléklet</t>
  </si>
  <si>
    <t>11. sz. melléklet</t>
  </si>
  <si>
    <t>Tájékoztatás céljából</t>
  </si>
  <si>
    <t>Kötvénykibocsátásból bevétel:</t>
  </si>
  <si>
    <t>M.S. Közalapítvány hitelvisszafizetés miatti pótlás</t>
  </si>
  <si>
    <t>Koncessziós díjbevétel</t>
  </si>
  <si>
    <t>2009. évi költségvetésben tervezett összeg</t>
  </si>
  <si>
    <t>Beruházási feladatok 2009.évi:</t>
  </si>
  <si>
    <t xml:space="preserve">Készfizető kezesség - Tatai Városkapu Zrt-nek, Tata-Tóparti Viziközmű Társ., Tatai Távhő Kft. </t>
  </si>
  <si>
    <t>Készfizető kezesség: Tata Tóparti Víziközmű, Távhő Kft.</t>
  </si>
  <si>
    <t xml:space="preserve"> - Vécsei út járdaépítés </t>
  </si>
  <si>
    <t xml:space="preserve"> - Agostyáni utca - a vasút - Feszty utca között (áthúzódó szerződés alapján) (közvilágítás)</t>
  </si>
  <si>
    <t>12. sz. melléklet</t>
  </si>
  <si>
    <t xml:space="preserve"> - Hajdú u. 1. ingatlanvásárlás (utolsó részlet)</t>
  </si>
  <si>
    <t xml:space="preserve"> - Fényes-fürdő karsztforrásokkal összefüggő feladatok </t>
  </si>
  <si>
    <t>Felújítási feladatok 2009. évi költségvetésből:</t>
  </si>
  <si>
    <t>Felhasználási javaslat  összege a 2009. évi költségvetésben:</t>
  </si>
  <si>
    <t>Kötvényforrás tartaléka:</t>
  </si>
  <si>
    <t>Készfizető kezesség</t>
  </si>
  <si>
    <t>Kölcsön nyújtása lakáscélra:</t>
  </si>
  <si>
    <t xml:space="preserve"> - egyéb központosított támogatás</t>
  </si>
  <si>
    <t xml:space="preserve"> - Okmányiroda bútor beszerzés</t>
  </si>
  <si>
    <t xml:space="preserve"> - Fényes-fürdőn felépítmény vásárlás (Árpád-házi Szent Erzsébet Szakkórház és Rendelőintézettől)</t>
  </si>
  <si>
    <t xml:space="preserve"> - Jenő Malom megvásárlása</t>
  </si>
  <si>
    <t xml:space="preserve"> - Tatai Ipari és Park és Logisztikai Kft.</t>
  </si>
  <si>
    <t xml:space="preserve"> - Piarista Rendház hosszú távú hasznosítási koncepciója</t>
  </si>
  <si>
    <t xml:space="preserve"> - eszköz  beszerzés (monitor, mikroszkóp, székek, ultrahang fej, szoftver)</t>
  </si>
  <si>
    <t xml:space="preserve"> - TOURINFORM Iroda támogatása - Városkapu Zrt.</t>
  </si>
  <si>
    <t xml:space="preserve"> - Bláthy Ottó Szakközépiskola, Szakiskola és Kollégium támpgatása</t>
  </si>
  <si>
    <t xml:space="preserve"> - Általános tartalék</t>
  </si>
  <si>
    <t xml:space="preserve"> -- Teleki László Alapítványnak "Veszélyeztetett örökség, veszélyeztetett kultúrák" konefernciára</t>
  </si>
  <si>
    <t xml:space="preserve"> -- Egressy Béni Zeneiskola Alapfokú Művészetoktatási Intézmény "In Memorian Vivaldi" koncertre</t>
  </si>
  <si>
    <t xml:space="preserve"> -- Moldvai Magyar Oktatásért Alapítványnak</t>
  </si>
  <si>
    <t xml:space="preserve"> -- Pro Minoritate Alapítványnak Csángó Bálra</t>
  </si>
  <si>
    <t xml:space="preserve"> - Lakossági közműfejlesztés támogatása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</si>
</sst>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0.0"/>
    <numFmt numFmtId="166" formatCode="0.00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0"/>
    <numFmt numFmtId="171" formatCode="yyyy/\ m/\ d\."/>
    <numFmt numFmtId="172" formatCode="#,##0.0"/>
    <numFmt numFmtId="173" formatCode="0&quot;.folyósítás&quot;"/>
    <numFmt numFmtId="174" formatCode="#,##0.000"/>
    <numFmt numFmtId="175" formatCode="#,##0,"/>
    <numFmt numFmtId="176" formatCode="#,##0;[Red]\-#,##0"/>
  </numFmts>
  <fonts count="47">
    <font>
      <sz val="10"/>
      <name val="Arial CE"/>
      <family val="0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sz val="10"/>
      <name val="Times New Roman"/>
      <family val="1"/>
    </font>
    <font>
      <sz val="10"/>
      <name val="MS Sans Serif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Arial CE"/>
      <family val="0"/>
    </font>
    <font>
      <i/>
      <sz val="10"/>
      <name val="Times New Roman"/>
      <family val="1"/>
    </font>
    <font>
      <b/>
      <sz val="14"/>
      <name val="Times New Roman"/>
      <family val="1"/>
    </font>
    <font>
      <i/>
      <sz val="10"/>
      <name val="Arial CE"/>
      <family val="0"/>
    </font>
    <font>
      <b/>
      <i/>
      <sz val="11"/>
      <name val="Times New Roman CE"/>
      <family val="1"/>
    </font>
    <font>
      <b/>
      <i/>
      <sz val="11"/>
      <name val="Times New Roman"/>
      <family val="1"/>
    </font>
    <font>
      <i/>
      <sz val="11"/>
      <name val="Times New Roman CE"/>
      <family val="1"/>
    </font>
    <font>
      <sz val="11"/>
      <name val="Times New Roman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i/>
      <sz val="10"/>
      <name val="Times New Roman CE"/>
      <family val="1"/>
    </font>
    <font>
      <b/>
      <sz val="12"/>
      <name val="Times New Roman"/>
      <family val="1"/>
    </font>
    <font>
      <b/>
      <i/>
      <sz val="10"/>
      <name val="Times New Roman CE"/>
      <family val="1"/>
    </font>
    <font>
      <b/>
      <i/>
      <sz val="10"/>
      <name val="Arial CE"/>
      <family val="0"/>
    </font>
    <font>
      <b/>
      <i/>
      <u val="single"/>
      <sz val="10"/>
      <name val="Times New Roman"/>
      <family val="1"/>
    </font>
    <font>
      <b/>
      <u val="single"/>
      <sz val="10"/>
      <name val="Times New Roman"/>
      <family val="1"/>
    </font>
    <font>
      <i/>
      <u val="single"/>
      <sz val="10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b/>
      <sz val="7"/>
      <name val="Times New Roman"/>
      <family val="1"/>
    </font>
    <font>
      <sz val="7"/>
      <color indexed="10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8"/>
      <color indexed="17"/>
      <name val="Times New Roman"/>
      <family val="1"/>
    </font>
    <font>
      <u val="single"/>
      <sz val="10"/>
      <name val="Times New Roman"/>
      <family val="1"/>
    </font>
    <font>
      <b/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114">
    <border>
      <left/>
      <right/>
      <top/>
      <bottom/>
      <diagonal/>
    </border>
    <border>
      <left style="double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double">
        <color indexed="8"/>
      </left>
      <right style="thin">
        <color indexed="8"/>
      </right>
      <top style="thin"/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/>
      <right style="thin"/>
      <top style="double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3" fillId="0" borderId="0" xfId="20" applyFont="1" applyAlignment="1">
      <alignment horizontal="left"/>
      <protection/>
    </xf>
    <xf numFmtId="0" fontId="3" fillId="0" borderId="0" xfId="20" applyFont="1" applyAlignment="1" quotePrefix="1">
      <alignment horizontal="left"/>
      <protection/>
    </xf>
    <xf numFmtId="0" fontId="3" fillId="0" borderId="0" xfId="20" applyFont="1" applyAlignment="1">
      <alignment/>
      <protection/>
    </xf>
    <xf numFmtId="0" fontId="3" fillId="0" borderId="0" xfId="20" applyFont="1">
      <alignment/>
      <protection/>
    </xf>
    <xf numFmtId="3" fontId="3" fillId="0" borderId="0" xfId="20" applyNumberFormat="1" applyFont="1">
      <alignment/>
      <protection/>
    </xf>
    <xf numFmtId="3" fontId="3" fillId="0" borderId="0" xfId="20" applyNumberFormat="1" applyFont="1" applyAlignment="1">
      <alignment horizontal="right"/>
      <protection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20" applyFont="1">
      <alignment/>
      <protection/>
    </xf>
    <xf numFmtId="0" fontId="3" fillId="0" borderId="0" xfId="20" applyFont="1" applyBorder="1">
      <alignment/>
      <protection/>
    </xf>
    <xf numFmtId="0" fontId="3" fillId="0" borderId="8" xfId="20" applyFont="1" applyBorder="1">
      <alignment/>
      <protection/>
    </xf>
    <xf numFmtId="3" fontId="4" fillId="0" borderId="0" xfId="20" applyNumberFormat="1" applyFont="1" applyBorder="1">
      <alignment/>
      <protection/>
    </xf>
    <xf numFmtId="0" fontId="2" fillId="0" borderId="0" xfId="0" applyFont="1" applyAlignment="1">
      <alignment/>
    </xf>
    <xf numFmtId="0" fontId="9" fillId="0" borderId="0" xfId="19" applyFont="1" applyAlignment="1">
      <alignment/>
      <protection/>
    </xf>
    <xf numFmtId="0" fontId="9" fillId="0" borderId="0" xfId="19" applyFont="1">
      <alignment/>
      <protection/>
    </xf>
    <xf numFmtId="0" fontId="9" fillId="0" borderId="0" xfId="19" applyFont="1" applyAlignment="1">
      <alignment horizontal="center"/>
      <protection/>
    </xf>
    <xf numFmtId="3" fontId="9" fillId="0" borderId="0" xfId="19" applyNumberFormat="1" applyFont="1">
      <alignment/>
      <protection/>
    </xf>
    <xf numFmtId="0" fontId="9" fillId="0" borderId="0" xfId="19" applyFont="1" applyAlignment="1">
      <alignment horizontal="right"/>
      <protection/>
    </xf>
    <xf numFmtId="0" fontId="9" fillId="0" borderId="0" xfId="19" applyFont="1" applyAlignment="1">
      <alignment horizontal="centerContinuous"/>
      <protection/>
    </xf>
    <xf numFmtId="3" fontId="14" fillId="0" borderId="0" xfId="19" applyNumberFormat="1" applyFont="1" applyAlignment="1">
      <alignment horizontal="right"/>
      <protection/>
    </xf>
    <xf numFmtId="0" fontId="16" fillId="0" borderId="0" xfId="19" applyFont="1">
      <alignment/>
      <protection/>
    </xf>
    <xf numFmtId="0" fontId="16" fillId="0" borderId="0" xfId="19" applyFont="1" applyBorder="1">
      <alignment/>
      <protection/>
    </xf>
    <xf numFmtId="0" fontId="1" fillId="0" borderId="0" xfId="19" applyFont="1">
      <alignment/>
      <protection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3" fontId="4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3" fontId="4" fillId="0" borderId="12" xfId="0" applyNumberFormat="1" applyFont="1" applyBorder="1" applyAlignment="1">
      <alignment wrapText="1"/>
    </xf>
    <xf numFmtId="0" fontId="4" fillId="0" borderId="13" xfId="0" applyFont="1" applyBorder="1" applyAlignment="1">
      <alignment/>
    </xf>
    <xf numFmtId="0" fontId="18" fillId="0" borderId="0" xfId="20" applyFont="1" applyAlignment="1" quotePrefix="1">
      <alignment horizontal="center"/>
      <protection/>
    </xf>
    <xf numFmtId="0" fontId="19" fillId="0" borderId="0" xfId="20" applyFont="1">
      <alignment/>
      <protection/>
    </xf>
    <xf numFmtId="0" fontId="19" fillId="0" borderId="0" xfId="0" applyFont="1" applyAlignment="1">
      <alignment/>
    </xf>
    <xf numFmtId="0" fontId="19" fillId="0" borderId="0" xfId="20" applyFont="1" applyAlignment="1">
      <alignment horizontal="left"/>
      <protection/>
    </xf>
    <xf numFmtId="0" fontId="19" fillId="0" borderId="0" xfId="20" applyFont="1" applyAlignment="1" quotePrefix="1">
      <alignment horizontal="left"/>
      <protection/>
    </xf>
    <xf numFmtId="0" fontId="19" fillId="0" borderId="0" xfId="20" applyFont="1" applyAlignment="1">
      <alignment/>
      <protection/>
    </xf>
    <xf numFmtId="0" fontId="18" fillId="0" borderId="0" xfId="0" applyFont="1" applyAlignment="1">
      <alignment horizontal="center"/>
    </xf>
    <xf numFmtId="3" fontId="4" fillId="0" borderId="12" xfId="0" applyNumberFormat="1" applyFont="1" applyBorder="1" applyAlignment="1">
      <alignment horizontal="center" wrapText="1"/>
    </xf>
    <xf numFmtId="3" fontId="4" fillId="0" borderId="3" xfId="0" applyNumberFormat="1" applyFont="1" applyBorder="1" applyAlignment="1">
      <alignment wrapText="1"/>
    </xf>
    <xf numFmtId="3" fontId="4" fillId="0" borderId="4" xfId="0" applyNumberFormat="1" applyFont="1" applyBorder="1" applyAlignment="1">
      <alignment wrapText="1"/>
    </xf>
    <xf numFmtId="37" fontId="4" fillId="0" borderId="12" xfId="0" applyNumberFormat="1" applyFont="1" applyBorder="1" applyAlignment="1">
      <alignment wrapText="1"/>
    </xf>
    <xf numFmtId="3" fontId="3" fillId="0" borderId="12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4" fillId="0" borderId="14" xfId="0" applyFont="1" applyBorder="1" applyAlignment="1">
      <alignment/>
    </xf>
    <xf numFmtId="0" fontId="3" fillId="0" borderId="1" xfId="0" applyFont="1" applyBorder="1" applyAlignment="1">
      <alignment horizontal="left" wrapText="1"/>
    </xf>
    <xf numFmtId="3" fontId="4" fillId="0" borderId="15" xfId="0" applyNumberFormat="1" applyFont="1" applyBorder="1" applyAlignment="1">
      <alignment wrapText="1"/>
    </xf>
    <xf numFmtId="37" fontId="4" fillId="0" borderId="16" xfId="0" applyNumberFormat="1" applyFont="1" applyBorder="1" applyAlignment="1">
      <alignment vertical="center" wrapText="1"/>
    </xf>
    <xf numFmtId="0" fontId="15" fillId="0" borderId="0" xfId="0" applyFont="1" applyAlignment="1">
      <alignment horizontal="center"/>
    </xf>
    <xf numFmtId="0" fontId="14" fillId="0" borderId="17" xfId="19" applyFont="1" applyBorder="1" applyAlignment="1">
      <alignment horizontal="left"/>
      <protection/>
    </xf>
    <xf numFmtId="0" fontId="14" fillId="0" borderId="18" xfId="19" applyFont="1" applyBorder="1" applyAlignment="1">
      <alignment horizontal="centerContinuous"/>
      <protection/>
    </xf>
    <xf numFmtId="0" fontId="14" fillId="0" borderId="19" xfId="19" applyFont="1" applyBorder="1" applyAlignment="1">
      <alignment horizontal="centerContinuous"/>
      <protection/>
    </xf>
    <xf numFmtId="0" fontId="9" fillId="0" borderId="19" xfId="19" applyFont="1" applyBorder="1" applyAlignment="1">
      <alignment horizontal="centerContinuous"/>
      <protection/>
    </xf>
    <xf numFmtId="0" fontId="9" fillId="0" borderId="20" xfId="19" applyFont="1" applyBorder="1">
      <alignment/>
      <protection/>
    </xf>
    <xf numFmtId="0" fontId="9" fillId="0" borderId="12" xfId="19" applyFont="1" applyBorder="1">
      <alignment/>
      <protection/>
    </xf>
    <xf numFmtId="3" fontId="9" fillId="0" borderId="12" xfId="19" applyNumberFormat="1" applyFont="1" applyBorder="1">
      <alignment/>
      <protection/>
    </xf>
    <xf numFmtId="3" fontId="9" fillId="0" borderId="3" xfId="19" applyNumberFormat="1" applyFont="1" applyBorder="1">
      <alignment/>
      <protection/>
    </xf>
    <xf numFmtId="3" fontId="9" fillId="0" borderId="21" xfId="19" applyNumberFormat="1" applyFont="1" applyBorder="1">
      <alignment/>
      <protection/>
    </xf>
    <xf numFmtId="3" fontId="9" fillId="0" borderId="20" xfId="19" applyNumberFormat="1" applyFont="1" applyBorder="1">
      <alignment/>
      <protection/>
    </xf>
    <xf numFmtId="3" fontId="9" fillId="0" borderId="22" xfId="19" applyNumberFormat="1" applyFont="1" applyBorder="1">
      <alignment/>
      <protection/>
    </xf>
    <xf numFmtId="49" fontId="9" fillId="0" borderId="13" xfId="19" applyNumberFormat="1" applyFont="1" applyBorder="1" applyAlignment="1">
      <alignment horizontal="center"/>
      <protection/>
    </xf>
    <xf numFmtId="3" fontId="9" fillId="0" borderId="11" xfId="19" applyNumberFormat="1" applyFont="1" applyBorder="1">
      <alignment/>
      <protection/>
    </xf>
    <xf numFmtId="49" fontId="9" fillId="0" borderId="1" xfId="19" applyNumberFormat="1" applyFont="1" applyBorder="1" applyAlignment="1">
      <alignment horizontal="right"/>
      <protection/>
    </xf>
    <xf numFmtId="3" fontId="9" fillId="0" borderId="23" xfId="19" applyNumberFormat="1" applyFont="1" applyBorder="1">
      <alignment/>
      <protection/>
    </xf>
    <xf numFmtId="49" fontId="9" fillId="0" borderId="1" xfId="19" applyNumberFormat="1" applyFont="1" applyBorder="1" applyAlignment="1">
      <alignment horizontal="center"/>
      <protection/>
    </xf>
    <xf numFmtId="3" fontId="14" fillId="0" borderId="21" xfId="19" applyNumberFormat="1" applyFont="1" applyBorder="1">
      <alignment/>
      <protection/>
    </xf>
    <xf numFmtId="3" fontId="9" fillId="0" borderId="24" xfId="19" applyNumberFormat="1" applyFont="1" applyBorder="1">
      <alignment/>
      <protection/>
    </xf>
    <xf numFmtId="3" fontId="9" fillId="0" borderId="25" xfId="19" applyNumberFormat="1" applyFont="1" applyBorder="1">
      <alignment/>
      <protection/>
    </xf>
    <xf numFmtId="3" fontId="9" fillId="0" borderId="21" xfId="19" applyNumberFormat="1" applyFont="1" applyBorder="1" applyAlignment="1">
      <alignment horizontal="right"/>
      <protection/>
    </xf>
    <xf numFmtId="3" fontId="9" fillId="0" borderId="24" xfId="19" applyNumberFormat="1" applyFont="1" applyBorder="1" applyAlignment="1">
      <alignment horizontal="right"/>
      <protection/>
    </xf>
    <xf numFmtId="3" fontId="9" fillId="0" borderId="25" xfId="19" applyNumberFormat="1" applyFont="1" applyBorder="1" applyAlignment="1">
      <alignment horizontal="right"/>
      <protection/>
    </xf>
    <xf numFmtId="3" fontId="9" fillId="0" borderId="12" xfId="19" applyNumberFormat="1" applyFont="1" applyBorder="1" applyAlignment="1">
      <alignment horizontal="right"/>
      <protection/>
    </xf>
    <xf numFmtId="3" fontId="9" fillId="0" borderId="23" xfId="19" applyNumberFormat="1" applyFont="1" applyBorder="1" applyAlignment="1">
      <alignment horizontal="right"/>
      <protection/>
    </xf>
    <xf numFmtId="3" fontId="9" fillId="0" borderId="13" xfId="19" applyNumberFormat="1" applyFont="1" applyBorder="1" applyAlignment="1">
      <alignment horizontal="center"/>
      <protection/>
    </xf>
    <xf numFmtId="3" fontId="14" fillId="0" borderId="24" xfId="19" applyNumberFormat="1" applyFont="1" applyBorder="1" applyAlignment="1">
      <alignment horizontal="center"/>
      <protection/>
    </xf>
    <xf numFmtId="3" fontId="9" fillId="0" borderId="24" xfId="19" applyNumberFormat="1" applyFont="1" applyBorder="1" applyAlignment="1">
      <alignment horizontal="centerContinuous"/>
      <protection/>
    </xf>
    <xf numFmtId="0" fontId="9" fillId="0" borderId="3" xfId="19" applyFont="1" applyBorder="1">
      <alignment/>
      <protection/>
    </xf>
    <xf numFmtId="3" fontId="9" fillId="0" borderId="1" xfId="0" applyNumberFormat="1" applyFont="1" applyBorder="1" applyAlignment="1">
      <alignment horizontal="center" vertical="center"/>
    </xf>
    <xf numFmtId="0" fontId="14" fillId="0" borderId="21" xfId="19" applyFont="1" applyBorder="1" applyAlignment="1">
      <alignment horizontal="center"/>
      <protection/>
    </xf>
    <xf numFmtId="0" fontId="9" fillId="0" borderId="21" xfId="19" applyFont="1" applyBorder="1">
      <alignment/>
      <protection/>
    </xf>
    <xf numFmtId="49" fontId="9" fillId="0" borderId="17" xfId="19" applyNumberFormat="1" applyFont="1" applyBorder="1" applyAlignment="1">
      <alignment horizontal="center"/>
      <protection/>
    </xf>
    <xf numFmtId="3" fontId="9" fillId="0" borderId="1" xfId="19" applyNumberFormat="1" applyFont="1" applyBorder="1" applyAlignment="1">
      <alignment horizontal="center"/>
      <protection/>
    </xf>
    <xf numFmtId="3" fontId="14" fillId="0" borderId="12" xfId="19" applyNumberFormat="1" applyFont="1" applyBorder="1">
      <alignment/>
      <protection/>
    </xf>
    <xf numFmtId="3" fontId="14" fillId="0" borderId="23" xfId="19" applyNumberFormat="1" applyFont="1" applyBorder="1">
      <alignment/>
      <protection/>
    </xf>
    <xf numFmtId="0" fontId="14" fillId="0" borderId="25" xfId="0" applyFont="1" applyBorder="1" applyAlignment="1">
      <alignment horizontal="left"/>
    </xf>
    <xf numFmtId="3" fontId="14" fillId="0" borderId="0" xfId="19" applyNumberFormat="1" applyFont="1" applyBorder="1">
      <alignment/>
      <protection/>
    </xf>
    <xf numFmtId="3" fontId="9" fillId="0" borderId="12" xfId="19" applyNumberFormat="1" applyFont="1" applyBorder="1">
      <alignment/>
      <protection/>
    </xf>
    <xf numFmtId="3" fontId="9" fillId="0" borderId="26" xfId="19" applyNumberFormat="1" applyFont="1" applyBorder="1">
      <alignment/>
      <protection/>
    </xf>
    <xf numFmtId="3" fontId="9" fillId="0" borderId="27" xfId="19" applyNumberFormat="1" applyFont="1" applyBorder="1">
      <alignment/>
      <protection/>
    </xf>
    <xf numFmtId="3" fontId="14" fillId="0" borderId="26" xfId="19" applyNumberFormat="1" applyFont="1" applyBorder="1">
      <alignment/>
      <protection/>
    </xf>
    <xf numFmtId="0" fontId="11" fillId="0" borderId="26" xfId="0" applyFont="1" applyBorder="1" applyAlignment="1">
      <alignment horizontal="left"/>
    </xf>
    <xf numFmtId="3" fontId="14" fillId="0" borderId="27" xfId="19" applyNumberFormat="1" applyFont="1" applyBorder="1">
      <alignment/>
      <protection/>
    </xf>
    <xf numFmtId="0" fontId="3" fillId="0" borderId="14" xfId="0" applyFont="1" applyBorder="1" applyAlignment="1">
      <alignment wrapText="1"/>
    </xf>
    <xf numFmtId="0" fontId="16" fillId="0" borderId="0" xfId="19" applyFont="1" applyAlignment="1">
      <alignment horizontal="center"/>
      <protection/>
    </xf>
    <xf numFmtId="0" fontId="16" fillId="0" borderId="12" xfId="19" applyFont="1" applyBorder="1">
      <alignment/>
      <protection/>
    </xf>
    <xf numFmtId="0" fontId="16" fillId="0" borderId="3" xfId="19" applyFont="1" applyBorder="1">
      <alignment/>
      <protection/>
    </xf>
    <xf numFmtId="0" fontId="1" fillId="0" borderId="12" xfId="19" applyFont="1" applyBorder="1">
      <alignment/>
      <protection/>
    </xf>
    <xf numFmtId="0" fontId="1" fillId="0" borderId="3" xfId="19" applyFont="1" applyBorder="1">
      <alignment/>
      <protection/>
    </xf>
    <xf numFmtId="0" fontId="1" fillId="0" borderId="11" xfId="19" applyFont="1" applyBorder="1">
      <alignment/>
      <protection/>
    </xf>
    <xf numFmtId="0" fontId="11" fillId="0" borderId="8" xfId="0" applyFont="1" applyBorder="1" applyAlignment="1">
      <alignment horizontal="left"/>
    </xf>
    <xf numFmtId="0" fontId="14" fillId="0" borderId="1" xfId="19" applyFont="1" applyBorder="1" applyAlignment="1">
      <alignment horizontal="left"/>
      <protection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13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0" fontId="21" fillId="0" borderId="13" xfId="0" applyFont="1" applyBorder="1" applyAlignment="1">
      <alignment horizontal="justify" vertical="top" wrapText="1"/>
    </xf>
    <xf numFmtId="0" fontId="14" fillId="0" borderId="13" xfId="0" applyFont="1" applyBorder="1" applyAlignment="1">
      <alignment horizontal="justify" vertical="top" wrapText="1"/>
    </xf>
    <xf numFmtId="0" fontId="14" fillId="0" borderId="28" xfId="0" applyFont="1" applyBorder="1" applyAlignment="1">
      <alignment horizontal="justify" vertical="top" wrapText="1"/>
    </xf>
    <xf numFmtId="0" fontId="22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9" fillId="0" borderId="4" xfId="19" applyFont="1" applyBorder="1" applyAlignment="1">
      <alignment/>
      <protection/>
    </xf>
    <xf numFmtId="0" fontId="0" fillId="0" borderId="21" xfId="0" applyBorder="1" applyAlignment="1">
      <alignment/>
    </xf>
    <xf numFmtId="49" fontId="9" fillId="0" borderId="7" xfId="19" applyNumberFormat="1" applyFont="1" applyBorder="1" applyAlignment="1">
      <alignment horizontal="center"/>
      <protection/>
    </xf>
    <xf numFmtId="3" fontId="9" fillId="0" borderId="16" xfId="19" applyNumberFormat="1" applyFont="1" applyBorder="1">
      <alignment/>
      <protection/>
    </xf>
    <xf numFmtId="3" fontId="9" fillId="0" borderId="29" xfId="19" applyNumberFormat="1" applyFont="1" applyBorder="1">
      <alignment/>
      <protection/>
    </xf>
    <xf numFmtId="0" fontId="18" fillId="0" borderId="0" xfId="0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0" fontId="18" fillId="0" borderId="30" xfId="20" applyFont="1" applyBorder="1" applyAlignment="1">
      <alignment horizontal="center"/>
      <protection/>
    </xf>
    <xf numFmtId="0" fontId="18" fillId="0" borderId="31" xfId="20" applyFont="1" applyBorder="1" applyAlignment="1">
      <alignment horizontal="center"/>
      <protection/>
    </xf>
    <xf numFmtId="0" fontId="19" fillId="0" borderId="32" xfId="20" applyFont="1" applyBorder="1">
      <alignment/>
      <protection/>
    </xf>
    <xf numFmtId="3" fontId="19" fillId="0" borderId="33" xfId="20" applyNumberFormat="1" applyFont="1" applyBorder="1">
      <alignment/>
      <protection/>
    </xf>
    <xf numFmtId="0" fontId="19" fillId="0" borderId="34" xfId="20" applyFont="1" applyBorder="1" applyAlignment="1" quotePrefix="1">
      <alignment horizontal="left"/>
      <protection/>
    </xf>
    <xf numFmtId="3" fontId="19" fillId="0" borderId="34" xfId="20" applyNumberFormat="1" applyFont="1" applyBorder="1">
      <alignment/>
      <protection/>
    </xf>
    <xf numFmtId="0" fontId="19" fillId="0" borderId="35" xfId="20" applyFont="1" applyBorder="1">
      <alignment/>
      <protection/>
    </xf>
    <xf numFmtId="0" fontId="19" fillId="0" borderId="34" xfId="20" applyFont="1" applyBorder="1">
      <alignment/>
      <protection/>
    </xf>
    <xf numFmtId="3" fontId="19" fillId="0" borderId="35" xfId="20" applyNumberFormat="1" applyFont="1" applyBorder="1">
      <alignment/>
      <protection/>
    </xf>
    <xf numFmtId="0" fontId="19" fillId="0" borderId="34" xfId="20" applyFont="1" applyBorder="1" applyAlignment="1">
      <alignment/>
      <protection/>
    </xf>
    <xf numFmtId="0" fontId="19" fillId="0" borderId="35" xfId="20" applyFont="1" applyBorder="1" applyAlignment="1">
      <alignment horizontal="left"/>
      <protection/>
    </xf>
    <xf numFmtId="3" fontId="19" fillId="0" borderId="36" xfId="20" applyNumberFormat="1" applyFont="1" applyBorder="1">
      <alignment/>
      <protection/>
    </xf>
    <xf numFmtId="0" fontId="19" fillId="0" borderId="35" xfId="0" applyFont="1" applyBorder="1" applyAlignment="1">
      <alignment/>
    </xf>
    <xf numFmtId="0" fontId="19" fillId="0" borderId="37" xfId="20" applyFont="1" applyBorder="1">
      <alignment/>
      <protection/>
    </xf>
    <xf numFmtId="3" fontId="19" fillId="0" borderId="37" xfId="20" applyNumberFormat="1" applyFont="1" applyBorder="1">
      <alignment/>
      <protection/>
    </xf>
    <xf numFmtId="0" fontId="19" fillId="0" borderId="37" xfId="0" applyFont="1" applyBorder="1" applyAlignment="1">
      <alignment/>
    </xf>
    <xf numFmtId="0" fontId="19" fillId="0" borderId="38" xfId="20" applyFont="1" applyBorder="1">
      <alignment/>
      <protection/>
    </xf>
    <xf numFmtId="0" fontId="19" fillId="0" borderId="25" xfId="0" applyFont="1" applyBorder="1" applyAlignment="1">
      <alignment/>
    </xf>
    <xf numFmtId="0" fontId="19" fillId="0" borderId="39" xfId="20" applyFont="1" applyBorder="1">
      <alignment/>
      <protection/>
    </xf>
    <xf numFmtId="3" fontId="19" fillId="0" borderId="39" xfId="20" applyNumberFormat="1" applyFont="1" applyBorder="1">
      <alignment/>
      <protection/>
    </xf>
    <xf numFmtId="0" fontId="19" fillId="0" borderId="39" xfId="0" applyFont="1" applyBorder="1" applyAlignment="1">
      <alignment/>
    </xf>
    <xf numFmtId="0" fontId="18" fillId="0" borderId="40" xfId="20" applyFont="1" applyBorder="1">
      <alignment/>
      <protection/>
    </xf>
    <xf numFmtId="3" fontId="18" fillId="0" borderId="40" xfId="20" applyNumberFormat="1" applyFont="1" applyBorder="1">
      <alignment/>
      <protection/>
    </xf>
    <xf numFmtId="0" fontId="19" fillId="0" borderId="0" xfId="20" applyFont="1" applyBorder="1">
      <alignment/>
      <protection/>
    </xf>
    <xf numFmtId="0" fontId="18" fillId="0" borderId="5" xfId="20" applyFont="1" applyBorder="1" applyAlignment="1">
      <alignment horizontal="centerContinuous"/>
      <protection/>
    </xf>
    <xf numFmtId="0" fontId="18" fillId="0" borderId="41" xfId="20" applyFont="1" applyBorder="1" applyAlignment="1">
      <alignment horizontal="centerContinuous"/>
      <protection/>
    </xf>
    <xf numFmtId="0" fontId="19" fillId="0" borderId="42" xfId="20" applyFont="1" applyBorder="1" applyAlignment="1">
      <alignment horizontal="left"/>
      <protection/>
    </xf>
    <xf numFmtId="3" fontId="19" fillId="0" borderId="34" xfId="20" applyNumberFormat="1" applyFont="1" applyBorder="1" applyAlignment="1">
      <alignment horizontal="right"/>
      <protection/>
    </xf>
    <xf numFmtId="3" fontId="19" fillId="0" borderId="38" xfId="20" applyNumberFormat="1" applyFont="1" applyBorder="1">
      <alignment/>
      <protection/>
    </xf>
    <xf numFmtId="0" fontId="9" fillId="0" borderId="21" xfId="19" applyFont="1" applyBorder="1" applyAlignment="1">
      <alignment/>
      <protection/>
    </xf>
    <xf numFmtId="0" fontId="9" fillId="0" borderId="20" xfId="19" applyFont="1" applyBorder="1" applyAlignment="1">
      <alignment/>
      <protection/>
    </xf>
    <xf numFmtId="0" fontId="9" fillId="0" borderId="21" xfId="0" applyFont="1" applyBorder="1" applyAlignment="1">
      <alignment/>
    </xf>
    <xf numFmtId="0" fontId="9" fillId="0" borderId="25" xfId="19" applyFont="1" applyBorder="1" applyAlignment="1">
      <alignment/>
      <protection/>
    </xf>
    <xf numFmtId="0" fontId="9" fillId="0" borderId="24" xfId="0" applyFont="1" applyBorder="1" applyAlignment="1">
      <alignment/>
    </xf>
    <xf numFmtId="0" fontId="0" fillId="0" borderId="24" xfId="0" applyBorder="1" applyAlignment="1">
      <alignment/>
    </xf>
    <xf numFmtId="0" fontId="9" fillId="0" borderId="10" xfId="19" applyFont="1" applyBorder="1" applyAlignment="1">
      <alignment/>
      <protection/>
    </xf>
    <xf numFmtId="0" fontId="9" fillId="0" borderId="24" xfId="19" applyFont="1" applyBorder="1" applyAlignment="1">
      <alignment/>
      <protection/>
    </xf>
    <xf numFmtId="0" fontId="9" fillId="0" borderId="25" xfId="0" applyFont="1" applyBorder="1" applyAlignment="1">
      <alignment/>
    </xf>
    <xf numFmtId="0" fontId="9" fillId="0" borderId="25" xfId="19" applyFont="1" applyBorder="1" applyAlignment="1">
      <alignment horizontal="left"/>
      <protection/>
    </xf>
    <xf numFmtId="0" fontId="9" fillId="0" borderId="24" xfId="19" applyFont="1" applyBorder="1" applyAlignment="1">
      <alignment horizontal="left"/>
      <protection/>
    </xf>
    <xf numFmtId="0" fontId="9" fillId="0" borderId="20" xfId="0" applyFont="1" applyBorder="1" applyAlignment="1">
      <alignment horizontal="left" vertical="center"/>
    </xf>
    <xf numFmtId="0" fontId="0" fillId="0" borderId="43" xfId="0" applyBorder="1" applyAlignment="1">
      <alignment/>
    </xf>
    <xf numFmtId="0" fontId="0" fillId="0" borderId="25" xfId="0" applyBorder="1" applyAlignment="1">
      <alignment horizontal="left"/>
    </xf>
    <xf numFmtId="3" fontId="4" fillId="0" borderId="10" xfId="0" applyNumberFormat="1" applyFont="1" applyBorder="1" applyAlignment="1">
      <alignment horizontal="center" wrapText="1"/>
    </xf>
    <xf numFmtId="37" fontId="4" fillId="0" borderId="44" xfId="0" applyNumberFormat="1" applyFont="1" applyBorder="1" applyAlignment="1">
      <alignment vertical="center" wrapText="1"/>
    </xf>
    <xf numFmtId="3" fontId="14" fillId="0" borderId="21" xfId="19" applyNumberFormat="1" applyFont="1" applyBorder="1" applyAlignment="1">
      <alignment horizontal="center"/>
      <protection/>
    </xf>
    <xf numFmtId="3" fontId="9" fillId="0" borderId="21" xfId="19" applyNumberFormat="1" applyFont="1" applyBorder="1" applyAlignment="1">
      <alignment horizontal="centerContinuous"/>
      <protection/>
    </xf>
    <xf numFmtId="0" fontId="9" fillId="0" borderId="20" xfId="0" applyFont="1" applyBorder="1" applyAlignment="1">
      <alignment/>
    </xf>
    <xf numFmtId="3" fontId="9" fillId="0" borderId="13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3" fontId="9" fillId="0" borderId="20" xfId="19" applyNumberFormat="1" applyFont="1" applyBorder="1" applyAlignment="1">
      <alignment horizontal="right"/>
      <protection/>
    </xf>
    <xf numFmtId="3" fontId="9" fillId="0" borderId="3" xfId="19" applyNumberFormat="1" applyFont="1" applyBorder="1" applyAlignment="1">
      <alignment horizontal="right"/>
      <protection/>
    </xf>
    <xf numFmtId="3" fontId="9" fillId="0" borderId="22" xfId="19" applyNumberFormat="1" applyFont="1" applyBorder="1" applyAlignment="1">
      <alignment horizontal="right"/>
      <protection/>
    </xf>
    <xf numFmtId="3" fontId="14" fillId="0" borderId="11" xfId="19" applyNumberFormat="1" applyFont="1" applyBorder="1" applyAlignment="1">
      <alignment horizontal="right"/>
      <protection/>
    </xf>
    <xf numFmtId="3" fontId="14" fillId="0" borderId="27" xfId="19" applyNumberFormat="1" applyFont="1" applyBorder="1" applyAlignment="1">
      <alignment horizontal="right"/>
      <protection/>
    </xf>
    <xf numFmtId="0" fontId="9" fillId="0" borderId="16" xfId="19" applyFont="1" applyBorder="1">
      <alignment/>
      <protection/>
    </xf>
    <xf numFmtId="0" fontId="14" fillId="0" borderId="4" xfId="0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top" wrapText="1"/>
    </xf>
    <xf numFmtId="2" fontId="21" fillId="0" borderId="4" xfId="0" applyNumberFormat="1" applyFont="1" applyBorder="1" applyAlignment="1">
      <alignment horizontal="center" vertical="top" wrapText="1"/>
    </xf>
    <xf numFmtId="2" fontId="21" fillId="0" borderId="45" xfId="0" applyNumberFormat="1" applyFont="1" applyBorder="1" applyAlignment="1">
      <alignment horizontal="center" vertical="top" wrapText="1"/>
    </xf>
    <xf numFmtId="2" fontId="14" fillId="0" borderId="4" xfId="0" applyNumberFormat="1" applyFont="1" applyBorder="1" applyAlignment="1">
      <alignment horizontal="center" vertical="top" wrapText="1"/>
    </xf>
    <xf numFmtId="2" fontId="9" fillId="0" borderId="45" xfId="0" applyNumberFormat="1" applyFont="1" applyBorder="1" applyAlignment="1">
      <alignment horizontal="center" vertical="top" wrapText="1"/>
    </xf>
    <xf numFmtId="2" fontId="14" fillId="0" borderId="46" xfId="0" applyNumberFormat="1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27" fillId="0" borderId="0" xfId="0" applyFont="1" applyAlignment="1">
      <alignment/>
    </xf>
    <xf numFmtId="0" fontId="21" fillId="0" borderId="13" xfId="0" applyFont="1" applyBorder="1" applyAlignment="1">
      <alignment horizontal="left" vertical="center" wrapText="1"/>
    </xf>
    <xf numFmtId="165" fontId="9" fillId="0" borderId="0" xfId="0" applyNumberFormat="1" applyFont="1" applyAlignment="1">
      <alignment/>
    </xf>
    <xf numFmtId="0" fontId="0" fillId="0" borderId="0" xfId="0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4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3" fontId="3" fillId="0" borderId="12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30" fillId="0" borderId="1" xfId="0" applyFont="1" applyBorder="1" applyAlignment="1">
      <alignment/>
    </xf>
    <xf numFmtId="3" fontId="30" fillId="0" borderId="12" xfId="0" applyNumberFormat="1" applyFont="1" applyBorder="1" applyAlignment="1">
      <alignment/>
    </xf>
    <xf numFmtId="0" fontId="4" fillId="0" borderId="1" xfId="0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1" xfId="0" applyFont="1" applyBorder="1" applyAlignment="1">
      <alignment shrinkToFit="1"/>
    </xf>
    <xf numFmtId="0" fontId="4" fillId="0" borderId="14" xfId="0" applyFont="1" applyBorder="1" applyAlignment="1">
      <alignment shrinkToFit="1"/>
    </xf>
    <xf numFmtId="3" fontId="4" fillId="0" borderId="11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4" fillId="0" borderId="7" xfId="0" applyFont="1" applyBorder="1" applyAlignment="1">
      <alignment shrinkToFit="1"/>
    </xf>
    <xf numFmtId="3" fontId="4" fillId="0" borderId="16" xfId="0" applyNumberFormat="1" applyFont="1" applyBorder="1" applyAlignment="1">
      <alignment/>
    </xf>
    <xf numFmtId="0" fontId="14" fillId="0" borderId="0" xfId="0" applyFont="1" applyAlignment="1">
      <alignment/>
    </xf>
    <xf numFmtId="0" fontId="31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32" fillId="0" borderId="1" xfId="0" applyFont="1" applyBorder="1" applyAlignment="1">
      <alignment vertical="top" wrapText="1"/>
    </xf>
    <xf numFmtId="3" fontId="32" fillId="0" borderId="12" xfId="0" applyNumberFormat="1" applyFont="1" applyBorder="1" applyAlignment="1">
      <alignment/>
    </xf>
    <xf numFmtId="0" fontId="32" fillId="0" borderId="7" xfId="0" applyFont="1" applyBorder="1" applyAlignment="1">
      <alignment/>
    </xf>
    <xf numFmtId="3" fontId="32" fillId="0" borderId="16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9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2" fillId="0" borderId="1" xfId="0" applyFont="1" applyBorder="1" applyAlignment="1">
      <alignment/>
    </xf>
    <xf numFmtId="0" fontId="3" fillId="0" borderId="1" xfId="0" applyFont="1" applyBorder="1" applyAlignment="1">
      <alignment shrinkToFit="1"/>
    </xf>
    <xf numFmtId="0" fontId="3" fillId="0" borderId="1" xfId="0" applyFont="1" applyBorder="1" applyAlignment="1">
      <alignment vertical="top" wrapText="1" shrinkToFit="1"/>
    </xf>
    <xf numFmtId="0" fontId="4" fillId="0" borderId="4" xfId="0" applyFont="1" applyBorder="1" applyAlignment="1">
      <alignment horizontal="center" vertical="center" wrapText="1"/>
    </xf>
    <xf numFmtId="3" fontId="4" fillId="0" borderId="44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3" fontId="14" fillId="0" borderId="16" xfId="0" applyNumberFormat="1" applyFont="1" applyBorder="1" applyAlignment="1">
      <alignment/>
    </xf>
    <xf numFmtId="3" fontId="3" fillId="0" borderId="15" xfId="0" applyNumberFormat="1" applyFont="1" applyBorder="1" applyAlignment="1">
      <alignment wrapText="1"/>
    </xf>
    <xf numFmtId="37" fontId="4" fillId="0" borderId="10" xfId="0" applyNumberFormat="1" applyFont="1" applyBorder="1" applyAlignment="1">
      <alignment wrapText="1"/>
    </xf>
    <xf numFmtId="0" fontId="9" fillId="0" borderId="11" xfId="19" applyFont="1" applyBorder="1">
      <alignment/>
      <protection/>
    </xf>
    <xf numFmtId="0" fontId="4" fillId="0" borderId="47" xfId="0" applyFont="1" applyBorder="1" applyAlignment="1">
      <alignment horizontal="center"/>
    </xf>
    <xf numFmtId="3" fontId="4" fillId="0" borderId="10" xfId="0" applyNumberFormat="1" applyFont="1" applyBorder="1" applyAlignment="1">
      <alignment horizontal="right" vertical="center" wrapText="1"/>
    </xf>
    <xf numFmtId="0" fontId="14" fillId="0" borderId="18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3" fillId="0" borderId="10" xfId="0" applyFont="1" applyBorder="1" applyAlignment="1">
      <alignment/>
    </xf>
    <xf numFmtId="3" fontId="3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3" fontId="17" fillId="0" borderId="12" xfId="0" applyNumberFormat="1" applyFont="1" applyBorder="1" applyAlignment="1">
      <alignment/>
    </xf>
    <xf numFmtId="3" fontId="4" fillId="0" borderId="11" xfId="0" applyNumberFormat="1" applyFont="1" applyBorder="1" applyAlignment="1">
      <alignment wrapText="1"/>
    </xf>
    <xf numFmtId="3" fontId="4" fillId="0" borderId="23" xfId="0" applyNumberFormat="1" applyFont="1" applyBorder="1" applyAlignment="1">
      <alignment/>
    </xf>
    <xf numFmtId="3" fontId="14" fillId="0" borderId="23" xfId="0" applyNumberFormat="1" applyFont="1" applyBorder="1" applyAlignment="1">
      <alignment/>
    </xf>
    <xf numFmtId="3" fontId="14" fillId="0" borderId="29" xfId="0" applyNumberFormat="1" applyFont="1" applyBorder="1" applyAlignment="1">
      <alignment/>
    </xf>
    <xf numFmtId="3" fontId="0" fillId="0" borderId="0" xfId="0" applyNumberFormat="1" applyAlignment="1">
      <alignment/>
    </xf>
    <xf numFmtId="3" fontId="14" fillId="0" borderId="18" xfId="0" applyNumberFormat="1" applyFont="1" applyBorder="1" applyAlignment="1">
      <alignment horizontal="center"/>
    </xf>
    <xf numFmtId="0" fontId="33" fillId="0" borderId="0" xfId="0" applyFont="1" applyAlignment="1">
      <alignment/>
    </xf>
    <xf numFmtId="0" fontId="11" fillId="0" borderId="0" xfId="0" applyFont="1" applyAlignment="1">
      <alignment/>
    </xf>
    <xf numFmtId="0" fontId="17" fillId="0" borderId="1" xfId="0" applyFont="1" applyBorder="1" applyAlignment="1">
      <alignment shrinkToFit="1"/>
    </xf>
    <xf numFmtId="3" fontId="14" fillId="0" borderId="16" xfId="0" applyNumberFormat="1" applyFont="1" applyBorder="1" applyAlignment="1">
      <alignment/>
    </xf>
    <xf numFmtId="3" fontId="14" fillId="0" borderId="18" xfId="0" applyNumberFormat="1" applyFont="1" applyBorder="1" applyAlignment="1">
      <alignment horizontal="center" vertical="center"/>
    </xf>
    <xf numFmtId="3" fontId="14" fillId="0" borderId="23" xfId="0" applyNumberFormat="1" applyFont="1" applyBorder="1" applyAlignment="1">
      <alignment/>
    </xf>
    <xf numFmtId="4" fontId="9" fillId="0" borderId="0" xfId="0" applyNumberFormat="1" applyFont="1" applyAlignment="1">
      <alignment horizontal="center"/>
    </xf>
    <xf numFmtId="0" fontId="17" fillId="0" borderId="13" xfId="0" applyFont="1" applyBorder="1" applyAlignment="1">
      <alignment horizontal="justify" vertical="top" wrapText="1"/>
    </xf>
    <xf numFmtId="2" fontId="17" fillId="0" borderId="4" xfId="0" applyNumberFormat="1" applyFont="1" applyBorder="1" applyAlignment="1">
      <alignment horizontal="center" vertical="top" wrapText="1"/>
    </xf>
    <xf numFmtId="0" fontId="17" fillId="0" borderId="0" xfId="0" applyFont="1" applyAlignment="1">
      <alignment/>
    </xf>
    <xf numFmtId="0" fontId="14" fillId="0" borderId="18" xfId="0" applyFont="1" applyBorder="1" applyAlignment="1">
      <alignment horizontal="center"/>
    </xf>
    <xf numFmtId="3" fontId="17" fillId="0" borderId="23" xfId="0" applyNumberFormat="1" applyFont="1" applyBorder="1" applyAlignment="1">
      <alignment/>
    </xf>
    <xf numFmtId="3" fontId="17" fillId="0" borderId="29" xfId="0" applyNumberFormat="1" applyFont="1" applyBorder="1" applyAlignment="1">
      <alignment/>
    </xf>
    <xf numFmtId="0" fontId="3" fillId="0" borderId="24" xfId="0" applyFont="1" applyBorder="1" applyAlignment="1">
      <alignment/>
    </xf>
    <xf numFmtId="3" fontId="19" fillId="0" borderId="41" xfId="20" applyNumberFormat="1" applyFont="1" applyBorder="1">
      <alignment/>
      <protection/>
    </xf>
    <xf numFmtId="0" fontId="9" fillId="0" borderId="8" xfId="19" applyFont="1" applyBorder="1" applyAlignment="1">
      <alignment/>
      <protection/>
    </xf>
    <xf numFmtId="0" fontId="16" fillId="0" borderId="11" xfId="19" applyFont="1" applyBorder="1">
      <alignment/>
      <protection/>
    </xf>
    <xf numFmtId="3" fontId="9" fillId="0" borderId="8" xfId="19" applyNumberFormat="1" applyFont="1" applyBorder="1">
      <alignment/>
      <protection/>
    </xf>
    <xf numFmtId="49" fontId="9" fillId="0" borderId="14" xfId="19" applyNumberFormat="1" applyFont="1" applyBorder="1" applyAlignment="1">
      <alignment horizontal="center"/>
      <protection/>
    </xf>
    <xf numFmtId="0" fontId="9" fillId="0" borderId="26" xfId="19" applyFont="1" applyBorder="1" applyAlignment="1">
      <alignment/>
      <protection/>
    </xf>
    <xf numFmtId="0" fontId="0" fillId="0" borderId="26" xfId="0" applyBorder="1" applyAlignment="1">
      <alignment/>
    </xf>
    <xf numFmtId="3" fontId="0" fillId="0" borderId="23" xfId="0" applyNumberFormat="1" applyBorder="1" applyAlignment="1">
      <alignment/>
    </xf>
    <xf numFmtId="3" fontId="14" fillId="0" borderId="48" xfId="0" applyNumberFormat="1" applyFont="1" applyBorder="1" applyAlignment="1">
      <alignment horizontal="center"/>
    </xf>
    <xf numFmtId="3" fontId="9" fillId="0" borderId="49" xfId="0" applyNumberFormat="1" applyFont="1" applyBorder="1" applyAlignment="1">
      <alignment/>
    </xf>
    <xf numFmtId="3" fontId="14" fillId="0" borderId="50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0" fontId="14" fillId="0" borderId="48" xfId="0" applyFont="1" applyBorder="1" applyAlignment="1">
      <alignment horizontal="center"/>
    </xf>
    <xf numFmtId="0" fontId="9" fillId="0" borderId="49" xfId="0" applyFont="1" applyBorder="1" applyAlignment="1">
      <alignment/>
    </xf>
    <xf numFmtId="3" fontId="17" fillId="0" borderId="49" xfId="0" applyNumberFormat="1" applyFont="1" applyBorder="1" applyAlignment="1">
      <alignment/>
    </xf>
    <xf numFmtId="4" fontId="14" fillId="0" borderId="49" xfId="0" applyNumberFormat="1" applyFont="1" applyBorder="1" applyAlignment="1">
      <alignment horizontal="center"/>
    </xf>
    <xf numFmtId="4" fontId="9" fillId="0" borderId="49" xfId="0" applyNumberFormat="1" applyFont="1" applyBorder="1" applyAlignment="1">
      <alignment horizontal="center"/>
    </xf>
    <xf numFmtId="4" fontId="9" fillId="0" borderId="51" xfId="0" applyNumberFormat="1" applyFont="1" applyBorder="1" applyAlignment="1">
      <alignment horizontal="center"/>
    </xf>
    <xf numFmtId="2" fontId="14" fillId="0" borderId="52" xfId="0" applyNumberFormat="1" applyFont="1" applyBorder="1" applyAlignment="1">
      <alignment horizontal="center" vertical="top" wrapText="1"/>
    </xf>
    <xf numFmtId="4" fontId="17" fillId="0" borderId="52" xfId="0" applyNumberFormat="1" applyFont="1" applyBorder="1" applyAlignment="1">
      <alignment horizontal="center"/>
    </xf>
    <xf numFmtId="2" fontId="14" fillId="0" borderId="53" xfId="0" applyNumberFormat="1" applyFont="1" applyBorder="1" applyAlignment="1">
      <alignment horizontal="center" vertical="top" wrapText="1"/>
    </xf>
    <xf numFmtId="4" fontId="14" fillId="0" borderId="12" xfId="0" applyNumberFormat="1" applyFont="1" applyBorder="1" applyAlignment="1">
      <alignment horizontal="center"/>
    </xf>
    <xf numFmtId="4" fontId="9" fillId="0" borderId="12" xfId="0" applyNumberFormat="1" applyFont="1" applyBorder="1" applyAlignment="1">
      <alignment horizontal="center"/>
    </xf>
    <xf numFmtId="4" fontId="9" fillId="0" borderId="54" xfId="0" applyNumberFormat="1" applyFont="1" applyBorder="1" applyAlignment="1">
      <alignment horizontal="center"/>
    </xf>
    <xf numFmtId="2" fontId="14" fillId="0" borderId="3" xfId="0" applyNumberFormat="1" applyFont="1" applyBorder="1" applyAlignment="1">
      <alignment horizontal="center" vertical="top" wrapText="1"/>
    </xf>
    <xf numFmtId="4" fontId="17" fillId="0" borderId="3" xfId="0" applyNumberFormat="1" applyFont="1" applyBorder="1" applyAlignment="1">
      <alignment horizontal="center"/>
    </xf>
    <xf numFmtId="2" fontId="14" fillId="0" borderId="55" xfId="0" applyNumberFormat="1" applyFont="1" applyBorder="1" applyAlignment="1">
      <alignment horizontal="center" vertical="top" wrapText="1"/>
    </xf>
    <xf numFmtId="0" fontId="9" fillId="0" borderId="9" xfId="0" applyFont="1" applyBorder="1" applyAlignment="1">
      <alignment/>
    </xf>
    <xf numFmtId="3" fontId="14" fillId="0" borderId="18" xfId="0" applyNumberFormat="1" applyFont="1" applyBorder="1" applyAlignment="1">
      <alignment horizontal="center"/>
    </xf>
    <xf numFmtId="3" fontId="14" fillId="0" borderId="56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14" fillId="0" borderId="12" xfId="0" applyFont="1" applyBorder="1" applyAlignment="1">
      <alignment horizontal="center"/>
    </xf>
    <xf numFmtId="3" fontId="9" fillId="0" borderId="12" xfId="0" applyNumberFormat="1" applyFont="1" applyBorder="1" applyAlignment="1">
      <alignment/>
    </xf>
    <xf numFmtId="0" fontId="34" fillId="0" borderId="1" xfId="0" applyFont="1" applyBorder="1" applyAlignment="1">
      <alignment/>
    </xf>
    <xf numFmtId="3" fontId="17" fillId="0" borderId="12" xfId="0" applyNumberFormat="1" applyFont="1" applyBorder="1" applyAlignment="1">
      <alignment horizontal="right"/>
    </xf>
    <xf numFmtId="3" fontId="17" fillId="0" borderId="12" xfId="0" applyNumberFormat="1" applyFont="1" applyBorder="1" applyAlignment="1">
      <alignment/>
    </xf>
    <xf numFmtId="0" fontId="35" fillId="0" borderId="0" xfId="0" applyFont="1" applyAlignment="1">
      <alignment/>
    </xf>
    <xf numFmtId="0" fontId="17" fillId="0" borderId="1" xfId="0" applyFont="1" applyBorder="1" applyAlignment="1">
      <alignment/>
    </xf>
    <xf numFmtId="3" fontId="14" fillId="0" borderId="12" xfId="0" applyNumberFormat="1" applyFont="1" applyBorder="1" applyAlignment="1">
      <alignment horizontal="right"/>
    </xf>
    <xf numFmtId="0" fontId="14" fillId="0" borderId="1" xfId="0" applyFont="1" applyBorder="1" applyAlignment="1">
      <alignment shrinkToFit="1"/>
    </xf>
    <xf numFmtId="0" fontId="9" fillId="0" borderId="1" xfId="0" applyFont="1" applyBorder="1" applyAlignment="1">
      <alignment shrinkToFit="1"/>
    </xf>
    <xf numFmtId="3" fontId="9" fillId="0" borderId="12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9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 shrinkToFit="1"/>
    </xf>
    <xf numFmtId="3" fontId="9" fillId="0" borderId="11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14" fillId="0" borderId="7" xfId="0" applyFont="1" applyBorder="1" applyAlignment="1">
      <alignment/>
    </xf>
    <xf numFmtId="3" fontId="14" fillId="0" borderId="16" xfId="0" applyNumberFormat="1" applyFont="1" applyBorder="1" applyAlignment="1">
      <alignment horizontal="right"/>
    </xf>
    <xf numFmtId="0" fontId="14" fillId="0" borderId="1" xfId="0" applyFont="1" applyBorder="1" applyAlignment="1">
      <alignment/>
    </xf>
    <xf numFmtId="0" fontId="34" fillId="0" borderId="1" xfId="0" applyFont="1" applyBorder="1" applyAlignment="1">
      <alignment shrinkToFit="1"/>
    </xf>
    <xf numFmtId="0" fontId="34" fillId="0" borderId="0" xfId="0" applyFont="1" applyAlignment="1">
      <alignment/>
    </xf>
    <xf numFmtId="0" fontId="36" fillId="0" borderId="0" xfId="0" applyFont="1" applyAlignment="1">
      <alignment/>
    </xf>
    <xf numFmtId="0" fontId="17" fillId="0" borderId="7" xfId="0" applyFont="1" applyBorder="1" applyAlignment="1">
      <alignment shrinkToFit="1"/>
    </xf>
    <xf numFmtId="3" fontId="17" fillId="0" borderId="16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14" fillId="0" borderId="56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3" fontId="9" fillId="0" borderId="12" xfId="0" applyNumberFormat="1" applyFont="1" applyBorder="1" applyAlignment="1">
      <alignment wrapText="1"/>
    </xf>
    <xf numFmtId="0" fontId="14" fillId="0" borderId="7" xfId="0" applyFont="1" applyBorder="1" applyAlignment="1">
      <alignment shrinkToFit="1"/>
    </xf>
    <xf numFmtId="3" fontId="14" fillId="0" borderId="29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14" fillId="0" borderId="0" xfId="0" applyNumberFormat="1" applyFont="1" applyAlignment="1">
      <alignment/>
    </xf>
    <xf numFmtId="0" fontId="4" fillId="0" borderId="18" xfId="0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3" fontId="0" fillId="0" borderId="12" xfId="0" applyNumberForma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/>
    </xf>
    <xf numFmtId="3" fontId="32" fillId="0" borderId="29" xfId="0" applyNumberFormat="1" applyFont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0" fillId="0" borderId="0" xfId="0" applyBorder="1" applyAlignment="1">
      <alignment/>
    </xf>
    <xf numFmtId="3" fontId="18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4" fillId="0" borderId="57" xfId="0" applyFont="1" applyBorder="1" applyAlignment="1">
      <alignment/>
    </xf>
    <xf numFmtId="0" fontId="3" fillId="0" borderId="24" xfId="0" applyFont="1" applyBorder="1" applyAlignment="1">
      <alignment/>
    </xf>
    <xf numFmtId="0" fontId="4" fillId="0" borderId="58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59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3" fillId="0" borderId="60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3" fontId="30" fillId="0" borderId="19" xfId="0" applyNumberFormat="1" applyFont="1" applyBorder="1" applyAlignment="1">
      <alignment horizontal="right" vertical="center" wrapText="1"/>
    </xf>
    <xf numFmtId="3" fontId="30" fillId="0" borderId="18" xfId="0" applyNumberFormat="1" applyFont="1" applyBorder="1" applyAlignment="1">
      <alignment horizontal="right" vertical="center" wrapText="1"/>
    </xf>
    <xf numFmtId="0" fontId="4" fillId="0" borderId="21" xfId="0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3" fontId="3" fillId="0" borderId="21" xfId="0" applyNumberFormat="1" applyFont="1" applyBorder="1" applyAlignment="1">
      <alignment horizontal="right" vertical="center" wrapText="1"/>
    </xf>
    <xf numFmtId="0" fontId="4" fillId="0" borderId="24" xfId="0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0" fontId="3" fillId="0" borderId="17" xfId="0" applyFont="1" applyBorder="1" applyAlignment="1">
      <alignment/>
    </xf>
    <xf numFmtId="3" fontId="30" fillId="0" borderId="24" xfId="0" applyNumberFormat="1" applyFont="1" applyBorder="1" applyAlignment="1">
      <alignment/>
    </xf>
    <xf numFmtId="49" fontId="3" fillId="0" borderId="1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49" fontId="3" fillId="0" borderId="24" xfId="0" applyNumberFormat="1" applyFont="1" applyBorder="1" applyAlignment="1">
      <alignment/>
    </xf>
    <xf numFmtId="3" fontId="3" fillId="0" borderId="8" xfId="0" applyNumberFormat="1" applyFont="1" applyBorder="1" applyAlignment="1">
      <alignment wrapText="1"/>
    </xf>
    <xf numFmtId="3" fontId="3" fillId="0" borderId="26" xfId="0" applyNumberFormat="1" applyFont="1" applyBorder="1" applyAlignment="1">
      <alignment wrapText="1"/>
    </xf>
    <xf numFmtId="3" fontId="3" fillId="0" borderId="6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4" xfId="0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61" xfId="0" applyNumberFormat="1" applyFont="1" applyBorder="1" applyAlignment="1">
      <alignment/>
    </xf>
    <xf numFmtId="0" fontId="3" fillId="0" borderId="17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3" fontId="4" fillId="0" borderId="1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49" fontId="3" fillId="0" borderId="17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49" fontId="4" fillId="0" borderId="24" xfId="0" applyNumberFormat="1" applyFont="1" applyBorder="1" applyAlignment="1">
      <alignment/>
    </xf>
    <xf numFmtId="0" fontId="30" fillId="0" borderId="24" xfId="0" applyFont="1" applyBorder="1" applyAlignment="1">
      <alignment/>
    </xf>
    <xf numFmtId="3" fontId="30" fillId="0" borderId="10" xfId="0" applyNumberFormat="1" applyFont="1" applyBorder="1" applyAlignment="1">
      <alignment/>
    </xf>
    <xf numFmtId="3" fontId="30" fillId="0" borderId="1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0" fontId="4" fillId="0" borderId="17" xfId="0" applyFont="1" applyBorder="1" applyAlignment="1">
      <alignment/>
    </xf>
    <xf numFmtId="49" fontId="4" fillId="0" borderId="26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0" fontId="4" fillId="0" borderId="7" xfId="0" applyFont="1" applyBorder="1" applyAlignment="1">
      <alignment/>
    </xf>
    <xf numFmtId="3" fontId="4" fillId="0" borderId="0" xfId="0" applyNumberFormat="1" applyFont="1" applyAlignment="1">
      <alignment/>
    </xf>
    <xf numFmtId="0" fontId="19" fillId="0" borderId="35" xfId="0" applyFont="1" applyBorder="1" applyAlignment="1">
      <alignment shrinkToFit="1"/>
    </xf>
    <xf numFmtId="0" fontId="9" fillId="0" borderId="12" xfId="19" applyFont="1" applyBorder="1" applyAlignment="1">
      <alignment/>
      <protection/>
    </xf>
    <xf numFmtId="3" fontId="14" fillId="0" borderId="12" xfId="19" applyNumberFormat="1" applyFont="1" applyBorder="1" applyAlignment="1">
      <alignment horizontal="right"/>
      <protection/>
    </xf>
    <xf numFmtId="3" fontId="14" fillId="0" borderId="23" xfId="19" applyNumberFormat="1" applyFont="1" applyBorder="1" applyAlignment="1">
      <alignment horizontal="right"/>
      <protection/>
    </xf>
    <xf numFmtId="3" fontId="14" fillId="0" borderId="29" xfId="19" applyNumberFormat="1" applyFont="1" applyBorder="1" applyAlignment="1">
      <alignment horizontal="right"/>
      <protection/>
    </xf>
    <xf numFmtId="3" fontId="4" fillId="0" borderId="21" xfId="0" applyNumberFormat="1" applyFont="1" applyBorder="1" applyAlignment="1">
      <alignment/>
    </xf>
    <xf numFmtId="3" fontId="17" fillId="0" borderId="23" xfId="0" applyNumberFormat="1" applyFont="1" applyBorder="1" applyAlignment="1">
      <alignment/>
    </xf>
    <xf numFmtId="0" fontId="3" fillId="0" borderId="35" xfId="20" applyFont="1" applyBorder="1">
      <alignment/>
      <protection/>
    </xf>
    <xf numFmtId="0" fontId="3" fillId="0" borderId="62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49" fontId="4" fillId="0" borderId="17" xfId="0" applyNumberFormat="1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3" fillId="0" borderId="63" xfId="0" applyFont="1" applyBorder="1" applyAlignment="1">
      <alignment/>
    </xf>
    <xf numFmtId="3" fontId="4" fillId="0" borderId="43" xfId="0" applyNumberFormat="1" applyFont="1" applyBorder="1" applyAlignment="1">
      <alignment/>
    </xf>
    <xf numFmtId="0" fontId="3" fillId="0" borderId="16" xfId="0" applyFont="1" applyBorder="1" applyAlignment="1">
      <alignment/>
    </xf>
    <xf numFmtId="3" fontId="4" fillId="0" borderId="16" xfId="0" applyNumberFormat="1" applyFont="1" applyBorder="1" applyAlignment="1">
      <alignment/>
    </xf>
    <xf numFmtId="37" fontId="4" fillId="0" borderId="29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3" fontId="32" fillId="0" borderId="24" xfId="0" applyNumberFormat="1" applyFont="1" applyBorder="1" applyAlignment="1">
      <alignment/>
    </xf>
    <xf numFmtId="3" fontId="4" fillId="0" borderId="48" xfId="0" applyNumberFormat="1" applyFont="1" applyBorder="1" applyAlignment="1">
      <alignment/>
    </xf>
    <xf numFmtId="3" fontId="4" fillId="0" borderId="49" xfId="0" applyNumberFormat="1" applyFont="1" applyBorder="1" applyAlignment="1">
      <alignment/>
    </xf>
    <xf numFmtId="3" fontId="3" fillId="0" borderId="49" xfId="0" applyNumberFormat="1" applyFont="1" applyBorder="1" applyAlignment="1">
      <alignment/>
    </xf>
    <xf numFmtId="3" fontId="3" fillId="0" borderId="49" xfId="0" applyNumberFormat="1" applyFont="1" applyBorder="1" applyAlignment="1">
      <alignment/>
    </xf>
    <xf numFmtId="3" fontId="4" fillId="0" borderId="49" xfId="0" applyNumberFormat="1" applyFont="1" applyBorder="1" applyAlignment="1">
      <alignment/>
    </xf>
    <xf numFmtId="0" fontId="4" fillId="0" borderId="16" xfId="0" applyFont="1" applyBorder="1" applyAlignment="1">
      <alignment horizontal="centerContinuous"/>
    </xf>
    <xf numFmtId="0" fontId="4" fillId="0" borderId="50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3" fontId="32" fillId="0" borderId="16" xfId="0" applyNumberFormat="1" applyFont="1" applyBorder="1" applyAlignment="1">
      <alignment/>
    </xf>
    <xf numFmtId="0" fontId="1" fillId="0" borderId="16" xfId="19" applyFont="1" applyBorder="1">
      <alignment/>
      <protection/>
    </xf>
    <xf numFmtId="0" fontId="9" fillId="0" borderId="23" xfId="0" applyFont="1" applyBorder="1" applyAlignment="1">
      <alignment/>
    </xf>
    <xf numFmtId="0" fontId="16" fillId="0" borderId="16" xfId="19" applyFont="1" applyBorder="1">
      <alignment/>
      <protection/>
    </xf>
    <xf numFmtId="0" fontId="38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39" fillId="0" borderId="64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37" fillId="0" borderId="64" xfId="0" applyFont="1" applyFill="1" applyBorder="1" applyAlignment="1">
      <alignment horizontal="center" vertical="center"/>
    </xf>
    <xf numFmtId="3" fontId="37" fillId="0" borderId="64" xfId="0" applyNumberFormat="1" applyFont="1" applyFill="1" applyBorder="1" applyAlignment="1">
      <alignment horizontal="right" vertical="center"/>
    </xf>
    <xf numFmtId="3" fontId="42" fillId="0" borderId="64" xfId="0" applyNumberFormat="1" applyFont="1" applyFill="1" applyBorder="1" applyAlignment="1">
      <alignment horizontal="right" vertical="center"/>
    </xf>
    <xf numFmtId="3" fontId="37" fillId="0" borderId="64" xfId="0" applyNumberFormat="1" applyFont="1" applyFill="1" applyBorder="1" applyAlignment="1">
      <alignment vertical="center"/>
    </xf>
    <xf numFmtId="3" fontId="38" fillId="0" borderId="0" xfId="0" applyNumberFormat="1" applyFont="1" applyFill="1" applyAlignment="1">
      <alignment vertical="center"/>
    </xf>
    <xf numFmtId="0" fontId="42" fillId="0" borderId="64" xfId="0" applyFont="1" applyFill="1" applyBorder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42" fillId="0" borderId="65" xfId="0" applyFont="1" applyFill="1" applyBorder="1" applyAlignment="1">
      <alignment horizontal="center" vertical="center"/>
    </xf>
    <xf numFmtId="3" fontId="37" fillId="0" borderId="0" xfId="0" applyNumberFormat="1" applyFont="1" applyFill="1" applyAlignment="1">
      <alignment vertical="center"/>
    </xf>
    <xf numFmtId="3" fontId="44" fillId="0" borderId="0" xfId="0" applyNumberFormat="1" applyFont="1" applyFill="1" applyAlignment="1">
      <alignment vertical="center"/>
    </xf>
    <xf numFmtId="3" fontId="37" fillId="0" borderId="0" xfId="0" applyNumberFormat="1" applyFont="1" applyFill="1" applyAlignment="1">
      <alignment vertical="center" wrapText="1"/>
    </xf>
    <xf numFmtId="3" fontId="37" fillId="0" borderId="0" xfId="0" applyNumberFormat="1" applyFont="1" applyFill="1" applyAlignment="1">
      <alignment horizontal="center" vertical="center"/>
    </xf>
    <xf numFmtId="3" fontId="42" fillId="0" borderId="0" xfId="0" applyNumberFormat="1" applyFont="1" applyFill="1" applyAlignment="1">
      <alignment vertical="center"/>
    </xf>
    <xf numFmtId="0" fontId="37" fillId="0" borderId="0" xfId="0" applyFont="1" applyFill="1" applyAlignment="1">
      <alignment vertical="center" wrapText="1"/>
    </xf>
    <xf numFmtId="0" fontId="37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3" fontId="42" fillId="0" borderId="66" xfId="0" applyNumberFormat="1" applyFont="1" applyFill="1" applyBorder="1" applyAlignment="1">
      <alignment horizontal="right" vertical="center"/>
    </xf>
    <xf numFmtId="3" fontId="42" fillId="0" borderId="67" xfId="0" applyNumberFormat="1" applyFont="1" applyFill="1" applyBorder="1" applyAlignment="1">
      <alignment horizontal="right" vertical="center"/>
    </xf>
    <xf numFmtId="0" fontId="42" fillId="0" borderId="64" xfId="0" applyFont="1" applyFill="1" applyBorder="1" applyAlignment="1">
      <alignment horizontal="center" vertical="center"/>
    </xf>
    <xf numFmtId="0" fontId="42" fillId="0" borderId="68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35" fillId="0" borderId="69" xfId="0" applyFont="1" applyBorder="1" applyAlignment="1">
      <alignment/>
    </xf>
    <xf numFmtId="0" fontId="14" fillId="0" borderId="70" xfId="0" applyFont="1" applyBorder="1" applyAlignment="1">
      <alignment horizontal="center"/>
    </xf>
    <xf numFmtId="0" fontId="14" fillId="0" borderId="71" xfId="0" applyFont="1" applyBorder="1" applyAlignment="1">
      <alignment horizontal="center"/>
    </xf>
    <xf numFmtId="0" fontId="9" fillId="0" borderId="72" xfId="0" applyFont="1" applyBorder="1" applyAlignment="1">
      <alignment/>
    </xf>
    <xf numFmtId="3" fontId="9" fillId="0" borderId="64" xfId="0" applyNumberFormat="1" applyFont="1" applyBorder="1" applyAlignment="1">
      <alignment/>
    </xf>
    <xf numFmtId="3" fontId="9" fillId="0" borderId="73" xfId="0" applyNumberFormat="1" applyFont="1" applyBorder="1" applyAlignment="1">
      <alignment/>
    </xf>
    <xf numFmtId="0" fontId="17" fillId="0" borderId="72" xfId="0" applyFont="1" applyBorder="1" applyAlignment="1">
      <alignment/>
    </xf>
    <xf numFmtId="3" fontId="17" fillId="0" borderId="64" xfId="0" applyNumberFormat="1" applyFont="1" applyBorder="1" applyAlignment="1">
      <alignment/>
    </xf>
    <xf numFmtId="3" fontId="17" fillId="0" borderId="73" xfId="0" applyNumberFormat="1" applyFont="1" applyBorder="1" applyAlignment="1">
      <alignment/>
    </xf>
    <xf numFmtId="0" fontId="9" fillId="0" borderId="64" xfId="0" applyFont="1" applyBorder="1" applyAlignment="1">
      <alignment/>
    </xf>
    <xf numFmtId="0" fontId="14" fillId="0" borderId="64" xfId="0" applyFont="1" applyBorder="1" applyAlignment="1">
      <alignment horizontal="center" wrapText="1"/>
    </xf>
    <xf numFmtId="0" fontId="14" fillId="0" borderId="73" xfId="0" applyFont="1" applyBorder="1" applyAlignment="1">
      <alignment horizontal="center" vertical="center"/>
    </xf>
    <xf numFmtId="0" fontId="35" fillId="0" borderId="72" xfId="0" applyFont="1" applyBorder="1" applyAlignment="1">
      <alignment/>
    </xf>
    <xf numFmtId="3" fontId="14" fillId="0" borderId="64" xfId="0" applyNumberFormat="1" applyFont="1" applyBorder="1" applyAlignment="1">
      <alignment/>
    </xf>
    <xf numFmtId="3" fontId="14" fillId="0" borderId="73" xfId="0" applyNumberFormat="1" applyFont="1" applyBorder="1" applyAlignment="1">
      <alignment/>
    </xf>
    <xf numFmtId="0" fontId="45" fillId="0" borderId="72" xfId="0" applyFont="1" applyBorder="1" applyAlignment="1">
      <alignment/>
    </xf>
    <xf numFmtId="0" fontId="9" fillId="0" borderId="72" xfId="0" applyFont="1" applyBorder="1" applyAlignment="1">
      <alignment shrinkToFit="1"/>
    </xf>
    <xf numFmtId="0" fontId="14" fillId="0" borderId="72" xfId="0" applyFont="1" applyBorder="1" applyAlignment="1">
      <alignment/>
    </xf>
    <xf numFmtId="0" fontId="17" fillId="0" borderId="74" xfId="0" applyFont="1" applyBorder="1" applyAlignment="1">
      <alignment/>
    </xf>
    <xf numFmtId="3" fontId="17" fillId="0" borderId="75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3" fontId="9" fillId="0" borderId="27" xfId="0" applyNumberFormat="1" applyFont="1" applyBorder="1" applyAlignment="1">
      <alignment/>
    </xf>
    <xf numFmtId="0" fontId="9" fillId="0" borderId="9" xfId="0" applyFont="1" applyBorder="1" applyAlignment="1">
      <alignment shrinkToFit="1"/>
    </xf>
    <xf numFmtId="3" fontId="4" fillId="0" borderId="56" xfId="0" applyNumberFormat="1" applyFont="1" applyBorder="1" applyAlignment="1">
      <alignment horizontal="center" vertical="center" wrapText="1"/>
    </xf>
    <xf numFmtId="3" fontId="4" fillId="0" borderId="44" xfId="0" applyNumberFormat="1" applyFont="1" applyBorder="1" applyAlignment="1">
      <alignment/>
    </xf>
    <xf numFmtId="3" fontId="30" fillId="0" borderId="49" xfId="0" applyNumberFormat="1" applyFont="1" applyBorder="1" applyAlignment="1">
      <alignment/>
    </xf>
    <xf numFmtId="0" fontId="3" fillId="0" borderId="49" xfId="0" applyFont="1" applyBorder="1" applyAlignment="1">
      <alignment/>
    </xf>
    <xf numFmtId="3" fontId="4" fillId="0" borderId="18" xfId="0" applyNumberFormat="1" applyFont="1" applyBorder="1" applyAlignment="1">
      <alignment/>
    </xf>
    <xf numFmtId="0" fontId="3" fillId="0" borderId="76" xfId="0" applyFont="1" applyBorder="1" applyAlignment="1">
      <alignment/>
    </xf>
    <xf numFmtId="0" fontId="4" fillId="0" borderId="23" xfId="0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wrapText="1"/>
    </xf>
    <xf numFmtId="0" fontId="9" fillId="0" borderId="28" xfId="19" applyFont="1" applyBorder="1" applyAlignment="1">
      <alignment horizontal="right"/>
      <protection/>
    </xf>
    <xf numFmtId="0" fontId="9" fillId="0" borderId="55" xfId="19" applyFont="1" applyBorder="1">
      <alignment/>
      <protection/>
    </xf>
    <xf numFmtId="0" fontId="9" fillId="0" borderId="1" xfId="19" applyFont="1" applyBorder="1" applyAlignment="1">
      <alignment horizontal="right"/>
      <protection/>
    </xf>
    <xf numFmtId="0" fontId="9" fillId="0" borderId="16" xfId="19" applyFont="1" applyBorder="1" applyAlignment="1">
      <alignment/>
      <protection/>
    </xf>
    <xf numFmtId="0" fontId="0" fillId="0" borderId="16" xfId="0" applyBorder="1" applyAlignment="1">
      <alignment/>
    </xf>
    <xf numFmtId="0" fontId="9" fillId="0" borderId="44" xfId="19" applyFont="1" applyBorder="1" applyAlignment="1">
      <alignment/>
      <protection/>
    </xf>
    <xf numFmtId="3" fontId="14" fillId="0" borderId="55" xfId="19" applyNumberFormat="1" applyFont="1" applyBorder="1" applyAlignment="1">
      <alignment horizontal="right"/>
      <protection/>
    </xf>
    <xf numFmtId="3" fontId="42" fillId="0" borderId="77" xfId="0" applyNumberFormat="1" applyFont="1" applyFill="1" applyBorder="1" applyAlignment="1">
      <alignment horizontal="right" vertical="center"/>
    </xf>
    <xf numFmtId="3" fontId="46" fillId="0" borderId="77" xfId="0" applyNumberFormat="1" applyFont="1" applyFill="1" applyBorder="1" applyAlignment="1">
      <alignment vertical="center"/>
    </xf>
    <xf numFmtId="3" fontId="46" fillId="0" borderId="67" xfId="0" applyNumberFormat="1" applyFont="1" applyFill="1" applyBorder="1" applyAlignment="1">
      <alignment vertical="center"/>
    </xf>
    <xf numFmtId="3" fontId="46" fillId="0" borderId="78" xfId="0" applyNumberFormat="1" applyFont="1" applyFill="1" applyBorder="1" applyAlignment="1">
      <alignment vertical="center"/>
    </xf>
    <xf numFmtId="0" fontId="14" fillId="0" borderId="79" xfId="0" applyFont="1" applyBorder="1" applyAlignment="1">
      <alignment horizontal="center"/>
    </xf>
    <xf numFmtId="3" fontId="17" fillId="0" borderId="25" xfId="0" applyNumberFormat="1" applyFont="1" applyBorder="1" applyAlignment="1">
      <alignment/>
    </xf>
    <xf numFmtId="3" fontId="9" fillId="0" borderId="25" xfId="0" applyNumberFormat="1" applyFont="1" applyBorder="1" applyAlignment="1">
      <alignment/>
    </xf>
    <xf numFmtId="3" fontId="14" fillId="0" borderId="25" xfId="0" applyNumberFormat="1" applyFont="1" applyBorder="1" applyAlignment="1">
      <alignment/>
    </xf>
    <xf numFmtId="3" fontId="14" fillId="0" borderId="80" xfId="0" applyNumberFormat="1" applyFont="1" applyBorder="1" applyAlignment="1">
      <alignment/>
    </xf>
    <xf numFmtId="3" fontId="14" fillId="0" borderId="79" xfId="0" applyNumberFormat="1" applyFont="1" applyBorder="1" applyAlignment="1">
      <alignment horizontal="center"/>
    </xf>
    <xf numFmtId="3" fontId="14" fillId="0" borderId="25" xfId="0" applyNumberFormat="1" applyFont="1" applyBorder="1" applyAlignment="1">
      <alignment/>
    </xf>
    <xf numFmtId="3" fontId="9" fillId="0" borderId="8" xfId="0" applyNumberFormat="1" applyFont="1" applyBorder="1" applyAlignment="1">
      <alignment/>
    </xf>
    <xf numFmtId="3" fontId="17" fillId="0" borderId="25" xfId="0" applyNumberFormat="1" applyFont="1" applyBorder="1" applyAlignment="1">
      <alignment/>
    </xf>
    <xf numFmtId="3" fontId="17" fillId="0" borderId="43" xfId="0" applyNumberFormat="1" applyFont="1" applyBorder="1" applyAlignment="1">
      <alignment/>
    </xf>
    <xf numFmtId="3" fontId="14" fillId="0" borderId="19" xfId="0" applyNumberFormat="1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right" vertical="center"/>
    </xf>
    <xf numFmtId="3" fontId="0" fillId="0" borderId="24" xfId="0" applyNumberFormat="1" applyBorder="1" applyAlignment="1">
      <alignment/>
    </xf>
    <xf numFmtId="3" fontId="32" fillId="0" borderId="43" xfId="0" applyNumberFormat="1" applyFont="1" applyBorder="1" applyAlignment="1">
      <alignment/>
    </xf>
    <xf numFmtId="3" fontId="4" fillId="0" borderId="49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32" fillId="0" borderId="49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2" fontId="21" fillId="0" borderId="49" xfId="0" applyNumberFormat="1" applyFont="1" applyBorder="1" applyAlignment="1">
      <alignment horizontal="center" vertical="top" wrapText="1"/>
    </xf>
    <xf numFmtId="2" fontId="21" fillId="0" borderId="51" xfId="0" applyNumberFormat="1" applyFont="1" applyBorder="1" applyAlignment="1">
      <alignment horizontal="center" vertical="top" wrapText="1"/>
    </xf>
    <xf numFmtId="2" fontId="21" fillId="0" borderId="12" xfId="0" applyNumberFormat="1" applyFont="1" applyBorder="1" applyAlignment="1">
      <alignment horizontal="center" vertical="top" wrapText="1"/>
    </xf>
    <xf numFmtId="2" fontId="21" fillId="0" borderId="54" xfId="0" applyNumberFormat="1" applyFont="1" applyBorder="1" applyAlignment="1">
      <alignment horizontal="center" vertical="top" wrapText="1"/>
    </xf>
    <xf numFmtId="0" fontId="9" fillId="0" borderId="73" xfId="0" applyFont="1" applyBorder="1" applyAlignment="1">
      <alignment/>
    </xf>
    <xf numFmtId="3" fontId="9" fillId="0" borderId="21" xfId="19" applyNumberFormat="1" applyFont="1" applyBorder="1">
      <alignment/>
      <protection/>
    </xf>
    <xf numFmtId="3" fontId="4" fillId="0" borderId="23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32" fillId="0" borderId="23" xfId="0" applyNumberFormat="1" applyFont="1" applyBorder="1" applyAlignment="1">
      <alignment/>
    </xf>
    <xf numFmtId="0" fontId="19" fillId="0" borderId="25" xfId="20" applyFont="1" applyBorder="1">
      <alignment/>
      <protection/>
    </xf>
    <xf numFmtId="0" fontId="19" fillId="0" borderId="2" xfId="20" applyFont="1" applyBorder="1" applyAlignment="1">
      <alignment horizontal="left"/>
      <protection/>
    </xf>
    <xf numFmtId="0" fontId="19" fillId="0" borderId="81" xfId="20" applyFont="1" applyBorder="1">
      <alignment/>
      <protection/>
    </xf>
    <xf numFmtId="0" fontId="19" fillId="0" borderId="38" xfId="20" applyFont="1" applyBorder="1" applyAlignment="1">
      <alignment horizontal="left"/>
      <protection/>
    </xf>
    <xf numFmtId="0" fontId="19" fillId="0" borderId="36" xfId="20" applyFont="1" applyBorder="1">
      <alignment/>
      <protection/>
    </xf>
    <xf numFmtId="0" fontId="3" fillId="0" borderId="37" xfId="20" applyFont="1" applyBorder="1">
      <alignment/>
      <protection/>
    </xf>
    <xf numFmtId="3" fontId="19" fillId="0" borderId="30" xfId="20" applyNumberFormat="1" applyFont="1" applyBorder="1">
      <alignment/>
      <protection/>
    </xf>
    <xf numFmtId="0" fontId="3" fillId="0" borderId="30" xfId="20" applyFont="1" applyBorder="1">
      <alignment/>
      <protection/>
    </xf>
    <xf numFmtId="0" fontId="19" fillId="0" borderId="8" xfId="20" applyFont="1" applyBorder="1">
      <alignment/>
      <protection/>
    </xf>
    <xf numFmtId="0" fontId="19" fillId="0" borderId="82" xfId="20" applyFont="1" applyBorder="1">
      <alignment/>
      <protection/>
    </xf>
    <xf numFmtId="0" fontId="17" fillId="0" borderId="12" xfId="0" applyFont="1" applyBorder="1" applyAlignment="1">
      <alignment/>
    </xf>
    <xf numFmtId="176" fontId="9" fillId="0" borderId="0" xfId="0" applyNumberFormat="1" applyFont="1" applyAlignment="1">
      <alignment/>
    </xf>
    <xf numFmtId="176" fontId="14" fillId="0" borderId="83" xfId="0" applyNumberFormat="1" applyFont="1" applyBorder="1" applyAlignment="1">
      <alignment horizontal="center"/>
    </xf>
    <xf numFmtId="176" fontId="9" fillId="0" borderId="66" xfId="0" applyNumberFormat="1" applyFont="1" applyBorder="1" applyAlignment="1">
      <alignment/>
    </xf>
    <xf numFmtId="176" fontId="17" fillId="0" borderId="66" xfId="0" applyNumberFormat="1" applyFont="1" applyBorder="1" applyAlignment="1">
      <alignment/>
    </xf>
    <xf numFmtId="176" fontId="14" fillId="0" borderId="84" xfId="0" applyNumberFormat="1" applyFont="1" applyBorder="1" applyAlignment="1">
      <alignment horizontal="center" vertical="center"/>
    </xf>
    <xf numFmtId="176" fontId="14" fillId="0" borderId="66" xfId="0" applyNumberFormat="1" applyFont="1" applyBorder="1" applyAlignment="1">
      <alignment/>
    </xf>
    <xf numFmtId="0" fontId="14" fillId="0" borderId="64" xfId="0" applyFont="1" applyBorder="1" applyAlignment="1">
      <alignment/>
    </xf>
    <xf numFmtId="0" fontId="9" fillId="0" borderId="70" xfId="0" applyFont="1" applyBorder="1" applyAlignment="1">
      <alignment/>
    </xf>
    <xf numFmtId="3" fontId="9" fillId="0" borderId="71" xfId="0" applyNumberFormat="1" applyFont="1" applyBorder="1" applyAlignment="1">
      <alignment/>
    </xf>
    <xf numFmtId="176" fontId="9" fillId="0" borderId="83" xfId="0" applyNumberFormat="1" applyFont="1" applyBorder="1" applyAlignment="1">
      <alignment/>
    </xf>
    <xf numFmtId="0" fontId="9" fillId="0" borderId="74" xfId="0" applyFont="1" applyBorder="1" applyAlignment="1">
      <alignment/>
    </xf>
    <xf numFmtId="0" fontId="9" fillId="0" borderId="68" xfId="0" applyFont="1" applyBorder="1" applyAlignment="1">
      <alignment/>
    </xf>
    <xf numFmtId="3" fontId="9" fillId="0" borderId="75" xfId="0" applyNumberFormat="1" applyFont="1" applyBorder="1" applyAlignment="1">
      <alignment/>
    </xf>
    <xf numFmtId="176" fontId="9" fillId="0" borderId="67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0" fontId="4" fillId="0" borderId="7" xfId="0" applyFont="1" applyBorder="1" applyAlignment="1">
      <alignment vertical="top" wrapText="1"/>
    </xf>
    <xf numFmtId="3" fontId="4" fillId="0" borderId="44" xfId="0" applyNumberFormat="1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3" fontId="4" fillId="0" borderId="50" xfId="0" applyNumberFormat="1" applyFont="1" applyBorder="1" applyAlignment="1">
      <alignment horizontal="right" vertical="center" wrapText="1"/>
    </xf>
    <xf numFmtId="0" fontId="9" fillId="0" borderId="3" xfId="19" applyFont="1" applyBorder="1" applyAlignment="1">
      <alignment/>
      <protection/>
    </xf>
    <xf numFmtId="3" fontId="9" fillId="0" borderId="43" xfId="19" applyNumberFormat="1" applyFont="1" applyBorder="1">
      <alignment/>
      <protection/>
    </xf>
    <xf numFmtId="3" fontId="9" fillId="0" borderId="80" xfId="19" applyNumberFormat="1" applyFont="1" applyBorder="1">
      <alignment/>
      <protection/>
    </xf>
    <xf numFmtId="0" fontId="9" fillId="0" borderId="65" xfId="0" applyFont="1" applyBorder="1" applyAlignment="1">
      <alignment shrinkToFit="1"/>
    </xf>
    <xf numFmtId="3" fontId="9" fillId="0" borderId="85" xfId="0" applyNumberFormat="1" applyFont="1" applyBorder="1" applyAlignment="1">
      <alignment/>
    </xf>
    <xf numFmtId="0" fontId="21" fillId="0" borderId="72" xfId="0" applyFont="1" applyBorder="1" applyAlignment="1">
      <alignment/>
    </xf>
    <xf numFmtId="3" fontId="21" fillId="0" borderId="64" xfId="0" applyNumberFormat="1" applyFont="1" applyBorder="1" applyAlignment="1">
      <alignment/>
    </xf>
    <xf numFmtId="3" fontId="21" fillId="0" borderId="73" xfId="0" applyNumberFormat="1" applyFont="1" applyBorder="1" applyAlignment="1">
      <alignment/>
    </xf>
    <xf numFmtId="176" fontId="21" fillId="0" borderId="66" xfId="0" applyNumberFormat="1" applyFont="1" applyBorder="1" applyAlignment="1">
      <alignment/>
    </xf>
    <xf numFmtId="3" fontId="17" fillId="0" borderId="66" xfId="0" applyNumberFormat="1" applyFont="1" applyBorder="1" applyAlignment="1">
      <alignment/>
    </xf>
    <xf numFmtId="3" fontId="17" fillId="0" borderId="67" xfId="0" applyNumberFormat="1" applyFont="1" applyBorder="1" applyAlignment="1">
      <alignment/>
    </xf>
    <xf numFmtId="0" fontId="9" fillId="0" borderId="0" xfId="0" applyFont="1" applyAlignment="1">
      <alignment horizontal="center"/>
    </xf>
    <xf numFmtId="3" fontId="21" fillId="0" borderId="66" xfId="0" applyNumberFormat="1" applyFont="1" applyBorder="1" applyAlignment="1">
      <alignment/>
    </xf>
    <xf numFmtId="0" fontId="4" fillId="0" borderId="24" xfId="0" applyFont="1" applyBorder="1" applyAlignment="1">
      <alignment wrapText="1"/>
    </xf>
    <xf numFmtId="0" fontId="45" fillId="0" borderId="86" xfId="0" applyFont="1" applyBorder="1" applyAlignment="1">
      <alignment/>
    </xf>
    <xf numFmtId="0" fontId="9" fillId="0" borderId="87" xfId="0" applyFont="1" applyBorder="1" applyAlignment="1">
      <alignment/>
    </xf>
    <xf numFmtId="3" fontId="9" fillId="0" borderId="88" xfId="0" applyNumberFormat="1" applyFont="1" applyBorder="1" applyAlignment="1">
      <alignment/>
    </xf>
    <xf numFmtId="176" fontId="9" fillId="0" borderId="84" xfId="0" applyNumberFormat="1" applyFont="1" applyBorder="1" applyAlignment="1">
      <alignment/>
    </xf>
    <xf numFmtId="0" fontId="9" fillId="0" borderId="89" xfId="0" applyFont="1" applyBorder="1" applyAlignment="1">
      <alignment/>
    </xf>
    <xf numFmtId="0" fontId="9" fillId="0" borderId="90" xfId="0" applyFont="1" applyBorder="1" applyAlignment="1">
      <alignment/>
    </xf>
    <xf numFmtId="3" fontId="9" fillId="0" borderId="91" xfId="0" applyNumberFormat="1" applyFont="1" applyBorder="1" applyAlignment="1">
      <alignment/>
    </xf>
    <xf numFmtId="176" fontId="9" fillId="0" borderId="92" xfId="0" applyNumberFormat="1" applyFont="1" applyBorder="1" applyAlignment="1">
      <alignment/>
    </xf>
    <xf numFmtId="0" fontId="35" fillId="0" borderId="86" xfId="0" applyFont="1" applyBorder="1" applyAlignment="1">
      <alignment/>
    </xf>
    <xf numFmtId="3" fontId="14" fillId="0" borderId="87" xfId="0" applyNumberFormat="1" applyFont="1" applyBorder="1" applyAlignment="1">
      <alignment/>
    </xf>
    <xf numFmtId="3" fontId="14" fillId="0" borderId="88" xfId="0" applyNumberFormat="1" applyFont="1" applyBorder="1" applyAlignment="1">
      <alignment/>
    </xf>
    <xf numFmtId="0" fontId="9" fillId="0" borderId="69" xfId="0" applyFont="1" applyBorder="1" applyAlignment="1">
      <alignment/>
    </xf>
    <xf numFmtId="0" fontId="3" fillId="0" borderId="93" xfId="0" applyFont="1" applyBorder="1" applyAlignment="1">
      <alignment vertical="top" wrapText="1"/>
    </xf>
    <xf numFmtId="3" fontId="3" fillId="0" borderId="15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9" fillId="0" borderId="94" xfId="0" applyNumberFormat="1" applyFont="1" applyBorder="1" applyAlignment="1">
      <alignment/>
    </xf>
    <xf numFmtId="0" fontId="14" fillId="0" borderId="11" xfId="19" applyFont="1" applyBorder="1" applyAlignment="1">
      <alignment horizontal="center" vertical="center"/>
      <protection/>
    </xf>
    <xf numFmtId="0" fontId="14" fillId="0" borderId="95" xfId="19" applyFont="1" applyBorder="1" applyAlignment="1">
      <alignment horizontal="center" vertical="center"/>
      <protection/>
    </xf>
    <xf numFmtId="0" fontId="9" fillId="0" borderId="76" xfId="0" applyFont="1" applyBorder="1" applyAlignment="1">
      <alignment vertical="center"/>
    </xf>
    <xf numFmtId="0" fontId="9" fillId="0" borderId="55" xfId="0" applyFont="1" applyBorder="1" applyAlignment="1">
      <alignment vertical="center"/>
    </xf>
    <xf numFmtId="0" fontId="14" fillId="0" borderId="95" xfId="19" applyFont="1" applyBorder="1" applyAlignment="1">
      <alignment horizontal="center" vertical="center" wrapText="1"/>
      <protection/>
    </xf>
    <xf numFmtId="0" fontId="0" fillId="0" borderId="76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3" fontId="14" fillId="0" borderId="96" xfId="19" applyNumberFormat="1" applyFont="1" applyBorder="1" applyAlignment="1">
      <alignment horizontal="center" vertical="center" wrapText="1"/>
      <protection/>
    </xf>
    <xf numFmtId="0" fontId="0" fillId="0" borderId="97" xfId="0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14" fillId="0" borderId="11" xfId="19" applyFont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14" fillId="0" borderId="79" xfId="0" applyFont="1" applyBorder="1" applyAlignment="1">
      <alignment horizontal="center" vertical="center"/>
    </xf>
    <xf numFmtId="0" fontId="14" fillId="0" borderId="95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/>
    </xf>
    <xf numFmtId="0" fontId="0" fillId="0" borderId="79" xfId="0" applyBorder="1" applyAlignment="1">
      <alignment/>
    </xf>
    <xf numFmtId="0" fontId="0" fillId="0" borderId="48" xfId="0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99" xfId="0" applyBorder="1" applyAlignment="1">
      <alignment horizontal="center"/>
    </xf>
    <xf numFmtId="0" fontId="0" fillId="0" borderId="100" xfId="0" applyBorder="1" applyAlignment="1">
      <alignment horizontal="center"/>
    </xf>
    <xf numFmtId="0" fontId="18" fillId="0" borderId="0" xfId="0" applyFont="1" applyAlignment="1">
      <alignment horizontal="center" shrinkToFit="1"/>
    </xf>
    <xf numFmtId="0" fontId="14" fillId="0" borderId="47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4" fillId="0" borderId="17" xfId="0" applyFont="1" applyBorder="1" applyAlignment="1">
      <alignment wrapText="1"/>
    </xf>
    <xf numFmtId="0" fontId="0" fillId="0" borderId="24" xfId="0" applyBorder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7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4" fillId="0" borderId="17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01" xfId="0" applyFont="1" applyBorder="1" applyAlignment="1">
      <alignment horizontal="center" vertical="center" wrapText="1"/>
    </xf>
    <xf numFmtId="0" fontId="3" fillId="0" borderId="102" xfId="0" applyFont="1" applyBorder="1" applyAlignment="1">
      <alignment horizontal="center" wrapText="1"/>
    </xf>
    <xf numFmtId="0" fontId="3" fillId="0" borderId="103" xfId="0" applyFont="1" applyBorder="1" applyAlignment="1">
      <alignment horizontal="center" wrapText="1"/>
    </xf>
    <xf numFmtId="0" fontId="4" fillId="0" borderId="47" xfId="0" applyFont="1" applyBorder="1" applyAlignment="1">
      <alignment horizontal="center"/>
    </xf>
    <xf numFmtId="0" fontId="3" fillId="0" borderId="79" xfId="0" applyFont="1" applyBorder="1" applyAlignment="1">
      <alignment/>
    </xf>
    <xf numFmtId="0" fontId="3" fillId="0" borderId="48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0" fillId="0" borderId="24" xfId="0" applyBorder="1" applyAlignment="1">
      <alignment/>
    </xf>
    <xf numFmtId="0" fontId="3" fillId="0" borderId="17" xfId="0" applyFont="1" applyBorder="1" applyAlignment="1">
      <alignment/>
    </xf>
    <xf numFmtId="0" fontId="18" fillId="0" borderId="0" xfId="20" applyFont="1" applyAlignment="1">
      <alignment horizontal="center"/>
      <protection/>
    </xf>
    <xf numFmtId="0" fontId="19" fillId="0" borderId="0" xfId="0" applyFont="1" applyAlignment="1">
      <alignment horizontal="center"/>
    </xf>
    <xf numFmtId="0" fontId="0" fillId="0" borderId="0" xfId="0" applyAlignment="1">
      <alignment/>
    </xf>
    <xf numFmtId="0" fontId="18" fillId="0" borderId="42" xfId="20" applyFont="1" applyBorder="1" applyAlignment="1">
      <alignment horizontal="center"/>
      <protection/>
    </xf>
    <xf numFmtId="0" fontId="20" fillId="0" borderId="99" xfId="0" applyFont="1" applyBorder="1" applyAlignment="1">
      <alignment/>
    </xf>
    <xf numFmtId="0" fontId="0" fillId="0" borderId="99" xfId="0" applyBorder="1" applyAlignment="1">
      <alignment/>
    </xf>
    <xf numFmtId="0" fontId="0" fillId="0" borderId="100" xfId="0" applyBorder="1" applyAlignment="1">
      <alignment/>
    </xf>
    <xf numFmtId="0" fontId="20" fillId="0" borderId="99" xfId="0" applyFont="1" applyBorder="1" applyAlignment="1">
      <alignment horizontal="center"/>
    </xf>
    <xf numFmtId="0" fontId="0" fillId="0" borderId="55" xfId="0" applyBorder="1" applyAlignment="1">
      <alignment vertical="center"/>
    </xf>
    <xf numFmtId="0" fontId="9" fillId="0" borderId="10" xfId="19" applyFont="1" applyBorder="1" applyAlignment="1">
      <alignment/>
      <protection/>
    </xf>
    <xf numFmtId="0" fontId="9" fillId="0" borderId="24" xfId="19" applyFont="1" applyBorder="1" applyAlignment="1">
      <alignment/>
      <protection/>
    </xf>
    <xf numFmtId="0" fontId="9" fillId="0" borderId="20" xfId="19" applyFont="1" applyBorder="1" applyAlignment="1">
      <alignment/>
      <protection/>
    </xf>
    <xf numFmtId="0" fontId="9" fillId="0" borderId="21" xfId="0" applyFont="1" applyBorder="1" applyAlignment="1">
      <alignment/>
    </xf>
    <xf numFmtId="0" fontId="9" fillId="0" borderId="25" xfId="19" applyFont="1" applyBorder="1" applyAlignment="1">
      <alignment/>
      <protection/>
    </xf>
    <xf numFmtId="0" fontId="9" fillId="0" borderId="24" xfId="0" applyFont="1" applyBorder="1" applyAlignment="1">
      <alignment/>
    </xf>
    <xf numFmtId="49" fontId="14" fillId="0" borderId="17" xfId="19" applyNumberFormat="1" applyFont="1" applyBorder="1" applyAlignment="1">
      <alignment horizontal="left"/>
      <protection/>
    </xf>
    <xf numFmtId="49" fontId="14" fillId="0" borderId="25" xfId="19" applyNumberFormat="1" applyFont="1" applyBorder="1" applyAlignment="1">
      <alignment horizontal="left"/>
      <protection/>
    </xf>
    <xf numFmtId="49" fontId="14" fillId="0" borderId="24" xfId="19" applyNumberFormat="1" applyFont="1" applyBorder="1" applyAlignment="1">
      <alignment horizontal="left"/>
      <protection/>
    </xf>
    <xf numFmtId="0" fontId="9" fillId="0" borderId="25" xfId="0" applyFont="1" applyBorder="1" applyAlignment="1">
      <alignment/>
    </xf>
    <xf numFmtId="0" fontId="14" fillId="0" borderId="17" xfId="19" applyFont="1" applyBorder="1" applyAlignment="1">
      <alignment horizontal="left"/>
      <protection/>
    </xf>
    <xf numFmtId="0" fontId="14" fillId="0" borderId="25" xfId="19" applyFont="1" applyBorder="1" applyAlignment="1">
      <alignment horizontal="left"/>
      <protection/>
    </xf>
    <xf numFmtId="0" fontId="14" fillId="0" borderId="24" xfId="19" applyFont="1" applyBorder="1" applyAlignment="1">
      <alignment horizontal="left"/>
      <protection/>
    </xf>
    <xf numFmtId="0" fontId="0" fillId="0" borderId="25" xfId="0" applyBorder="1" applyAlignment="1">
      <alignment horizontal="left"/>
    </xf>
    <xf numFmtId="0" fontId="0" fillId="0" borderId="24" xfId="0" applyBorder="1" applyAlignment="1">
      <alignment horizontal="left"/>
    </xf>
    <xf numFmtId="0" fontId="11" fillId="0" borderId="25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4" fillId="0" borderId="57" xfId="19" applyFont="1" applyBorder="1" applyAlignment="1">
      <alignment horizontal="left"/>
      <protection/>
    </xf>
    <xf numFmtId="0" fontId="11" fillId="0" borderId="8" xfId="0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0" fontId="9" fillId="0" borderId="4" xfId="19" applyFont="1" applyBorder="1" applyAlignment="1">
      <alignment/>
      <protection/>
    </xf>
    <xf numFmtId="0" fontId="0" fillId="0" borderId="21" xfId="0" applyBorder="1" applyAlignment="1">
      <alignment/>
    </xf>
    <xf numFmtId="0" fontId="14" fillId="0" borderId="101" xfId="19" applyFont="1" applyBorder="1" applyAlignment="1">
      <alignment horizontal="center" vertical="center"/>
      <protection/>
    </xf>
    <xf numFmtId="0" fontId="9" fillId="0" borderId="102" xfId="0" applyFont="1" applyBorder="1" applyAlignment="1">
      <alignment horizontal="center" vertical="center"/>
    </xf>
    <xf numFmtId="0" fontId="9" fillId="0" borderId="103" xfId="0" applyFont="1" applyBorder="1" applyAlignment="1">
      <alignment horizontal="center" vertical="center"/>
    </xf>
    <xf numFmtId="0" fontId="9" fillId="0" borderId="10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105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106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21" xfId="19" applyFont="1" applyBorder="1" applyAlignment="1">
      <alignment/>
      <protection/>
    </xf>
    <xf numFmtId="0" fontId="15" fillId="0" borderId="0" xfId="19" applyFont="1" applyAlignment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25" fillId="0" borderId="0" xfId="19" applyFont="1" applyAlignment="1">
      <alignment horizontal="center"/>
      <protection/>
    </xf>
    <xf numFmtId="0" fontId="9" fillId="0" borderId="25" xfId="19" applyFont="1" applyBorder="1" applyAlignment="1">
      <alignment horizontal="left"/>
      <protection/>
    </xf>
    <xf numFmtId="0" fontId="9" fillId="0" borderId="24" xfId="19" applyFont="1" applyBorder="1" applyAlignment="1">
      <alignment horizontal="left"/>
      <protection/>
    </xf>
    <xf numFmtId="0" fontId="39" fillId="0" borderId="83" xfId="0" applyFont="1" applyFill="1" applyBorder="1" applyAlignment="1">
      <alignment horizontal="center" vertical="center" wrapText="1"/>
    </xf>
    <xf numFmtId="0" fontId="39" fillId="0" borderId="66" xfId="0" applyFont="1" applyFill="1" applyBorder="1" applyAlignment="1">
      <alignment horizontal="center" vertical="center" wrapText="1"/>
    </xf>
    <xf numFmtId="0" fontId="39" fillId="0" borderId="70" xfId="0" applyFont="1" applyFill="1" applyBorder="1" applyAlignment="1">
      <alignment horizontal="center" vertical="center" wrapText="1"/>
    </xf>
    <xf numFmtId="0" fontId="39" fillId="0" borderId="64" xfId="0" applyFont="1" applyFill="1" applyBorder="1" applyAlignment="1">
      <alignment horizontal="center" vertical="center" wrapText="1"/>
    </xf>
    <xf numFmtId="0" fontId="39" fillId="0" borderId="69" xfId="0" applyFont="1" applyFill="1" applyBorder="1" applyAlignment="1">
      <alignment horizontal="center" vertical="center" wrapText="1"/>
    </xf>
    <xf numFmtId="0" fontId="39" fillId="0" borderId="72" xfId="0" applyFont="1" applyFill="1" applyBorder="1" applyAlignment="1">
      <alignment horizontal="center" vertical="center" wrapText="1"/>
    </xf>
    <xf numFmtId="0" fontId="37" fillId="0" borderId="107" xfId="0" applyFont="1" applyFill="1" applyBorder="1" applyAlignment="1">
      <alignment horizontal="center" vertical="center" wrapText="1"/>
    </xf>
    <xf numFmtId="0" fontId="0" fillId="0" borderId="107" xfId="0" applyBorder="1" applyAlignment="1">
      <alignment horizontal="center" vertical="center" wrapText="1"/>
    </xf>
    <xf numFmtId="0" fontId="39" fillId="0" borderId="70" xfId="0" applyFont="1" applyFill="1" applyBorder="1" applyAlignment="1">
      <alignment horizontal="center" vertical="center"/>
    </xf>
    <xf numFmtId="0" fontId="37" fillId="0" borderId="108" xfId="0" applyFont="1" applyFill="1" applyBorder="1" applyAlignment="1">
      <alignment horizontal="left" vertical="center" wrapText="1"/>
    </xf>
    <xf numFmtId="0" fontId="37" fillId="0" borderId="109" xfId="0" applyFont="1" applyFill="1" applyBorder="1" applyAlignment="1">
      <alignment horizontal="left" vertical="center" wrapText="1"/>
    </xf>
    <xf numFmtId="0" fontId="0" fillId="0" borderId="86" xfId="0" applyBorder="1" applyAlignment="1">
      <alignment horizontal="left" vertical="center" wrapText="1"/>
    </xf>
    <xf numFmtId="0" fontId="0" fillId="0" borderId="110" xfId="0" applyBorder="1" applyAlignment="1">
      <alignment horizontal="left" vertical="center" wrapText="1"/>
    </xf>
    <xf numFmtId="0" fontId="42" fillId="0" borderId="108" xfId="0" applyFont="1" applyFill="1" applyBorder="1" applyAlignment="1">
      <alignment horizontal="left" vertical="center" wrapText="1"/>
    </xf>
    <xf numFmtId="0" fontId="42" fillId="0" borderId="109" xfId="0" applyFont="1" applyFill="1" applyBorder="1" applyAlignment="1">
      <alignment horizontal="left" vertical="center" wrapText="1"/>
    </xf>
    <xf numFmtId="0" fontId="43" fillId="0" borderId="111" xfId="0" applyFont="1" applyBorder="1" applyAlignment="1">
      <alignment horizontal="left" vertical="center" wrapText="1"/>
    </xf>
    <xf numFmtId="0" fontId="43" fillId="0" borderId="86" xfId="0" applyFont="1" applyBorder="1" applyAlignment="1">
      <alignment horizontal="left" vertical="center" wrapText="1"/>
    </xf>
    <xf numFmtId="0" fontId="0" fillId="0" borderId="112" xfId="0" applyBorder="1" applyAlignment="1">
      <alignment horizontal="left" vertical="center" wrapText="1"/>
    </xf>
    <xf numFmtId="0" fontId="37" fillId="0" borderId="0" xfId="0" applyFont="1" applyFill="1" applyBorder="1" applyAlignment="1">
      <alignment horizontal="center" vertical="center"/>
    </xf>
    <xf numFmtId="0" fontId="0" fillId="0" borderId="112" xfId="0" applyBorder="1" applyAlignment="1">
      <alignment vertical="center" wrapText="1"/>
    </xf>
    <xf numFmtId="0" fontId="31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113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9" fillId="0" borderId="79" xfId="0" applyFont="1" applyBorder="1" applyAlignment="1">
      <alignment/>
    </xf>
    <xf numFmtId="0" fontId="15" fillId="0" borderId="0" xfId="0" applyFont="1" applyAlignment="1">
      <alignment horizontal="center" wrapText="1"/>
    </xf>
    <xf numFmtId="0" fontId="27" fillId="0" borderId="0" xfId="0" applyFont="1" applyAlignment="1">
      <alignment wrapText="1"/>
    </xf>
    <xf numFmtId="0" fontId="9" fillId="0" borderId="0" xfId="0" applyFont="1" applyAlignment="1">
      <alignment/>
    </xf>
    <xf numFmtId="0" fontId="14" fillId="0" borderId="0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Hyperlink" xfId="17"/>
    <cellStyle name="Followed Hyperlink" xfId="18"/>
    <cellStyle name="Normál_9702KV1" xfId="19"/>
    <cellStyle name="Normál_KTGVET98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SheetLayoutView="100" workbookViewId="0" topLeftCell="F34">
      <selection activeCell="K15" sqref="K15"/>
    </sheetView>
  </sheetViews>
  <sheetFormatPr defaultColWidth="9.00390625" defaultRowHeight="12.75"/>
  <cols>
    <col min="1" max="1" width="6.125" style="4" customWidth="1"/>
    <col min="2" max="2" width="51.125" style="4" customWidth="1"/>
    <col min="3" max="3" width="0.6171875" style="4" hidden="1" customWidth="1"/>
    <col min="4" max="4" width="11.625" style="4" customWidth="1"/>
    <col min="5" max="6" width="13.75390625" style="4" customWidth="1"/>
    <col min="7" max="7" width="63.25390625" style="4" customWidth="1"/>
    <col min="8" max="8" width="11.375" style="4" customWidth="1"/>
    <col min="9" max="11" width="13.75390625" style="4" customWidth="1"/>
    <col min="12" max="16384" width="9.125" style="4" customWidth="1"/>
  </cols>
  <sheetData>
    <row r="1" ht="12.75">
      <c r="A1" s="4" t="s">
        <v>372</v>
      </c>
    </row>
    <row r="2" spans="1:11" ht="12.75">
      <c r="A2" s="646" t="s">
        <v>63</v>
      </c>
      <c r="B2" s="646"/>
      <c r="C2" s="646"/>
      <c r="D2" s="646"/>
      <c r="E2" s="646"/>
      <c r="F2" s="646"/>
      <c r="G2" s="646"/>
      <c r="H2" s="647"/>
      <c r="I2" s="647"/>
      <c r="J2" s="647"/>
      <c r="K2" s="209"/>
    </row>
    <row r="3" spans="3:7" ht="13.5" thickBot="1">
      <c r="C3" s="9"/>
      <c r="D3" s="9"/>
      <c r="E3" s="9"/>
      <c r="F3" s="9"/>
      <c r="G3" s="9"/>
    </row>
    <row r="4" spans="1:11" ht="13.5" customHeight="1" thickTop="1">
      <c r="A4" s="652" t="s">
        <v>395</v>
      </c>
      <c r="B4" s="653"/>
      <c r="C4" s="653"/>
      <c r="D4" s="653"/>
      <c r="E4" s="653"/>
      <c r="F4" s="654"/>
      <c r="G4" s="655" t="s">
        <v>396</v>
      </c>
      <c r="H4" s="656"/>
      <c r="I4" s="656"/>
      <c r="J4" s="657"/>
      <c r="K4" s="363"/>
    </row>
    <row r="5" spans="1:11" ht="14.25" customHeight="1" thickBot="1">
      <c r="A5" s="369"/>
      <c r="B5" s="370"/>
      <c r="C5" s="371"/>
      <c r="D5" s="372" t="s">
        <v>352</v>
      </c>
      <c r="E5" s="372" t="s">
        <v>59</v>
      </c>
      <c r="F5" s="372" t="s">
        <v>259</v>
      </c>
      <c r="G5" s="447"/>
      <c r="H5" s="374" t="s">
        <v>357</v>
      </c>
      <c r="I5" s="373" t="s">
        <v>59</v>
      </c>
      <c r="J5" s="448" t="s">
        <v>259</v>
      </c>
      <c r="K5" s="138"/>
    </row>
    <row r="6" spans="1:11" ht="13.5" customHeight="1" thickTop="1">
      <c r="A6" s="375" t="s">
        <v>397</v>
      </c>
      <c r="B6" s="376"/>
      <c r="C6" s="377"/>
      <c r="D6" s="378">
        <f>SUM(D7:D8)</f>
        <v>420244</v>
      </c>
      <c r="E6" s="379">
        <f>SUM(E7:E8)</f>
        <v>572687</v>
      </c>
      <c r="F6" s="379">
        <f>SUM(F7:F8)</f>
        <v>539225</v>
      </c>
      <c r="G6" s="380" t="s">
        <v>384</v>
      </c>
      <c r="H6" s="381">
        <v>1727161</v>
      </c>
      <c r="I6" s="510">
        <v>1818064</v>
      </c>
      <c r="J6" s="442">
        <v>1859498</v>
      </c>
      <c r="K6" s="139"/>
    </row>
    <row r="7" spans="1:11" ht="12.75" customHeight="1" thickBot="1">
      <c r="A7" s="383" t="s">
        <v>398</v>
      </c>
      <c r="B7" s="384"/>
      <c r="C7" s="371"/>
      <c r="D7" s="385">
        <v>128235</v>
      </c>
      <c r="E7" s="385">
        <v>139687</v>
      </c>
      <c r="F7" s="385">
        <v>150935</v>
      </c>
      <c r="G7" s="386"/>
      <c r="H7" s="263"/>
      <c r="I7" s="511"/>
      <c r="J7" s="435"/>
      <c r="K7" s="140"/>
    </row>
    <row r="8" spans="1:11" ht="15" thickTop="1">
      <c r="A8" s="383" t="s">
        <v>399</v>
      </c>
      <c r="B8" s="384"/>
      <c r="C8" s="387" t="s">
        <v>420</v>
      </c>
      <c r="D8" s="388">
        <v>292009</v>
      </c>
      <c r="E8" s="388">
        <v>433000</v>
      </c>
      <c r="F8" s="388">
        <v>388290</v>
      </c>
      <c r="G8" s="386" t="s">
        <v>477</v>
      </c>
      <c r="H8" s="389">
        <v>545537</v>
      </c>
      <c r="I8" s="224">
        <v>564126</v>
      </c>
      <c r="J8" s="443">
        <v>560039</v>
      </c>
      <c r="K8" s="139"/>
    </row>
    <row r="9" spans="1:11" ht="15">
      <c r="A9" s="383"/>
      <c r="B9" s="384"/>
      <c r="C9" s="387"/>
      <c r="D9" s="388"/>
      <c r="E9" s="388"/>
      <c r="F9" s="388"/>
      <c r="G9" s="386"/>
      <c r="H9" s="263"/>
      <c r="I9" s="219"/>
      <c r="J9" s="444"/>
      <c r="K9" s="140"/>
    </row>
    <row r="10" spans="1:11" ht="14.25">
      <c r="A10" s="391" t="s">
        <v>400</v>
      </c>
      <c r="B10" s="285"/>
      <c r="C10" s="390" t="s">
        <v>468</v>
      </c>
      <c r="D10" s="392">
        <f>SUM(D11:D18)</f>
        <v>1982922</v>
      </c>
      <c r="E10" s="222">
        <f>SUM(E11:E18)</f>
        <v>1984422</v>
      </c>
      <c r="F10" s="222">
        <f>SUM(F11:F18)</f>
        <v>1975922</v>
      </c>
      <c r="G10" s="386" t="s">
        <v>55</v>
      </c>
      <c r="H10" s="389">
        <v>1347910</v>
      </c>
      <c r="I10" s="224">
        <v>1447568</v>
      </c>
      <c r="J10" s="443">
        <v>1518231</v>
      </c>
      <c r="K10" s="139"/>
    </row>
    <row r="11" spans="1:11" ht="15">
      <c r="A11" s="393" t="s">
        <v>401</v>
      </c>
      <c r="B11" s="285"/>
      <c r="C11" s="390" t="s">
        <v>469</v>
      </c>
      <c r="D11" s="394">
        <v>1179400</v>
      </c>
      <c r="E11" s="394">
        <v>1179400</v>
      </c>
      <c r="F11" s="394">
        <v>1179400</v>
      </c>
      <c r="G11" s="386"/>
      <c r="H11" s="263"/>
      <c r="I11" s="219"/>
      <c r="J11" s="444"/>
      <c r="K11" s="140"/>
    </row>
    <row r="12" spans="1:11" ht="14.25">
      <c r="A12" s="393" t="s">
        <v>402</v>
      </c>
      <c r="B12" s="395"/>
      <c r="C12" s="390"/>
      <c r="D12" s="394"/>
      <c r="E12" s="394"/>
      <c r="F12" s="394"/>
      <c r="G12" s="386" t="s">
        <v>478</v>
      </c>
      <c r="H12" s="389">
        <f>SUM(H13:H14)</f>
        <v>415973</v>
      </c>
      <c r="I12" s="224">
        <f>SUM(I13:I14)</f>
        <v>575985</v>
      </c>
      <c r="J12" s="443">
        <f>SUM(J13:J14)</f>
        <v>607145</v>
      </c>
      <c r="K12" s="139"/>
    </row>
    <row r="13" spans="1:11" ht="15">
      <c r="A13" s="391"/>
      <c r="B13" s="285" t="s">
        <v>403</v>
      </c>
      <c r="C13" s="390" t="s">
        <v>470</v>
      </c>
      <c r="D13" s="394">
        <v>426533</v>
      </c>
      <c r="E13" s="394">
        <v>426533</v>
      </c>
      <c r="F13" s="394">
        <v>426533</v>
      </c>
      <c r="G13" s="285" t="s">
        <v>388</v>
      </c>
      <c r="H13" s="263">
        <v>218870</v>
      </c>
      <c r="I13" s="219">
        <v>274864</v>
      </c>
      <c r="J13" s="444">
        <v>299024</v>
      </c>
      <c r="K13" s="140"/>
    </row>
    <row r="14" spans="1:11" ht="15" customHeight="1">
      <c r="A14" s="391"/>
      <c r="B14" s="285" t="s">
        <v>404</v>
      </c>
      <c r="C14" s="396" t="s">
        <v>471</v>
      </c>
      <c r="D14" s="397"/>
      <c r="E14" s="397"/>
      <c r="F14" s="397"/>
      <c r="G14" s="285" t="s">
        <v>389</v>
      </c>
      <c r="H14" s="263">
        <v>197103</v>
      </c>
      <c r="I14" s="219">
        <v>301121</v>
      </c>
      <c r="J14" s="444">
        <v>308121</v>
      </c>
      <c r="K14" s="140"/>
    </row>
    <row r="15" spans="1:11" ht="15">
      <c r="A15" s="391"/>
      <c r="B15" s="285" t="s">
        <v>405</v>
      </c>
      <c r="C15" s="390" t="s">
        <v>472</v>
      </c>
      <c r="D15" s="394">
        <v>275000</v>
      </c>
      <c r="E15" s="394">
        <v>275000</v>
      </c>
      <c r="F15" s="394">
        <v>275000</v>
      </c>
      <c r="G15" s="285"/>
      <c r="H15" s="263"/>
      <c r="I15" s="219"/>
      <c r="J15" s="444"/>
      <c r="K15" s="140"/>
    </row>
    <row r="16" spans="1:11" ht="14.25">
      <c r="A16" s="391" t="s">
        <v>406</v>
      </c>
      <c r="B16" s="285"/>
      <c r="C16" s="390"/>
      <c r="D16" s="398">
        <v>400</v>
      </c>
      <c r="E16" s="398">
        <v>400</v>
      </c>
      <c r="F16" s="398">
        <v>400</v>
      </c>
      <c r="G16" s="386" t="s">
        <v>479</v>
      </c>
      <c r="H16" s="389">
        <v>159000</v>
      </c>
      <c r="I16" s="224">
        <v>160373</v>
      </c>
      <c r="J16" s="443">
        <v>163626</v>
      </c>
      <c r="K16" s="139"/>
    </row>
    <row r="17" spans="1:11" ht="15">
      <c r="A17" s="400" t="s">
        <v>174</v>
      </c>
      <c r="B17" s="368"/>
      <c r="C17" s="390" t="s">
        <v>473</v>
      </c>
      <c r="D17" s="394">
        <v>3200</v>
      </c>
      <c r="E17" s="394">
        <v>3200</v>
      </c>
      <c r="F17" s="394">
        <v>3200</v>
      </c>
      <c r="G17" s="386"/>
      <c r="H17" s="389"/>
      <c r="I17" s="219"/>
      <c r="J17" s="444"/>
      <c r="K17" s="140"/>
    </row>
    <row r="18" spans="1:11" ht="14.25">
      <c r="A18" s="391" t="s">
        <v>371</v>
      </c>
      <c r="B18" s="285"/>
      <c r="C18" s="1"/>
      <c r="D18" s="394">
        <v>98389</v>
      </c>
      <c r="E18" s="394">
        <v>99889</v>
      </c>
      <c r="F18" s="394">
        <v>91389</v>
      </c>
      <c r="G18" s="386" t="s">
        <v>480</v>
      </c>
      <c r="H18" s="389">
        <v>8883</v>
      </c>
      <c r="I18" s="224">
        <v>9603</v>
      </c>
      <c r="J18" s="443">
        <v>8529</v>
      </c>
      <c r="K18" s="139"/>
    </row>
    <row r="19" spans="1:11" ht="15">
      <c r="A19" s="650" t="s">
        <v>407</v>
      </c>
      <c r="B19" s="651"/>
      <c r="C19" s="1"/>
      <c r="D19" s="403">
        <f>SUM(D6+D10)</f>
        <v>2403166</v>
      </c>
      <c r="E19" s="224">
        <f>SUM(E6+E10)</f>
        <v>2557109</v>
      </c>
      <c r="F19" s="224">
        <f>SUM(F6+F10)</f>
        <v>2515147</v>
      </c>
      <c r="G19" s="386"/>
      <c r="H19" s="263"/>
      <c r="I19" s="511"/>
      <c r="J19" s="435"/>
      <c r="K19" s="140"/>
    </row>
    <row r="20" spans="1:11" ht="15">
      <c r="A20" s="401"/>
      <c r="B20" s="402"/>
      <c r="C20" s="1"/>
      <c r="D20" s="403"/>
      <c r="E20" s="403"/>
      <c r="F20" s="403"/>
      <c r="G20" s="386" t="s">
        <v>408</v>
      </c>
      <c r="H20" s="389">
        <v>1090889</v>
      </c>
      <c r="I20" s="224">
        <v>1310393</v>
      </c>
      <c r="J20" s="443">
        <v>2031760</v>
      </c>
      <c r="K20" s="140"/>
    </row>
    <row r="21" spans="1:11" ht="14.25">
      <c r="A21" s="400" t="s">
        <v>41</v>
      </c>
      <c r="B21" s="402"/>
      <c r="C21" s="1"/>
      <c r="D21" s="404"/>
      <c r="E21" s="398">
        <v>114</v>
      </c>
      <c r="F21" s="398">
        <v>1614</v>
      </c>
      <c r="G21" s="386"/>
      <c r="H21" s="389"/>
      <c r="I21" s="224"/>
      <c r="J21" s="443"/>
      <c r="K21" s="139"/>
    </row>
    <row r="22" spans="1:11" ht="15">
      <c r="A22" s="400" t="s">
        <v>409</v>
      </c>
      <c r="B22" s="368"/>
      <c r="C22" s="382" t="s">
        <v>393</v>
      </c>
      <c r="D22" s="394">
        <v>286000</v>
      </c>
      <c r="E22" s="394">
        <v>286000</v>
      </c>
      <c r="F22" s="394">
        <v>286000</v>
      </c>
      <c r="G22" s="386" t="s">
        <v>427</v>
      </c>
      <c r="H22" s="389">
        <v>224756</v>
      </c>
      <c r="I22" s="224">
        <v>413244</v>
      </c>
      <c r="J22" s="443">
        <v>446775</v>
      </c>
      <c r="K22" s="140"/>
    </row>
    <row r="23" spans="1:11" ht="14.25">
      <c r="A23" s="405" t="s">
        <v>461</v>
      </c>
      <c r="B23" s="406"/>
      <c r="C23" s="382" t="s">
        <v>410</v>
      </c>
      <c r="D23" s="398">
        <v>6000</v>
      </c>
      <c r="E23" s="398">
        <v>6000</v>
      </c>
      <c r="F23" s="398">
        <v>6000</v>
      </c>
      <c r="G23" s="386"/>
      <c r="H23" s="263"/>
      <c r="I23" s="219"/>
      <c r="J23" s="444"/>
      <c r="K23" s="139"/>
    </row>
    <row r="24" spans="1:11" ht="15">
      <c r="A24" s="405" t="s">
        <v>204</v>
      </c>
      <c r="B24" s="406"/>
      <c r="C24" s="382" t="s">
        <v>474</v>
      </c>
      <c r="D24" s="394">
        <v>8000</v>
      </c>
      <c r="E24" s="394">
        <v>8000</v>
      </c>
      <c r="F24" s="394">
        <v>0</v>
      </c>
      <c r="G24" s="386" t="s">
        <v>387</v>
      </c>
      <c r="H24" s="389">
        <v>133031</v>
      </c>
      <c r="I24" s="224">
        <v>133031</v>
      </c>
      <c r="J24" s="443">
        <v>133031</v>
      </c>
      <c r="K24" s="140"/>
    </row>
    <row r="25" spans="1:11" ht="14.25">
      <c r="A25" s="391" t="s">
        <v>411</v>
      </c>
      <c r="B25" s="285"/>
      <c r="C25" s="7"/>
      <c r="D25" s="394">
        <v>43631</v>
      </c>
      <c r="E25" s="394">
        <v>5631</v>
      </c>
      <c r="F25" s="394">
        <v>5631</v>
      </c>
      <c r="G25" s="386"/>
      <c r="H25" s="389"/>
      <c r="I25" s="224"/>
      <c r="J25" s="443"/>
      <c r="K25" s="139"/>
    </row>
    <row r="26" spans="1:11" ht="15">
      <c r="A26" s="383" t="s">
        <v>249</v>
      </c>
      <c r="B26" s="384"/>
      <c r="C26" s="7"/>
      <c r="D26" s="394">
        <v>11720</v>
      </c>
      <c r="E26" s="394">
        <v>20820</v>
      </c>
      <c r="F26" s="394">
        <v>20820</v>
      </c>
      <c r="G26" s="386" t="s">
        <v>239</v>
      </c>
      <c r="H26" s="389">
        <f>SUM(H27:H30)</f>
        <v>8500</v>
      </c>
      <c r="I26" s="407">
        <f>SUM(I27:I30)</f>
        <v>40500</v>
      </c>
      <c r="J26" s="446">
        <f>SUM(J27:J30)</f>
        <v>40500</v>
      </c>
      <c r="K26" s="140"/>
    </row>
    <row r="27" spans="1:11" ht="14.25" customHeight="1">
      <c r="A27" s="648" t="s">
        <v>165</v>
      </c>
      <c r="B27" s="649"/>
      <c r="C27" s="7"/>
      <c r="D27" s="394">
        <v>2200000</v>
      </c>
      <c r="E27" s="394"/>
      <c r="F27" s="394"/>
      <c r="G27" s="285" t="s">
        <v>8</v>
      </c>
      <c r="H27" s="263">
        <v>8500</v>
      </c>
      <c r="I27" s="219">
        <v>8500</v>
      </c>
      <c r="J27" s="444">
        <v>8500</v>
      </c>
      <c r="K27" s="364"/>
    </row>
    <row r="28" spans="1:11" ht="14.25" customHeight="1">
      <c r="A28" s="658" t="s">
        <v>413</v>
      </c>
      <c r="B28" s="659"/>
      <c r="C28" s="7"/>
      <c r="D28" s="404">
        <f>SUM(D21:D27)</f>
        <v>2555351</v>
      </c>
      <c r="E28" s="404">
        <f>SUM(E21:E27)</f>
        <v>326565</v>
      </c>
      <c r="F28" s="404">
        <f>SUM(F21:F27)</f>
        <v>320065</v>
      </c>
      <c r="G28" s="285" t="s">
        <v>504</v>
      </c>
      <c r="H28" s="263"/>
      <c r="I28" s="219">
        <v>2000</v>
      </c>
      <c r="J28" s="444">
        <v>2000</v>
      </c>
      <c r="K28" s="140"/>
    </row>
    <row r="29" spans="1:11" ht="12.75" customHeight="1">
      <c r="A29" s="648"/>
      <c r="B29" s="649"/>
      <c r="C29" s="7"/>
      <c r="D29" s="394"/>
      <c r="E29" s="394"/>
      <c r="F29" s="394"/>
      <c r="G29" s="395" t="s">
        <v>505</v>
      </c>
      <c r="H29" s="389"/>
      <c r="I29" s="410">
        <v>5000</v>
      </c>
      <c r="J29" s="445">
        <v>5000</v>
      </c>
      <c r="K29" s="140"/>
    </row>
    <row r="30" spans="1:11" ht="12.75" customHeight="1">
      <c r="A30" s="409" t="s">
        <v>414</v>
      </c>
      <c r="B30" s="368"/>
      <c r="C30" s="7"/>
      <c r="D30" s="394">
        <v>1009304</v>
      </c>
      <c r="E30" s="394">
        <v>979945</v>
      </c>
      <c r="F30" s="394">
        <v>979945</v>
      </c>
      <c r="G30" s="395" t="s">
        <v>506</v>
      </c>
      <c r="H30" s="389"/>
      <c r="I30" s="410">
        <v>25000</v>
      </c>
      <c r="J30" s="445">
        <v>25000</v>
      </c>
      <c r="K30" s="365"/>
    </row>
    <row r="31" spans="1:11" ht="12.75" customHeight="1">
      <c r="A31" s="400" t="s">
        <v>377</v>
      </c>
      <c r="B31" s="368"/>
      <c r="C31" s="7"/>
      <c r="D31" s="394">
        <v>1713</v>
      </c>
      <c r="E31" s="394">
        <v>2474</v>
      </c>
      <c r="F31" s="394">
        <v>2474</v>
      </c>
      <c r="G31" s="411"/>
      <c r="H31" s="389"/>
      <c r="I31" s="407"/>
      <c r="J31" s="446"/>
      <c r="K31" s="364"/>
    </row>
    <row r="32" spans="1:11" ht="12.75" customHeight="1">
      <c r="A32" s="400" t="s">
        <v>166</v>
      </c>
      <c r="B32" s="368"/>
      <c r="C32" s="408" t="s">
        <v>475</v>
      </c>
      <c r="D32" s="394">
        <v>87870</v>
      </c>
      <c r="E32" s="394">
        <v>87870</v>
      </c>
      <c r="F32" s="394">
        <v>127870</v>
      </c>
      <c r="G32" s="411" t="s">
        <v>412</v>
      </c>
      <c r="H32" s="389">
        <f>SUM(H33:H34)</f>
        <v>1470931</v>
      </c>
      <c r="I32" s="407">
        <f>SUM(I33:I34)</f>
        <v>907335</v>
      </c>
      <c r="J32" s="446">
        <f>SUM(J33:J34)</f>
        <v>720205</v>
      </c>
      <c r="K32" s="140"/>
    </row>
    <row r="33" spans="1:11" ht="12.75" customHeight="1">
      <c r="A33" s="400" t="s">
        <v>356</v>
      </c>
      <c r="B33" s="368"/>
      <c r="C33" s="408"/>
      <c r="D33" s="394"/>
      <c r="E33" s="394">
        <v>72141</v>
      </c>
      <c r="F33" s="394">
        <v>85872</v>
      </c>
      <c r="G33" s="412" t="s">
        <v>175</v>
      </c>
      <c r="H33" s="413">
        <v>8000</v>
      </c>
      <c r="I33" s="219">
        <v>22602</v>
      </c>
      <c r="J33" s="444">
        <v>20000</v>
      </c>
      <c r="K33" s="366"/>
    </row>
    <row r="34" spans="1:11" ht="12.75" customHeight="1">
      <c r="A34" s="661" t="s">
        <v>241</v>
      </c>
      <c r="B34" s="643"/>
      <c r="C34" s="408"/>
      <c r="D34" s="388">
        <v>17601</v>
      </c>
      <c r="E34" s="388">
        <v>33028</v>
      </c>
      <c r="F34" s="388">
        <v>33028</v>
      </c>
      <c r="G34" s="412" t="s">
        <v>176</v>
      </c>
      <c r="H34" s="414">
        <f>SUM(H35:H40)</f>
        <v>1462931</v>
      </c>
      <c r="I34" s="222">
        <f>SUM(I35:I40)</f>
        <v>884733</v>
      </c>
      <c r="J34" s="508">
        <f>SUM(J35:J40)</f>
        <v>700205</v>
      </c>
      <c r="K34" s="140"/>
    </row>
    <row r="35" spans="1:11" ht="12.75" customHeight="1">
      <c r="A35" s="661" t="s">
        <v>503</v>
      </c>
      <c r="B35" s="660"/>
      <c r="C35" s="408"/>
      <c r="D35" s="388"/>
      <c r="E35" s="388">
        <v>1794</v>
      </c>
      <c r="F35" s="388">
        <v>2087</v>
      </c>
      <c r="G35" s="285" t="s">
        <v>253</v>
      </c>
      <c r="H35" s="263">
        <v>1200000</v>
      </c>
      <c r="I35" s="219">
        <v>793991</v>
      </c>
      <c r="J35" s="444">
        <v>635061</v>
      </c>
      <c r="K35" s="140"/>
    </row>
    <row r="36" spans="1:11" ht="12.75" customHeight="1">
      <c r="A36" s="650" t="s">
        <v>415</v>
      </c>
      <c r="B36" s="651"/>
      <c r="C36" s="408"/>
      <c r="D36" s="415">
        <f>SUM(D30:D34)</f>
        <v>1116488</v>
      </c>
      <c r="E36" s="416">
        <f>SUM(E30:E35)</f>
        <v>1177252</v>
      </c>
      <c r="F36" s="416">
        <f>SUM(F30:F35)</f>
        <v>1231276</v>
      </c>
      <c r="G36" s="285" t="s">
        <v>141</v>
      </c>
      <c r="H36" s="263">
        <v>50000</v>
      </c>
      <c r="I36" s="219">
        <v>117</v>
      </c>
      <c r="J36" s="444">
        <v>117</v>
      </c>
      <c r="K36" s="140"/>
    </row>
    <row r="37" spans="1:11" ht="12.75" customHeight="1">
      <c r="A37" s="401"/>
      <c r="B37" s="285"/>
      <c r="C37" s="1"/>
      <c r="D37" s="394"/>
      <c r="E37" s="394"/>
      <c r="F37" s="394"/>
      <c r="G37" s="285" t="s">
        <v>254</v>
      </c>
      <c r="H37" s="263">
        <v>69575</v>
      </c>
      <c r="I37" s="219">
        <v>14972</v>
      </c>
      <c r="J37" s="444">
        <v>28775</v>
      </c>
      <c r="K37" s="140"/>
    </row>
    <row r="38" spans="1:11" ht="12.75" customHeight="1">
      <c r="A38" s="10" t="s">
        <v>336</v>
      </c>
      <c r="B38" s="285"/>
      <c r="C38" s="399"/>
      <c r="D38" s="388">
        <v>796639</v>
      </c>
      <c r="E38" s="388">
        <v>758491</v>
      </c>
      <c r="F38" s="388">
        <v>758491</v>
      </c>
      <c r="G38" s="285" t="s">
        <v>375</v>
      </c>
      <c r="H38" s="263">
        <v>100000</v>
      </c>
      <c r="I38" s="219">
        <v>75653</v>
      </c>
      <c r="J38" s="444">
        <v>36252</v>
      </c>
      <c r="K38" s="140"/>
    </row>
    <row r="39" spans="1:11" ht="12.75" customHeight="1">
      <c r="A39" s="10" t="s">
        <v>337</v>
      </c>
      <c r="B39" s="395"/>
      <c r="C39" s="399"/>
      <c r="D39" s="388">
        <v>106900</v>
      </c>
      <c r="E39" s="388">
        <v>130057</v>
      </c>
      <c r="F39" s="388">
        <v>151062</v>
      </c>
      <c r="G39" s="285" t="s">
        <v>140</v>
      </c>
      <c r="H39" s="220">
        <v>4800</v>
      </c>
      <c r="I39" s="219"/>
      <c r="J39" s="444"/>
      <c r="K39" s="140"/>
    </row>
    <row r="40" spans="1:11" ht="12.75" customHeight="1">
      <c r="A40" s="10" t="s">
        <v>338</v>
      </c>
      <c r="B40" s="285"/>
      <c r="C40" s="399"/>
      <c r="D40" s="394">
        <v>20000</v>
      </c>
      <c r="E40" s="394">
        <v>20000</v>
      </c>
      <c r="F40" s="394">
        <v>137546</v>
      </c>
      <c r="G40" s="285" t="s">
        <v>138</v>
      </c>
      <c r="H40" s="263">
        <v>38556</v>
      </c>
      <c r="I40" s="219"/>
      <c r="J40" s="444"/>
      <c r="K40" s="140"/>
    </row>
    <row r="41" spans="1:11" ht="12.75" customHeight="1">
      <c r="A41" s="417" t="s">
        <v>250</v>
      </c>
      <c r="B41" s="285"/>
      <c r="C41" s="399"/>
      <c r="D41" s="403">
        <f>SUM(D38:D40)</f>
        <v>923539</v>
      </c>
      <c r="E41" s="224">
        <f>SUM(E38:E40)</f>
        <v>908548</v>
      </c>
      <c r="F41" s="224">
        <f>SUM(F38:F40)</f>
        <v>1047099</v>
      </c>
      <c r="G41" s="285"/>
      <c r="H41" s="263"/>
      <c r="I41" s="219"/>
      <c r="J41" s="444"/>
      <c r="K41" s="140"/>
    </row>
    <row r="42" spans="1:11" ht="26.25" customHeight="1">
      <c r="A42" s="417"/>
      <c r="B42" s="285"/>
      <c r="C42" s="399"/>
      <c r="D42" s="415"/>
      <c r="E42" s="415"/>
      <c r="F42" s="415"/>
      <c r="G42" s="595" t="s">
        <v>771</v>
      </c>
      <c r="H42" s="389"/>
      <c r="I42" s="224">
        <v>4141</v>
      </c>
      <c r="J42" s="443">
        <v>7511</v>
      </c>
      <c r="K42" s="140"/>
    </row>
    <row r="43" spans="1:11" ht="12.75" customHeight="1">
      <c r="A43" s="417" t="s">
        <v>32</v>
      </c>
      <c r="B43" s="411"/>
      <c r="C43" s="399"/>
      <c r="D43" s="415"/>
      <c r="E43" s="415"/>
      <c r="F43" s="415"/>
      <c r="G43" s="386"/>
      <c r="H43" s="389"/>
      <c r="I43" s="224"/>
      <c r="J43" s="443"/>
      <c r="K43" s="140"/>
    </row>
    <row r="44" spans="1:11" ht="12.75" customHeight="1">
      <c r="A44" s="417"/>
      <c r="B44" s="285"/>
      <c r="C44" s="399"/>
      <c r="D44" s="415"/>
      <c r="E44" s="415"/>
      <c r="F44" s="415"/>
      <c r="G44" s="386" t="s">
        <v>394</v>
      </c>
      <c r="H44" s="389">
        <f>SUM(H6+H8+H10+H12+H16+H18+H20+H22+H24+H26+H32+H42)</f>
        <v>7132571</v>
      </c>
      <c r="I44" s="407">
        <f>SUM(I6+I8+I10+I12+I16+I18+I20+I22+I24+I26+I32+I42)</f>
        <v>7384363</v>
      </c>
      <c r="J44" s="446">
        <f>SUM(J6+J8+J10+J12+J16+J18+J20+J22+J24+J26+J32+J42)</f>
        <v>8096850</v>
      </c>
      <c r="K44" s="140"/>
    </row>
    <row r="45" spans="1:11" ht="27.75" customHeight="1">
      <c r="A45" s="644" t="s">
        <v>257</v>
      </c>
      <c r="B45" s="645"/>
      <c r="C45" s="399"/>
      <c r="D45" s="404">
        <v>52000</v>
      </c>
      <c r="E45" s="404">
        <v>59000</v>
      </c>
      <c r="F45" s="404">
        <v>54000</v>
      </c>
      <c r="G45" s="386"/>
      <c r="H45" s="389"/>
      <c r="I45" s="224"/>
      <c r="J45" s="443"/>
      <c r="K45" s="140"/>
    </row>
    <row r="46" spans="1:11" ht="13.5" customHeight="1">
      <c r="A46" s="367"/>
      <c r="B46" s="418"/>
      <c r="C46" s="399"/>
      <c r="D46" s="403"/>
      <c r="E46" s="403"/>
      <c r="F46" s="403"/>
      <c r="G46" s="285" t="s">
        <v>251</v>
      </c>
      <c r="H46" s="263">
        <v>17973</v>
      </c>
      <c r="I46" s="219">
        <v>14612</v>
      </c>
      <c r="J46" s="444">
        <v>14612</v>
      </c>
      <c r="K46" s="140"/>
    </row>
    <row r="47" spans="1:11" ht="13.5" customHeight="1">
      <c r="A47" s="650" t="s">
        <v>261</v>
      </c>
      <c r="B47" s="660"/>
      <c r="C47" s="399"/>
      <c r="D47" s="403"/>
      <c r="E47" s="403"/>
      <c r="F47" s="403">
        <v>473374</v>
      </c>
      <c r="G47" s="386" t="s">
        <v>144</v>
      </c>
      <c r="H47" s="389">
        <f>SUM(H46)</f>
        <v>17973</v>
      </c>
      <c r="I47" s="389">
        <f>SUM(I46)</f>
        <v>14612</v>
      </c>
      <c r="J47" s="549">
        <f>SUM(J46)</f>
        <v>14612</v>
      </c>
      <c r="K47" s="140"/>
    </row>
    <row r="48" spans="1:11" ht="13.5" customHeight="1">
      <c r="A48" s="367"/>
      <c r="B48" s="418"/>
      <c r="C48" s="399"/>
      <c r="D48" s="403"/>
      <c r="E48" s="403"/>
      <c r="F48" s="403"/>
      <c r="G48" s="285"/>
      <c r="H48" s="263"/>
      <c r="I48" s="219"/>
      <c r="J48" s="444"/>
      <c r="K48" s="140"/>
    </row>
    <row r="49" spans="1:11" ht="15" customHeight="1">
      <c r="A49" s="642" t="s">
        <v>416</v>
      </c>
      <c r="B49" s="643"/>
      <c r="C49" s="399"/>
      <c r="D49" s="403">
        <v>100000</v>
      </c>
      <c r="E49" s="403">
        <v>170501</v>
      </c>
      <c r="F49" s="403">
        <v>170501</v>
      </c>
      <c r="G49" s="386"/>
      <c r="H49" s="389"/>
      <c r="I49" s="407"/>
      <c r="J49" s="446"/>
      <c r="K49" s="140"/>
    </row>
    <row r="50" spans="1:11" ht="14.25" customHeight="1">
      <c r="A50" s="433"/>
      <c r="B50" s="434"/>
      <c r="C50" s="387"/>
      <c r="D50" s="420"/>
      <c r="E50" s="420"/>
      <c r="F50" s="420"/>
      <c r="G50" s="386"/>
      <c r="H50" s="389"/>
      <c r="I50" s="407"/>
      <c r="J50" s="446"/>
      <c r="K50" s="364"/>
    </row>
    <row r="51" spans="1:11" ht="14.25" customHeight="1">
      <c r="A51" s="642" t="s">
        <v>145</v>
      </c>
      <c r="B51" s="643"/>
      <c r="C51" s="408"/>
      <c r="D51" s="428">
        <f>SUM(D19+D28+D36+D41+D43+D45+D47+D49)</f>
        <v>7150544</v>
      </c>
      <c r="E51" s="428">
        <f>SUM(E19+E28+E36+E41+E43+E45+E47+E49)</f>
        <v>5198975</v>
      </c>
      <c r="F51" s="428">
        <f>SUM(F19+F28+F36+F41+F43+F45+F47+F49)</f>
        <v>5811462</v>
      </c>
      <c r="G51" s="285"/>
      <c r="H51" s="263"/>
      <c r="I51" s="219"/>
      <c r="J51" s="444"/>
      <c r="K51" s="364"/>
    </row>
    <row r="52" spans="1:11" ht="13.5" customHeight="1" hidden="1">
      <c r="A52" s="431"/>
      <c r="B52" s="432"/>
      <c r="C52" s="399"/>
      <c r="D52" s="428"/>
      <c r="E52" s="428"/>
      <c r="F52" s="428"/>
      <c r="G52" s="285"/>
      <c r="H52" s="389"/>
      <c r="I52" s="219"/>
      <c r="J52" s="444"/>
      <c r="K52" s="140"/>
    </row>
    <row r="53" spans="1:11" ht="13.5" customHeight="1">
      <c r="A53" s="431"/>
      <c r="B53" s="432"/>
      <c r="C53" s="399"/>
      <c r="D53" s="428"/>
      <c r="E53" s="428"/>
      <c r="F53" s="428"/>
      <c r="G53" s="386"/>
      <c r="H53" s="389"/>
      <c r="I53" s="407"/>
      <c r="J53" s="446"/>
      <c r="K53" s="140"/>
    </row>
    <row r="54" spans="1:11" ht="13.5" customHeight="1">
      <c r="A54" s="409" t="s">
        <v>42</v>
      </c>
      <c r="B54" s="368"/>
      <c r="C54" s="399"/>
      <c r="D54" s="403"/>
      <c r="E54" s="394">
        <v>2200000</v>
      </c>
      <c r="F54" s="394">
        <v>2300000</v>
      </c>
      <c r="G54" s="441"/>
      <c r="H54" s="389"/>
      <c r="I54" s="407"/>
      <c r="J54" s="446"/>
      <c r="K54" s="364"/>
    </row>
    <row r="55" spans="1:11" ht="12.75">
      <c r="A55" s="417" t="s">
        <v>247</v>
      </c>
      <c r="B55" s="285"/>
      <c r="C55" s="399"/>
      <c r="D55" s="419">
        <f>SUM(D54)</f>
        <v>0</v>
      </c>
      <c r="E55" s="419">
        <f>SUM(E54)</f>
        <v>2200000</v>
      </c>
      <c r="F55" s="419">
        <f>SUM(F54)</f>
        <v>2300000</v>
      </c>
      <c r="G55" s="449"/>
      <c r="H55" s="261"/>
      <c r="I55" s="449"/>
      <c r="J55" s="509"/>
      <c r="K55" s="1"/>
    </row>
    <row r="56" spans="1:11" ht="12.75" customHeight="1" thickBot="1">
      <c r="A56" s="421" t="s">
        <v>245</v>
      </c>
      <c r="B56" s="436"/>
      <c r="C56" s="437"/>
      <c r="D56" s="438">
        <f>SUM(D51+D55)</f>
        <v>7150544</v>
      </c>
      <c r="E56" s="436">
        <f>SUM(E51+E55)</f>
        <v>7398975</v>
      </c>
      <c r="F56" s="436">
        <f>SUM(F51+F55)</f>
        <v>8111462</v>
      </c>
      <c r="G56" s="450" t="s">
        <v>244</v>
      </c>
      <c r="H56" s="507">
        <f>SUM(H44+H47)</f>
        <v>7150544</v>
      </c>
      <c r="I56" s="507">
        <f>SUM(I44+I47)</f>
        <v>7398975</v>
      </c>
      <c r="J56" s="550">
        <f>SUM(J44+J47)</f>
        <v>8111462</v>
      </c>
      <c r="K56" s="140"/>
    </row>
    <row r="57" spans="1:7" ht="13.5" thickTop="1">
      <c r="A57" s="8"/>
      <c r="B57" s="7"/>
      <c r="C57" s="8"/>
      <c r="D57" s="422"/>
      <c r="E57" s="422"/>
      <c r="F57" s="422"/>
      <c r="G57" s="8"/>
    </row>
  </sheetData>
  <mergeCells count="14">
    <mergeCell ref="A35:B35"/>
    <mergeCell ref="A27:B27"/>
    <mergeCell ref="A34:B34"/>
    <mergeCell ref="A49:B49"/>
    <mergeCell ref="A51:B51"/>
    <mergeCell ref="A45:B45"/>
    <mergeCell ref="A2:J2"/>
    <mergeCell ref="A29:B29"/>
    <mergeCell ref="A36:B36"/>
    <mergeCell ref="A19:B19"/>
    <mergeCell ref="A4:F4"/>
    <mergeCell ref="G4:J4"/>
    <mergeCell ref="A28:B28"/>
    <mergeCell ref="A47:B47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97"/>
  <sheetViews>
    <sheetView workbookViewId="0" topLeftCell="A1">
      <selection activeCell="A17" sqref="A17"/>
    </sheetView>
  </sheetViews>
  <sheetFormatPr defaultColWidth="9.00390625" defaultRowHeight="12.75"/>
  <cols>
    <col min="1" max="1" width="86.125" style="0" customWidth="1"/>
    <col min="2" max="3" width="10.25390625" style="0" customWidth="1"/>
    <col min="4" max="4" width="12.00390625" style="270" customWidth="1"/>
  </cols>
  <sheetData>
    <row r="1" spans="1:2" ht="12.75">
      <c r="A1" s="25" t="s">
        <v>119</v>
      </c>
      <c r="B1" s="4"/>
    </row>
    <row r="2" spans="1:4" ht="15.75">
      <c r="A2" s="737" t="s">
        <v>68</v>
      </c>
      <c r="B2" s="737"/>
      <c r="C2" s="737"/>
      <c r="D2" s="737"/>
    </row>
    <row r="3" spans="1:2" ht="16.5" thickBot="1">
      <c r="A3" s="240"/>
      <c r="B3" s="4"/>
    </row>
    <row r="4" spans="1:4" ht="12.75" customHeight="1" thickTop="1">
      <c r="A4" s="241" t="s">
        <v>74</v>
      </c>
      <c r="B4" s="257" t="s">
        <v>357</v>
      </c>
      <c r="C4" s="271" t="s">
        <v>59</v>
      </c>
      <c r="D4" s="294" t="s">
        <v>259</v>
      </c>
    </row>
    <row r="5" spans="1:4" ht="12.75" customHeight="1">
      <c r="A5" s="242" t="s">
        <v>681</v>
      </c>
      <c r="B5" s="220">
        <v>68770</v>
      </c>
      <c r="C5" s="264">
        <v>68770</v>
      </c>
      <c r="D5" s="577">
        <v>68770</v>
      </c>
    </row>
    <row r="6" spans="1:4" ht="12.75" customHeight="1">
      <c r="A6" s="242" t="s">
        <v>790</v>
      </c>
      <c r="B6" s="220">
        <v>9000</v>
      </c>
      <c r="C6" s="264">
        <v>9000</v>
      </c>
      <c r="D6" s="577">
        <v>9000</v>
      </c>
    </row>
    <row r="7" spans="1:4" ht="12.75" customHeight="1">
      <c r="A7" s="242" t="s">
        <v>122</v>
      </c>
      <c r="B7" s="220">
        <v>9500</v>
      </c>
      <c r="C7" s="264">
        <v>9500</v>
      </c>
      <c r="D7" s="577">
        <v>9500</v>
      </c>
    </row>
    <row r="8" spans="1:4" ht="12.75" customHeight="1">
      <c r="A8" s="242" t="s">
        <v>123</v>
      </c>
      <c r="B8" s="220">
        <v>5000</v>
      </c>
      <c r="C8" s="264">
        <v>5000</v>
      </c>
      <c r="D8" s="577">
        <v>5000</v>
      </c>
    </row>
    <row r="9" spans="1:4" ht="12.75" customHeight="1">
      <c r="A9" s="242" t="s">
        <v>124</v>
      </c>
      <c r="B9" s="220">
        <v>500</v>
      </c>
      <c r="C9" s="264">
        <v>500</v>
      </c>
      <c r="D9" s="577">
        <v>500</v>
      </c>
    </row>
    <row r="10" spans="1:4" ht="12.75" customHeight="1">
      <c r="A10" s="242" t="s">
        <v>125</v>
      </c>
      <c r="B10" s="220">
        <v>7000</v>
      </c>
      <c r="C10" s="264">
        <v>7000</v>
      </c>
      <c r="D10" s="577">
        <v>7000</v>
      </c>
    </row>
    <row r="11" spans="1:4" ht="12.75" customHeight="1">
      <c r="A11" s="242" t="s">
        <v>136</v>
      </c>
      <c r="B11" s="220">
        <v>4000</v>
      </c>
      <c r="C11" s="264">
        <v>4000</v>
      </c>
      <c r="D11" s="577">
        <v>4000</v>
      </c>
    </row>
    <row r="12" spans="1:4" ht="12.75" customHeight="1">
      <c r="A12" s="242" t="s">
        <v>81</v>
      </c>
      <c r="B12" s="220">
        <v>3000</v>
      </c>
      <c r="C12" s="264">
        <v>1300</v>
      </c>
      <c r="D12" s="577">
        <v>1300</v>
      </c>
    </row>
    <row r="13" spans="1:4" ht="12.75" customHeight="1">
      <c r="A13" s="242" t="s">
        <v>126</v>
      </c>
      <c r="B13" s="220">
        <v>1000</v>
      </c>
      <c r="C13" s="264">
        <v>1000</v>
      </c>
      <c r="D13" s="577">
        <v>1000</v>
      </c>
    </row>
    <row r="14" spans="1:4" ht="12.75" customHeight="1">
      <c r="A14" s="242" t="s">
        <v>569</v>
      </c>
      <c r="B14" s="220">
        <v>5250</v>
      </c>
      <c r="C14" s="264">
        <v>5250</v>
      </c>
      <c r="D14" s="577">
        <v>5250</v>
      </c>
    </row>
    <row r="15" spans="1:4" ht="12.75" customHeight="1">
      <c r="A15" s="242" t="s">
        <v>760</v>
      </c>
      <c r="B15" s="220"/>
      <c r="C15" s="264"/>
      <c r="D15" s="577"/>
    </row>
    <row r="16" spans="1:4" ht="12.75" customHeight="1">
      <c r="A16" s="242" t="s">
        <v>570</v>
      </c>
      <c r="B16" s="220">
        <v>4800</v>
      </c>
      <c r="C16" s="264">
        <v>9600</v>
      </c>
      <c r="D16" s="577">
        <v>9600</v>
      </c>
    </row>
    <row r="17" spans="1:4" ht="12.75" customHeight="1">
      <c r="A17" s="242" t="s">
        <v>561</v>
      </c>
      <c r="B17" s="220">
        <v>9900</v>
      </c>
      <c r="C17" s="264">
        <v>9900</v>
      </c>
      <c r="D17" s="577">
        <v>9900</v>
      </c>
    </row>
    <row r="18" spans="1:4" ht="12.75" customHeight="1">
      <c r="A18" s="242" t="s">
        <v>562</v>
      </c>
      <c r="B18" s="220">
        <v>800</v>
      </c>
      <c r="C18" s="264">
        <v>800</v>
      </c>
      <c r="D18" s="577">
        <v>800</v>
      </c>
    </row>
    <row r="19" spans="1:4" ht="12.75" customHeight="1">
      <c r="A19" s="242" t="s">
        <v>563</v>
      </c>
      <c r="B19" s="220">
        <v>5000</v>
      </c>
      <c r="C19" s="264">
        <v>3450</v>
      </c>
      <c r="D19" s="577">
        <v>3450</v>
      </c>
    </row>
    <row r="20" spans="1:4" ht="12.75" customHeight="1">
      <c r="A20" s="235" t="s">
        <v>127</v>
      </c>
      <c r="B20" s="220">
        <v>350</v>
      </c>
      <c r="C20" s="264">
        <v>350</v>
      </c>
      <c r="D20" s="577">
        <v>350</v>
      </c>
    </row>
    <row r="21" spans="1:4" ht="12.75" customHeight="1">
      <c r="A21" s="242" t="s">
        <v>673</v>
      </c>
      <c r="B21" s="220">
        <v>34000</v>
      </c>
      <c r="C21" s="264">
        <v>34000</v>
      </c>
      <c r="D21" s="577">
        <v>34000</v>
      </c>
    </row>
    <row r="22" spans="1:4" ht="12.75" customHeight="1">
      <c r="A22" s="242" t="s">
        <v>85</v>
      </c>
      <c r="B22" s="220">
        <v>4000</v>
      </c>
      <c r="C22" s="264">
        <v>2750</v>
      </c>
      <c r="D22" s="577">
        <v>2750</v>
      </c>
    </row>
    <row r="23" spans="1:4" ht="12.75" customHeight="1">
      <c r="A23" s="242" t="s">
        <v>128</v>
      </c>
      <c r="B23" s="220">
        <v>1000</v>
      </c>
      <c r="C23" s="264">
        <v>1000</v>
      </c>
      <c r="D23" s="577">
        <v>1000</v>
      </c>
    </row>
    <row r="24" spans="1:4" ht="12.75" customHeight="1">
      <c r="A24" s="242" t="s">
        <v>84</v>
      </c>
      <c r="B24" s="220">
        <v>1000</v>
      </c>
      <c r="C24" s="264">
        <v>1000</v>
      </c>
      <c r="D24" s="577">
        <v>1000</v>
      </c>
    </row>
    <row r="25" spans="1:4" ht="12.75" customHeight="1">
      <c r="A25" s="242" t="s">
        <v>571</v>
      </c>
      <c r="B25" s="220">
        <v>2000</v>
      </c>
      <c r="C25" s="264">
        <v>8000</v>
      </c>
      <c r="D25" s="577">
        <v>8000</v>
      </c>
    </row>
    <row r="26" spans="1:4" ht="12.75" customHeight="1">
      <c r="A26" s="242" t="s">
        <v>90</v>
      </c>
      <c r="B26" s="220">
        <v>1500</v>
      </c>
      <c r="C26" s="264">
        <v>1500</v>
      </c>
      <c r="D26" s="577">
        <v>1500</v>
      </c>
    </row>
    <row r="27" spans="1:4" ht="12.75" customHeight="1">
      <c r="A27" s="242" t="s">
        <v>83</v>
      </c>
      <c r="B27" s="220">
        <v>1000</v>
      </c>
      <c r="C27" s="264">
        <v>1000</v>
      </c>
      <c r="D27" s="577">
        <v>1000</v>
      </c>
    </row>
    <row r="28" spans="1:4" ht="12.75" customHeight="1">
      <c r="A28" s="242" t="s">
        <v>101</v>
      </c>
      <c r="B28" s="220">
        <v>500</v>
      </c>
      <c r="C28" s="264">
        <v>500</v>
      </c>
      <c r="D28" s="577">
        <v>500</v>
      </c>
    </row>
    <row r="29" spans="1:4" ht="12.75" customHeight="1">
      <c r="A29" s="242" t="s">
        <v>82</v>
      </c>
      <c r="B29" s="220">
        <v>5000</v>
      </c>
      <c r="C29" s="264">
        <v>3900</v>
      </c>
      <c r="D29" s="577">
        <v>3900</v>
      </c>
    </row>
    <row r="30" spans="1:4" ht="12.75" customHeight="1">
      <c r="A30" s="242" t="s">
        <v>581</v>
      </c>
      <c r="B30" s="220">
        <v>3000</v>
      </c>
      <c r="C30" s="264">
        <v>900</v>
      </c>
      <c r="D30" s="577">
        <v>900</v>
      </c>
    </row>
    <row r="31" spans="1:4" ht="12.75" customHeight="1">
      <c r="A31" s="242" t="s">
        <v>560</v>
      </c>
      <c r="B31" s="220">
        <v>25000</v>
      </c>
      <c r="C31" s="264">
        <v>48000</v>
      </c>
      <c r="D31" s="577">
        <v>62900</v>
      </c>
    </row>
    <row r="32" spans="1:4" ht="12.75" customHeight="1">
      <c r="A32" s="242" t="s">
        <v>91</v>
      </c>
      <c r="B32" s="220">
        <v>300</v>
      </c>
      <c r="C32" s="264">
        <v>300</v>
      </c>
      <c r="D32" s="577">
        <v>300</v>
      </c>
    </row>
    <row r="33" spans="1:4" ht="12.75" customHeight="1">
      <c r="A33" s="242" t="s">
        <v>92</v>
      </c>
      <c r="B33" s="220">
        <v>300</v>
      </c>
      <c r="C33" s="264">
        <v>300</v>
      </c>
      <c r="D33" s="577">
        <v>300</v>
      </c>
    </row>
    <row r="34" spans="1:4" ht="12.75" customHeight="1">
      <c r="A34" s="242" t="s">
        <v>575</v>
      </c>
      <c r="B34" s="220">
        <v>6000</v>
      </c>
      <c r="C34" s="264">
        <v>6000</v>
      </c>
      <c r="D34" s="577">
        <v>6000</v>
      </c>
    </row>
    <row r="35" spans="1:4" ht="12.75" customHeight="1">
      <c r="A35" s="242" t="s">
        <v>702</v>
      </c>
      <c r="B35" s="220">
        <v>400</v>
      </c>
      <c r="C35" s="264">
        <v>400</v>
      </c>
      <c r="D35" s="577">
        <v>400</v>
      </c>
    </row>
    <row r="36" spans="1:4" ht="12.75" customHeight="1">
      <c r="A36" s="242" t="s">
        <v>791</v>
      </c>
      <c r="B36" s="220"/>
      <c r="C36" s="264">
        <v>12000</v>
      </c>
      <c r="D36" s="577">
        <v>12000</v>
      </c>
    </row>
    <row r="37" spans="1:4" ht="12.75" customHeight="1">
      <c r="A37" s="242" t="s">
        <v>24</v>
      </c>
      <c r="B37" s="220"/>
      <c r="C37" s="264">
        <v>15</v>
      </c>
      <c r="D37" s="577">
        <v>15</v>
      </c>
    </row>
    <row r="38" spans="1:4" ht="12.75" customHeight="1">
      <c r="A38" s="242" t="s">
        <v>631</v>
      </c>
      <c r="B38" s="220"/>
      <c r="C38" s="264">
        <v>5625</v>
      </c>
      <c r="D38" s="577">
        <v>5625</v>
      </c>
    </row>
    <row r="39" spans="1:4" ht="12.75" customHeight="1">
      <c r="A39" s="242" t="s">
        <v>636</v>
      </c>
      <c r="B39" s="220"/>
      <c r="C39" s="264">
        <v>2260</v>
      </c>
      <c r="D39" s="577">
        <v>2260</v>
      </c>
    </row>
    <row r="40" spans="1:4" ht="12.75" customHeight="1">
      <c r="A40" s="242" t="s">
        <v>637</v>
      </c>
      <c r="B40" s="220"/>
      <c r="C40" s="264">
        <v>2100</v>
      </c>
      <c r="D40" s="577">
        <v>2100</v>
      </c>
    </row>
    <row r="41" spans="1:4" ht="12.75" customHeight="1">
      <c r="A41" s="242" t="s">
        <v>638</v>
      </c>
      <c r="B41" s="220"/>
      <c r="C41" s="264">
        <v>2240</v>
      </c>
      <c r="D41" s="577">
        <v>2240</v>
      </c>
    </row>
    <row r="42" spans="1:4" ht="12.75" customHeight="1">
      <c r="A42" s="242" t="s">
        <v>639</v>
      </c>
      <c r="B42" s="220"/>
      <c r="C42" s="264">
        <v>700</v>
      </c>
      <c r="D42" s="577">
        <v>700</v>
      </c>
    </row>
    <row r="43" spans="1:4" ht="12.75" customHeight="1">
      <c r="A43" s="242" t="s">
        <v>640</v>
      </c>
      <c r="B43" s="220"/>
      <c r="C43" s="264">
        <v>1500</v>
      </c>
      <c r="D43" s="577">
        <v>1500</v>
      </c>
    </row>
    <row r="44" spans="1:4" ht="12.75" customHeight="1">
      <c r="A44" s="242" t="s">
        <v>641</v>
      </c>
      <c r="B44" s="220"/>
      <c r="C44" s="264">
        <v>5000</v>
      </c>
      <c r="D44" s="577">
        <v>5000</v>
      </c>
    </row>
    <row r="45" spans="1:4" ht="12.75" customHeight="1">
      <c r="A45" s="242" t="s">
        <v>284</v>
      </c>
      <c r="B45" s="220"/>
      <c r="C45" s="264"/>
      <c r="D45" s="295">
        <v>10</v>
      </c>
    </row>
    <row r="46" spans="1:4" ht="12.75" customHeight="1">
      <c r="A46" s="242" t="s">
        <v>285</v>
      </c>
      <c r="B46" s="220"/>
      <c r="C46" s="264"/>
      <c r="D46" s="295">
        <v>1500</v>
      </c>
    </row>
    <row r="47" spans="1:4" ht="12.75" customHeight="1">
      <c r="A47" s="242" t="s">
        <v>792</v>
      </c>
      <c r="B47" s="220"/>
      <c r="C47" s="264"/>
      <c r="D47" s="295"/>
    </row>
    <row r="48" spans="1:4" ht="12.75" customHeight="1">
      <c r="A48" s="242" t="s">
        <v>793</v>
      </c>
      <c r="B48" s="220"/>
      <c r="C48" s="264">
        <v>80</v>
      </c>
      <c r="D48" s="577">
        <v>80</v>
      </c>
    </row>
    <row r="49" spans="1:4" ht="12.75" customHeight="1">
      <c r="A49" s="242" t="s">
        <v>794</v>
      </c>
      <c r="B49" s="220"/>
      <c r="C49" s="264">
        <v>200</v>
      </c>
      <c r="D49" s="577">
        <v>200</v>
      </c>
    </row>
    <row r="50" spans="1:4" ht="12.75" customHeight="1">
      <c r="A50" s="242" t="s">
        <v>795</v>
      </c>
      <c r="B50" s="220"/>
      <c r="C50" s="264">
        <v>250</v>
      </c>
      <c r="D50" s="577">
        <v>250</v>
      </c>
    </row>
    <row r="51" spans="1:4" ht="12.75" customHeight="1">
      <c r="A51" s="242" t="s">
        <v>796</v>
      </c>
      <c r="B51" s="220"/>
      <c r="C51" s="264">
        <v>100</v>
      </c>
      <c r="D51" s="577">
        <v>100</v>
      </c>
    </row>
    <row r="52" spans="1:4" ht="12.75" customHeight="1">
      <c r="A52" s="242" t="s">
        <v>22</v>
      </c>
      <c r="B52" s="220"/>
      <c r="C52" s="264">
        <v>250</v>
      </c>
      <c r="D52" s="577">
        <v>250</v>
      </c>
    </row>
    <row r="53" spans="1:4" ht="12.75" customHeight="1">
      <c r="A53" s="242" t="s">
        <v>23</v>
      </c>
      <c r="B53" s="220"/>
      <c r="C53" s="264">
        <v>150</v>
      </c>
      <c r="D53" s="577">
        <v>150</v>
      </c>
    </row>
    <row r="54" spans="1:4" ht="12.75" customHeight="1">
      <c r="A54" s="242" t="s">
        <v>25</v>
      </c>
      <c r="B54" s="220"/>
      <c r="C54" s="264">
        <v>100</v>
      </c>
      <c r="D54" s="577">
        <v>100</v>
      </c>
    </row>
    <row r="55" spans="1:4" ht="12.75" customHeight="1">
      <c r="A55" s="242" t="s">
        <v>26</v>
      </c>
      <c r="B55" s="220"/>
      <c r="C55" s="264">
        <v>600</v>
      </c>
      <c r="D55" s="577">
        <v>600</v>
      </c>
    </row>
    <row r="56" spans="1:4" ht="12.75" customHeight="1">
      <c r="A56" s="242" t="s">
        <v>632</v>
      </c>
      <c r="B56" s="220"/>
      <c r="C56" s="264">
        <v>100</v>
      </c>
      <c r="D56" s="577">
        <v>100</v>
      </c>
    </row>
    <row r="57" spans="1:4" ht="12.75" customHeight="1">
      <c r="A57" s="242" t="s">
        <v>633</v>
      </c>
      <c r="B57" s="220"/>
      <c r="C57" s="264">
        <v>100</v>
      </c>
      <c r="D57" s="577">
        <v>100</v>
      </c>
    </row>
    <row r="58" spans="1:4" ht="12.75" customHeight="1">
      <c r="A58" s="242" t="s">
        <v>634</v>
      </c>
      <c r="B58" s="220"/>
      <c r="C58" s="264">
        <v>50</v>
      </c>
      <c r="D58" s="577">
        <v>50</v>
      </c>
    </row>
    <row r="59" spans="1:4" ht="12.75" customHeight="1">
      <c r="A59" s="242" t="s">
        <v>286</v>
      </c>
      <c r="B59" s="220"/>
      <c r="C59" s="264"/>
      <c r="D59" s="295">
        <v>400</v>
      </c>
    </row>
    <row r="60" spans="1:4" ht="12.75" customHeight="1">
      <c r="A60" s="242" t="s">
        <v>287</v>
      </c>
      <c r="B60" s="220"/>
      <c r="C60" s="264"/>
      <c r="D60" s="295">
        <v>200</v>
      </c>
    </row>
    <row r="61" spans="1:4" ht="12.75" customHeight="1">
      <c r="A61" s="242" t="s">
        <v>288</v>
      </c>
      <c r="B61" s="220"/>
      <c r="C61" s="264"/>
      <c r="D61" s="295">
        <v>250</v>
      </c>
    </row>
    <row r="62" spans="1:4" ht="12.75" customHeight="1">
      <c r="A62" s="242" t="s">
        <v>289</v>
      </c>
      <c r="B62" s="220"/>
      <c r="C62" s="264"/>
      <c r="D62" s="295">
        <v>450</v>
      </c>
    </row>
    <row r="63" spans="1:4" ht="12.75" customHeight="1">
      <c r="A63" s="242" t="s">
        <v>290</v>
      </c>
      <c r="B63" s="220"/>
      <c r="C63" s="264"/>
      <c r="D63" s="295">
        <v>50</v>
      </c>
    </row>
    <row r="64" spans="1:4" ht="12.75" customHeight="1">
      <c r="A64" s="242" t="s">
        <v>291</v>
      </c>
      <c r="B64" s="220"/>
      <c r="C64" s="264"/>
      <c r="D64" s="295">
        <v>100</v>
      </c>
    </row>
    <row r="65" spans="1:4" ht="12.75" customHeight="1">
      <c r="A65" s="242" t="s">
        <v>292</v>
      </c>
      <c r="B65" s="220"/>
      <c r="C65" s="264"/>
      <c r="D65" s="295">
        <v>100</v>
      </c>
    </row>
    <row r="66" spans="1:4" ht="12.75" customHeight="1">
      <c r="A66" s="242" t="s">
        <v>689</v>
      </c>
      <c r="B66" s="220"/>
      <c r="C66" s="264"/>
      <c r="D66" s="295">
        <v>500</v>
      </c>
    </row>
    <row r="67" spans="1:4" ht="12.75" customHeight="1">
      <c r="A67" s="242" t="s">
        <v>293</v>
      </c>
      <c r="B67" s="220"/>
      <c r="C67" s="264"/>
      <c r="D67" s="295">
        <v>50</v>
      </c>
    </row>
    <row r="68" spans="1:4" ht="12.75" customHeight="1">
      <c r="A68" s="235" t="s">
        <v>348</v>
      </c>
      <c r="B68" s="609"/>
      <c r="C68" s="610"/>
      <c r="D68" s="611">
        <v>250</v>
      </c>
    </row>
    <row r="69" spans="1:4" ht="12.75" customHeight="1">
      <c r="A69" s="242" t="s">
        <v>349</v>
      </c>
      <c r="B69" s="609"/>
      <c r="C69" s="610"/>
      <c r="D69" s="611">
        <v>150</v>
      </c>
    </row>
    <row r="70" spans="1:4" ht="12.75" customHeight="1">
      <c r="A70" s="608" t="s">
        <v>350</v>
      </c>
      <c r="B70" s="609"/>
      <c r="C70" s="610"/>
      <c r="D70" s="611">
        <v>250</v>
      </c>
    </row>
    <row r="71" spans="1:4" ht="12.75" customHeight="1" thickBot="1">
      <c r="A71" s="578" t="s">
        <v>425</v>
      </c>
      <c r="B71" s="579">
        <f>SUM(B5:B58)</f>
        <v>218870</v>
      </c>
      <c r="C71" s="580">
        <f>SUM(C5:C58)</f>
        <v>278390</v>
      </c>
      <c r="D71" s="581">
        <f>SUM(D5:D70)</f>
        <v>297550</v>
      </c>
    </row>
    <row r="72" spans="1:4" ht="12.75" customHeight="1" thickTop="1">
      <c r="A72" s="241" t="s">
        <v>73</v>
      </c>
      <c r="B72" s="257" t="s">
        <v>357</v>
      </c>
      <c r="C72" s="271" t="s">
        <v>59</v>
      </c>
      <c r="D72" s="294" t="s">
        <v>259</v>
      </c>
    </row>
    <row r="73" spans="1:4" ht="12.75" customHeight="1">
      <c r="A73" s="242" t="s">
        <v>572</v>
      </c>
      <c r="B73" s="220">
        <v>9703</v>
      </c>
      <c r="C73" s="264">
        <v>8263</v>
      </c>
      <c r="D73" s="577">
        <v>8263</v>
      </c>
    </row>
    <row r="74" spans="1:4" ht="12.75" customHeight="1">
      <c r="A74" s="242" t="s">
        <v>129</v>
      </c>
      <c r="B74" s="220">
        <v>1000</v>
      </c>
      <c r="C74" s="264">
        <v>1000</v>
      </c>
      <c r="D74" s="577">
        <v>1000</v>
      </c>
    </row>
    <row r="75" spans="1:4" ht="12.75" customHeight="1">
      <c r="A75" s="242" t="s">
        <v>680</v>
      </c>
      <c r="B75" s="220">
        <v>2500</v>
      </c>
      <c r="C75" s="264">
        <v>2500</v>
      </c>
      <c r="D75" s="577">
        <v>2500</v>
      </c>
    </row>
    <row r="76" spans="1:4" ht="12.75" customHeight="1">
      <c r="A76" s="242" t="s">
        <v>89</v>
      </c>
      <c r="B76" s="220">
        <v>1000</v>
      </c>
      <c r="C76" s="264">
        <v>1000</v>
      </c>
      <c r="D76" s="577">
        <v>1000</v>
      </c>
    </row>
    <row r="77" spans="1:4" ht="12.75" customHeight="1">
      <c r="A77" s="242" t="s">
        <v>93</v>
      </c>
      <c r="B77" s="220">
        <v>2000</v>
      </c>
      <c r="C77" s="264">
        <v>5400</v>
      </c>
      <c r="D77" s="577">
        <v>5400</v>
      </c>
    </row>
    <row r="78" spans="1:4" ht="12.75" customHeight="1">
      <c r="A78" s="242" t="s">
        <v>573</v>
      </c>
      <c r="B78" s="220">
        <v>139400</v>
      </c>
      <c r="C78" s="264">
        <v>113976</v>
      </c>
      <c r="D78" s="577">
        <v>113976</v>
      </c>
    </row>
    <row r="79" spans="1:4" ht="12.75" customHeight="1">
      <c r="A79" s="242" t="s">
        <v>559</v>
      </c>
      <c r="B79" s="220">
        <v>40000</v>
      </c>
      <c r="C79" s="264">
        <v>40000</v>
      </c>
      <c r="D79" s="577">
        <v>40000</v>
      </c>
    </row>
    <row r="80" spans="1:4" ht="12.75" customHeight="1">
      <c r="A80" s="242" t="s">
        <v>574</v>
      </c>
      <c r="B80" s="220">
        <v>1500</v>
      </c>
      <c r="C80" s="264">
        <v>1980</v>
      </c>
      <c r="D80" s="577">
        <v>1980</v>
      </c>
    </row>
    <row r="81" spans="1:4" ht="12.75" customHeight="1">
      <c r="A81" s="242" t="s">
        <v>797</v>
      </c>
      <c r="B81" s="220"/>
      <c r="C81" s="264">
        <v>391</v>
      </c>
      <c r="D81" s="577">
        <v>391</v>
      </c>
    </row>
    <row r="82" spans="1:4" ht="12.75" customHeight="1">
      <c r="A82" s="242" t="s">
        <v>58</v>
      </c>
      <c r="B82" s="220"/>
      <c r="C82" s="264">
        <v>10000</v>
      </c>
      <c r="D82" s="577">
        <v>10000</v>
      </c>
    </row>
    <row r="83" spans="1:4" ht="12.75" customHeight="1">
      <c r="A83" s="242" t="s">
        <v>1</v>
      </c>
      <c r="B83" s="220"/>
      <c r="C83" s="264">
        <v>14910</v>
      </c>
      <c r="D83" s="577">
        <v>14910</v>
      </c>
    </row>
    <row r="84" spans="1:4" ht="12.75" customHeight="1">
      <c r="A84" s="242" t="s">
        <v>2</v>
      </c>
      <c r="B84" s="220"/>
      <c r="C84" s="264">
        <v>4600</v>
      </c>
      <c r="D84" s="577">
        <v>4600</v>
      </c>
    </row>
    <row r="85" spans="1:4" ht="12.75" customHeight="1">
      <c r="A85" s="242" t="s">
        <v>642</v>
      </c>
      <c r="B85" s="220"/>
      <c r="C85" s="264">
        <v>33600</v>
      </c>
      <c r="D85" s="577">
        <v>33600</v>
      </c>
    </row>
    <row r="86" spans="1:4" ht="12.75" customHeight="1">
      <c r="A86" s="242" t="s">
        <v>643</v>
      </c>
      <c r="B86" s="220"/>
      <c r="C86" s="264">
        <v>20000</v>
      </c>
      <c r="D86" s="577">
        <v>20000</v>
      </c>
    </row>
    <row r="87" spans="1:4" ht="12.75" customHeight="1">
      <c r="A87" s="242" t="s">
        <v>644</v>
      </c>
      <c r="B87" s="220"/>
      <c r="C87" s="264">
        <v>2500</v>
      </c>
      <c r="D87" s="577">
        <v>2500</v>
      </c>
    </row>
    <row r="88" spans="1:4" ht="12.75" customHeight="1">
      <c r="A88" s="242" t="s">
        <v>645</v>
      </c>
      <c r="B88" s="220"/>
      <c r="C88" s="264">
        <v>12875</v>
      </c>
      <c r="D88" s="577">
        <v>12875</v>
      </c>
    </row>
    <row r="89" spans="1:4" ht="12.75" customHeight="1">
      <c r="A89" s="242" t="s">
        <v>501</v>
      </c>
      <c r="B89" s="220"/>
      <c r="C89" s="264">
        <v>10000</v>
      </c>
      <c r="D89" s="577">
        <v>10000</v>
      </c>
    </row>
    <row r="90" spans="1:4" ht="12.75" customHeight="1">
      <c r="A90" s="242" t="s">
        <v>502</v>
      </c>
      <c r="B90" s="220"/>
      <c r="C90" s="264">
        <v>13000</v>
      </c>
      <c r="D90" s="577">
        <v>13000</v>
      </c>
    </row>
    <row r="91" spans="1:4" ht="12.75" customHeight="1">
      <c r="A91" s="242" t="s">
        <v>792</v>
      </c>
      <c r="B91" s="220"/>
      <c r="C91" s="264"/>
      <c r="D91" s="577"/>
    </row>
    <row r="92" spans="1:4" ht="12.75" customHeight="1">
      <c r="A92" s="242" t="s">
        <v>635</v>
      </c>
      <c r="B92" s="220"/>
      <c r="C92" s="264">
        <v>126</v>
      </c>
      <c r="D92" s="577">
        <v>126</v>
      </c>
    </row>
    <row r="93" spans="1:4" ht="12.75" customHeight="1">
      <c r="A93" s="242" t="s">
        <v>294</v>
      </c>
      <c r="B93" s="220"/>
      <c r="C93" s="264"/>
      <c r="D93" s="295">
        <v>12000</v>
      </c>
    </row>
    <row r="94" spans="1:4" ht="12.75" customHeight="1">
      <c r="A94" s="243" t="s">
        <v>425</v>
      </c>
      <c r="B94" s="258">
        <f>SUM(B73:B93)</f>
        <v>197103</v>
      </c>
      <c r="C94" s="540">
        <f>SUM(C73:C93)</f>
        <v>296121</v>
      </c>
      <c r="D94" s="539">
        <f>SUM(D73:D93)</f>
        <v>308121</v>
      </c>
    </row>
    <row r="95" spans="1:4" ht="12.75" customHeight="1">
      <c r="A95" s="243"/>
      <c r="B95" s="220"/>
      <c r="C95" s="264"/>
      <c r="D95" s="295"/>
    </row>
    <row r="96" spans="1:4" ht="12.75" customHeight="1" thickBot="1">
      <c r="A96" s="244" t="s">
        <v>380</v>
      </c>
      <c r="B96" s="251">
        <v>415973</v>
      </c>
      <c r="C96" s="275">
        <f>SUM(C71,C94)</f>
        <v>574511</v>
      </c>
      <c r="D96" s="296">
        <f>SUM(D71,D94)</f>
        <v>605671</v>
      </c>
    </row>
    <row r="97" spans="1:2" ht="13.5" thickTop="1">
      <c r="A97" s="4"/>
      <c r="B97" s="4"/>
    </row>
  </sheetData>
  <mergeCells count="1">
    <mergeCell ref="A2:D2"/>
  </mergeCells>
  <printOptions horizontalCentered="1"/>
  <pageMargins left="0.24" right="0.2362204724409449" top="0.2362204724409449" bottom="0.2362204724409449" header="0.2362204724409449" footer="0.2362204724409449"/>
  <pageSetup horizontalDpi="600" verticalDpi="600" orientation="portrait" paperSize="9" scale="85" r:id="rId1"/>
  <rowBreaks count="1" manualBreakCount="1">
    <brk id="7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D50"/>
  <sheetViews>
    <sheetView workbookViewId="0" topLeftCell="A1">
      <selection activeCell="D47" sqref="D47"/>
    </sheetView>
  </sheetViews>
  <sheetFormatPr defaultColWidth="9.00390625" defaultRowHeight="12.75"/>
  <cols>
    <col min="1" max="1" width="61.125" style="0" customWidth="1"/>
    <col min="2" max="3" width="10.75390625" style="0" customWidth="1"/>
    <col min="4" max="4" width="11.625" style="0" customWidth="1"/>
  </cols>
  <sheetData>
    <row r="1" spans="1:2" ht="12.75">
      <c r="A1" s="25" t="s">
        <v>763</v>
      </c>
      <c r="B1" s="4"/>
    </row>
    <row r="2" spans="1:2" ht="12.75">
      <c r="A2" s="210"/>
      <c r="B2" s="4"/>
    </row>
    <row r="3" spans="1:2" ht="12.75">
      <c r="A3" s="210"/>
      <c r="B3" s="4"/>
    </row>
    <row r="4" spans="1:4" ht="12.75">
      <c r="A4" s="738" t="s">
        <v>686</v>
      </c>
      <c r="B4" s="664"/>
      <c r="C4" s="664"/>
      <c r="D4" s="664"/>
    </row>
    <row r="5" spans="1:4" ht="12.75">
      <c r="A5" s="738" t="s">
        <v>75</v>
      </c>
      <c r="B5" s="664"/>
      <c r="C5" s="664"/>
      <c r="D5" s="664"/>
    </row>
    <row r="6" spans="1:4" ht="12.75">
      <c r="A6" s="739" t="s">
        <v>69</v>
      </c>
      <c r="B6" s="664"/>
      <c r="C6" s="664"/>
      <c r="D6" s="664"/>
    </row>
    <row r="7" spans="1:2" ht="12.75">
      <c r="A7" s="245"/>
      <c r="B7" s="209"/>
    </row>
    <row r="8" spans="1:2" ht="13.5" thickBot="1">
      <c r="A8" s="245"/>
      <c r="B8" s="4"/>
    </row>
    <row r="9" spans="1:4" ht="12.75" customHeight="1" thickTop="1">
      <c r="A9" s="246"/>
      <c r="B9" s="257" t="s">
        <v>357</v>
      </c>
      <c r="C9" s="259" t="s">
        <v>59</v>
      </c>
      <c r="D9" s="298" t="s">
        <v>259</v>
      </c>
    </row>
    <row r="10" spans="1:4" ht="12.75" customHeight="1">
      <c r="A10" s="26" t="s">
        <v>687</v>
      </c>
      <c r="B10" s="261"/>
      <c r="C10" s="260"/>
      <c r="D10" s="299"/>
    </row>
    <row r="11" spans="1:4" ht="12.75" customHeight="1">
      <c r="A11" s="10" t="s">
        <v>576</v>
      </c>
      <c r="B11" s="220">
        <v>15000</v>
      </c>
      <c r="C11" s="264">
        <v>15000</v>
      </c>
      <c r="D11" s="295">
        <v>9000</v>
      </c>
    </row>
    <row r="12" spans="1:4" ht="12.75" customHeight="1">
      <c r="A12" s="10" t="s">
        <v>683</v>
      </c>
      <c r="B12" s="220">
        <v>56000</v>
      </c>
      <c r="C12" s="264">
        <v>56000</v>
      </c>
      <c r="D12" s="295">
        <v>56000</v>
      </c>
    </row>
    <row r="13" spans="1:4" ht="12.75" customHeight="1">
      <c r="A13" s="10" t="s">
        <v>762</v>
      </c>
      <c r="B13" s="220">
        <v>2000</v>
      </c>
      <c r="C13" s="264">
        <v>2000</v>
      </c>
      <c r="D13" s="295">
        <v>2000</v>
      </c>
    </row>
    <row r="14" spans="1:4" ht="12.75" customHeight="1">
      <c r="A14" s="10" t="s">
        <v>98</v>
      </c>
      <c r="B14" s="220">
        <v>1200</v>
      </c>
      <c r="C14" s="264">
        <v>1200</v>
      </c>
      <c r="D14" s="295">
        <v>1200</v>
      </c>
    </row>
    <row r="15" spans="1:4" ht="12.75" customHeight="1">
      <c r="A15" s="10" t="s">
        <v>500</v>
      </c>
      <c r="B15" s="220">
        <v>3000</v>
      </c>
      <c r="C15" s="264">
        <v>3000</v>
      </c>
      <c r="D15" s="295">
        <v>3000</v>
      </c>
    </row>
    <row r="16" spans="1:4" ht="12.75" customHeight="1">
      <c r="A16" s="10" t="s">
        <v>577</v>
      </c>
      <c r="B16" s="220">
        <v>17000</v>
      </c>
      <c r="C16" s="264">
        <v>17000</v>
      </c>
      <c r="D16" s="295">
        <v>17000</v>
      </c>
    </row>
    <row r="17" spans="1:4" ht="12.75" customHeight="1">
      <c r="A17" s="10" t="s">
        <v>578</v>
      </c>
      <c r="B17" s="220">
        <v>8000</v>
      </c>
      <c r="C17" s="264">
        <v>8000</v>
      </c>
      <c r="D17" s="295">
        <v>8000</v>
      </c>
    </row>
    <row r="18" spans="1:4" ht="12.75" customHeight="1">
      <c r="A18" s="10" t="s">
        <v>703</v>
      </c>
      <c r="B18" s="220">
        <v>500</v>
      </c>
      <c r="C18" s="264">
        <v>500</v>
      </c>
      <c r="D18" s="295">
        <v>500</v>
      </c>
    </row>
    <row r="19" spans="1:4" ht="12.75" customHeight="1">
      <c r="A19" s="10" t="s">
        <v>39</v>
      </c>
      <c r="B19" s="220"/>
      <c r="C19" s="264"/>
      <c r="D19" s="295">
        <v>2500</v>
      </c>
    </row>
    <row r="20" spans="1:4" ht="12.75" customHeight="1">
      <c r="A20" s="10" t="s">
        <v>701</v>
      </c>
      <c r="B20" s="220"/>
      <c r="C20" s="264"/>
      <c r="D20" s="295">
        <v>3253</v>
      </c>
    </row>
    <row r="21" spans="1:4" ht="12.75" customHeight="1">
      <c r="A21" s="10" t="s">
        <v>27</v>
      </c>
      <c r="B21" s="220"/>
      <c r="C21" s="264">
        <v>4744</v>
      </c>
      <c r="D21" s="295">
        <v>4744</v>
      </c>
    </row>
    <row r="22" spans="1:4" ht="12.75" customHeight="1">
      <c r="A22" s="10" t="s">
        <v>719</v>
      </c>
      <c r="B22" s="220"/>
      <c r="C22" s="264">
        <v>6800</v>
      </c>
      <c r="D22" s="295">
        <v>7353</v>
      </c>
    </row>
    <row r="23" spans="1:4" ht="12.75" customHeight="1">
      <c r="A23" s="10" t="s">
        <v>262</v>
      </c>
      <c r="B23" s="220"/>
      <c r="C23" s="264"/>
      <c r="D23" s="295">
        <v>16412</v>
      </c>
    </row>
    <row r="24" spans="1:4" ht="12.75" customHeight="1">
      <c r="A24" s="10" t="s">
        <v>263</v>
      </c>
      <c r="B24" s="220"/>
      <c r="C24" s="264"/>
      <c r="D24" s="295">
        <v>100</v>
      </c>
    </row>
    <row r="25" spans="1:4" ht="12.75" customHeight="1">
      <c r="A25" s="10" t="s">
        <v>264</v>
      </c>
      <c r="B25" s="220"/>
      <c r="C25" s="264"/>
      <c r="D25" s="295">
        <v>417</v>
      </c>
    </row>
    <row r="26" spans="1:4" ht="12.75" customHeight="1">
      <c r="A26" s="10" t="s">
        <v>265</v>
      </c>
      <c r="B26" s="220"/>
      <c r="C26" s="264"/>
      <c r="D26" s="295">
        <v>1500</v>
      </c>
    </row>
    <row r="27" spans="1:4" ht="12.75" customHeight="1">
      <c r="A27" s="10" t="s">
        <v>266</v>
      </c>
      <c r="B27" s="220"/>
      <c r="C27" s="264"/>
      <c r="D27" s="295">
        <v>450</v>
      </c>
    </row>
    <row r="28" spans="1:4" ht="12.75" customHeight="1">
      <c r="A28" s="247" t="s">
        <v>425</v>
      </c>
      <c r="B28" s="262">
        <f>SUM(B11:B27)</f>
        <v>102700</v>
      </c>
      <c r="C28" s="262">
        <f>SUM(C11:C27)</f>
        <v>114244</v>
      </c>
      <c r="D28" s="551">
        <f>SUM(D11:D27)</f>
        <v>133429</v>
      </c>
    </row>
    <row r="29" spans="1:4" ht="12.75" customHeight="1">
      <c r="A29" s="10"/>
      <c r="B29" s="220"/>
      <c r="C29" s="264"/>
      <c r="D29" s="295"/>
    </row>
    <row r="30" spans="1:4" ht="12.75" customHeight="1">
      <c r="A30" s="26" t="s">
        <v>688</v>
      </c>
      <c r="B30" s="263"/>
      <c r="C30" s="264"/>
      <c r="D30" s="295"/>
    </row>
    <row r="31" spans="1:4" ht="12.75" customHeight="1">
      <c r="A31" s="248" t="s">
        <v>579</v>
      </c>
      <c r="B31" s="220">
        <v>20000</v>
      </c>
      <c r="C31" s="264">
        <v>20000</v>
      </c>
      <c r="D31" s="295">
        <v>3588</v>
      </c>
    </row>
    <row r="32" spans="1:4" ht="12.75" customHeight="1">
      <c r="A32" s="248" t="s">
        <v>267</v>
      </c>
      <c r="B32" s="220"/>
      <c r="C32" s="264"/>
      <c r="D32" s="295">
        <v>83466</v>
      </c>
    </row>
    <row r="33" spans="1:4" ht="12.75" customHeight="1">
      <c r="A33" s="248" t="s">
        <v>268</v>
      </c>
      <c r="B33" s="220"/>
      <c r="C33" s="264"/>
      <c r="D33" s="295">
        <v>49909</v>
      </c>
    </row>
    <row r="34" spans="1:4" ht="12.75" customHeight="1">
      <c r="A34" s="248" t="s">
        <v>269</v>
      </c>
      <c r="B34" s="220"/>
      <c r="C34" s="264"/>
      <c r="D34" s="295">
        <v>583</v>
      </c>
    </row>
    <row r="35" spans="1:4" ht="12.75" customHeight="1">
      <c r="A35" s="247" t="s">
        <v>425</v>
      </c>
      <c r="B35" s="262">
        <f>SUM(B31:B34)</f>
        <v>20000</v>
      </c>
      <c r="C35" s="262">
        <f>SUM(C31:C34)</f>
        <v>20000</v>
      </c>
      <c r="D35" s="551">
        <f>SUM(D31:D34)</f>
        <v>137546</v>
      </c>
    </row>
    <row r="36" spans="1:4" ht="12.75" customHeight="1">
      <c r="A36" s="247"/>
      <c r="B36" s="220"/>
      <c r="C36" s="264"/>
      <c r="D36" s="295"/>
    </row>
    <row r="37" spans="1:4" ht="12.75" customHeight="1">
      <c r="A37" s="26" t="s">
        <v>690</v>
      </c>
      <c r="B37" s="220"/>
      <c r="C37" s="264"/>
      <c r="D37" s="295"/>
    </row>
    <row r="38" spans="1:4" ht="12.75" customHeight="1">
      <c r="A38" s="249" t="s">
        <v>580</v>
      </c>
      <c r="B38" s="220">
        <v>6000</v>
      </c>
      <c r="C38" s="264">
        <v>6000</v>
      </c>
      <c r="D38" s="295">
        <v>6000</v>
      </c>
    </row>
    <row r="39" spans="1:4" ht="12.75" customHeight="1">
      <c r="A39" s="249" t="s">
        <v>685</v>
      </c>
      <c r="B39" s="220">
        <v>1500</v>
      </c>
      <c r="C39" s="264">
        <v>1500</v>
      </c>
      <c r="D39" s="295">
        <v>1500</v>
      </c>
    </row>
    <row r="40" spans="1:4" ht="12.75" customHeight="1">
      <c r="A40" s="10" t="s">
        <v>88</v>
      </c>
      <c r="B40" s="220">
        <v>4220</v>
      </c>
      <c r="C40" s="264">
        <v>4220</v>
      </c>
      <c r="D40" s="295">
        <v>4220</v>
      </c>
    </row>
    <row r="41" spans="1:4" ht="12.75" customHeight="1">
      <c r="A41" s="247" t="s">
        <v>425</v>
      </c>
      <c r="B41" s="262">
        <v>11720</v>
      </c>
      <c r="C41" s="265">
        <f>SUM(C38:C40)</f>
        <v>11720</v>
      </c>
      <c r="D41" s="300">
        <f>SUM(D38:D40)</f>
        <v>11720</v>
      </c>
    </row>
    <row r="42" spans="1:4" ht="12.75" customHeight="1">
      <c r="A42" s="10"/>
      <c r="B42" s="220"/>
      <c r="C42" s="264"/>
      <c r="D42" s="295"/>
    </row>
    <row r="43" spans="1:4" ht="12.75" customHeight="1">
      <c r="A43" s="26" t="s">
        <v>33</v>
      </c>
      <c r="B43" s="220"/>
      <c r="C43" s="264"/>
      <c r="D43" s="295"/>
    </row>
    <row r="44" spans="1:4" ht="12.75" customHeight="1">
      <c r="A44" s="10" t="s">
        <v>36</v>
      </c>
      <c r="B44" s="220"/>
      <c r="C44" s="264"/>
      <c r="D44" s="295"/>
    </row>
    <row r="45" spans="1:4" ht="12.75" customHeight="1">
      <c r="A45" s="10" t="s">
        <v>37</v>
      </c>
      <c r="B45" s="220"/>
      <c r="C45" s="264"/>
      <c r="D45" s="295">
        <v>1425</v>
      </c>
    </row>
    <row r="46" spans="1:4" ht="12.75" customHeight="1">
      <c r="A46" s="10" t="s">
        <v>720</v>
      </c>
      <c r="B46" s="220"/>
      <c r="C46" s="264">
        <v>249</v>
      </c>
      <c r="D46" s="295">
        <v>249</v>
      </c>
    </row>
    <row r="47" spans="1:4" ht="12.75" customHeight="1">
      <c r="A47" s="247" t="s">
        <v>425</v>
      </c>
      <c r="B47" s="262">
        <f>SUM(B44:B46)</f>
        <v>0</v>
      </c>
      <c r="C47" s="237">
        <f>SUM(C44:C46)</f>
        <v>249</v>
      </c>
      <c r="D47" s="541">
        <f>SUM(D44:D46)</f>
        <v>1674</v>
      </c>
    </row>
    <row r="48" spans="1:4" ht="12.75" customHeight="1">
      <c r="A48" s="10"/>
      <c r="B48" s="220"/>
      <c r="C48" s="264"/>
      <c r="D48" s="295"/>
    </row>
    <row r="49" spans="1:4" ht="12.75" customHeight="1" thickBot="1">
      <c r="A49" s="27" t="s">
        <v>380</v>
      </c>
      <c r="B49" s="251">
        <f>SUM(B28+B35+B41+B47)</f>
        <v>134420</v>
      </c>
      <c r="C49" s="230">
        <f>SUM(C28+C35+C41+C47)</f>
        <v>146213</v>
      </c>
      <c r="D49" s="542">
        <f>SUM(D28+D35+D41+D47)</f>
        <v>284369</v>
      </c>
    </row>
    <row r="50" spans="1:2" ht="13.5" thickTop="1">
      <c r="A50" s="4"/>
      <c r="B50" s="4"/>
    </row>
  </sheetData>
  <mergeCells count="3">
    <mergeCell ref="A4:D4"/>
    <mergeCell ref="A5:D5"/>
    <mergeCell ref="A6:D6"/>
  </mergeCells>
  <printOptions horizontalCentered="1"/>
  <pageMargins left="0.45" right="0.33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4">
      <selection activeCell="D39" sqref="D39"/>
    </sheetView>
  </sheetViews>
  <sheetFormatPr defaultColWidth="9.00390625" defaultRowHeight="12.75"/>
  <cols>
    <col min="1" max="1" width="50.375" style="205" customWidth="1"/>
    <col min="2" max="3" width="13.75390625" style="205" customWidth="1"/>
    <col min="4" max="4" width="14.125" style="278" customWidth="1"/>
    <col min="5" max="16384" width="9.125" style="205" customWidth="1"/>
  </cols>
  <sheetData>
    <row r="1" ht="12.75">
      <c r="A1" s="124" t="s">
        <v>764</v>
      </c>
    </row>
    <row r="2" ht="15.75">
      <c r="A2" s="32"/>
    </row>
    <row r="3" ht="15.75">
      <c r="A3" s="32"/>
    </row>
    <row r="4" spans="1:4" ht="15" customHeight="1">
      <c r="A4" s="745" t="s">
        <v>139</v>
      </c>
      <c r="B4" s="746"/>
      <c r="C4" s="747"/>
      <c r="D4" s="664"/>
    </row>
    <row r="5" spans="1:2" ht="15">
      <c r="A5" s="740"/>
      <c r="B5" s="741"/>
    </row>
    <row r="6" spans="1:2" ht="15">
      <c r="A6" s="71"/>
      <c r="B6" s="206"/>
    </row>
    <row r="7" spans="1:2" ht="14.25" customHeight="1" thickBot="1">
      <c r="A7" s="125"/>
      <c r="B7" s="206"/>
    </row>
    <row r="8" spans="1:4" ht="22.5" customHeight="1" thickTop="1">
      <c r="A8" s="742" t="s">
        <v>484</v>
      </c>
      <c r="B8" s="641" t="s">
        <v>485</v>
      </c>
      <c r="C8" s="744"/>
      <c r="D8" s="634"/>
    </row>
    <row r="9" spans="1:4" ht="15" customHeight="1">
      <c r="A9" s="743"/>
      <c r="B9" s="197" t="s">
        <v>352</v>
      </c>
      <c r="C9" s="307" t="s">
        <v>59</v>
      </c>
      <c r="D9" s="301" t="s">
        <v>259</v>
      </c>
    </row>
    <row r="10" spans="1:4" ht="15" customHeight="1">
      <c r="A10" s="126" t="s">
        <v>455</v>
      </c>
      <c r="B10" s="198">
        <v>20</v>
      </c>
      <c r="C10" s="308">
        <v>20</v>
      </c>
      <c r="D10" s="302">
        <v>20</v>
      </c>
    </row>
    <row r="11" spans="1:4" ht="15" customHeight="1">
      <c r="A11" s="126" t="s">
        <v>456</v>
      </c>
      <c r="B11" s="198">
        <v>14</v>
      </c>
      <c r="C11" s="308">
        <v>14</v>
      </c>
      <c r="D11" s="302">
        <v>14</v>
      </c>
    </row>
    <row r="12" spans="1:4" ht="15" customHeight="1">
      <c r="A12" s="126" t="s">
        <v>236</v>
      </c>
      <c r="B12" s="198">
        <v>7</v>
      </c>
      <c r="C12" s="308">
        <v>7</v>
      </c>
      <c r="D12" s="302">
        <v>7</v>
      </c>
    </row>
    <row r="13" spans="1:4" ht="15" customHeight="1">
      <c r="A13" s="126" t="s">
        <v>457</v>
      </c>
      <c r="B13" s="198">
        <v>10</v>
      </c>
      <c r="C13" s="308">
        <v>10</v>
      </c>
      <c r="D13" s="302">
        <v>10</v>
      </c>
    </row>
    <row r="14" spans="1:4" ht="15" customHeight="1">
      <c r="A14" s="126" t="s">
        <v>458</v>
      </c>
      <c r="B14" s="198">
        <v>16.25</v>
      </c>
      <c r="C14" s="308">
        <v>16.25</v>
      </c>
      <c r="D14" s="302">
        <v>16.25</v>
      </c>
    </row>
    <row r="15" spans="1:4" ht="15" customHeight="1">
      <c r="A15" s="126" t="s">
        <v>486</v>
      </c>
      <c r="B15" s="198">
        <v>9</v>
      </c>
      <c r="C15" s="308">
        <v>9</v>
      </c>
      <c r="D15" s="302">
        <v>9</v>
      </c>
    </row>
    <row r="16" spans="1:4" ht="15" customHeight="1">
      <c r="A16" s="126" t="s">
        <v>459</v>
      </c>
      <c r="B16" s="198">
        <v>15.5</v>
      </c>
      <c r="C16" s="308">
        <v>15.5</v>
      </c>
      <c r="D16" s="302">
        <v>15.5</v>
      </c>
    </row>
    <row r="17" spans="1:4" ht="15" customHeight="1">
      <c r="A17" s="126" t="s">
        <v>237</v>
      </c>
      <c r="B17" s="198">
        <v>14</v>
      </c>
      <c r="C17" s="308">
        <v>14</v>
      </c>
      <c r="D17" s="302">
        <v>14</v>
      </c>
    </row>
    <row r="18" spans="1:4" ht="15" customHeight="1">
      <c r="A18" s="126" t="s">
        <v>460</v>
      </c>
      <c r="B18" s="198">
        <v>3.5</v>
      </c>
      <c r="C18" s="308">
        <v>3.5</v>
      </c>
      <c r="D18" s="302">
        <v>3.5</v>
      </c>
    </row>
    <row r="19" spans="1:4" ht="15" customHeight="1">
      <c r="A19" s="126" t="s">
        <v>238</v>
      </c>
      <c r="B19" s="198">
        <v>27</v>
      </c>
      <c r="C19" s="308">
        <v>27</v>
      </c>
      <c r="D19" s="302">
        <v>27</v>
      </c>
    </row>
    <row r="20" spans="1:4" ht="15" customHeight="1">
      <c r="A20" s="126" t="s">
        <v>45</v>
      </c>
      <c r="B20" s="198">
        <v>59.5</v>
      </c>
      <c r="C20" s="308">
        <v>60.5</v>
      </c>
      <c r="D20" s="302">
        <v>60.5</v>
      </c>
    </row>
    <row r="21" spans="1:4" ht="15" customHeight="1">
      <c r="A21" s="126" t="s">
        <v>150</v>
      </c>
      <c r="B21" s="198">
        <v>22</v>
      </c>
      <c r="C21" s="308">
        <v>22</v>
      </c>
      <c r="D21" s="302">
        <v>22</v>
      </c>
    </row>
    <row r="22" spans="1:4" ht="15" customHeight="1">
      <c r="A22" s="126" t="s">
        <v>487</v>
      </c>
      <c r="B22" s="198">
        <v>77.5</v>
      </c>
      <c r="C22" s="308">
        <v>77.5</v>
      </c>
      <c r="D22" s="302">
        <v>77.5</v>
      </c>
    </row>
    <row r="23" spans="1:4" ht="15" customHeight="1">
      <c r="A23" s="126" t="s">
        <v>488</v>
      </c>
      <c r="B23" s="198">
        <v>20</v>
      </c>
      <c r="C23" s="308">
        <v>20</v>
      </c>
      <c r="D23" s="302">
        <v>20</v>
      </c>
    </row>
    <row r="24" spans="1:4" ht="15" customHeight="1">
      <c r="A24" s="126" t="s">
        <v>507</v>
      </c>
      <c r="B24" s="198"/>
      <c r="C24" s="308">
        <v>14</v>
      </c>
      <c r="D24" s="302">
        <v>14</v>
      </c>
    </row>
    <row r="25" spans="1:4" ht="15" customHeight="1">
      <c r="A25" s="126" t="s">
        <v>46</v>
      </c>
      <c r="B25" s="198">
        <v>21.5</v>
      </c>
      <c r="C25" s="308">
        <v>22</v>
      </c>
      <c r="D25" s="302">
        <v>22</v>
      </c>
    </row>
    <row r="26" spans="1:4" ht="15.75" customHeight="1">
      <c r="A26" s="126" t="s">
        <v>489</v>
      </c>
      <c r="B26" s="198">
        <v>9.5</v>
      </c>
      <c r="C26" s="308">
        <v>9.5</v>
      </c>
      <c r="D26" s="302">
        <v>9.5</v>
      </c>
    </row>
    <row r="27" spans="1:4" ht="15" customHeight="1">
      <c r="A27" s="127" t="s">
        <v>496</v>
      </c>
      <c r="B27" s="199">
        <v>50.5</v>
      </c>
      <c r="C27" s="308">
        <v>52.5</v>
      </c>
      <c r="D27" s="302">
        <v>52.5</v>
      </c>
    </row>
    <row r="28" spans="1:4" ht="15" customHeight="1">
      <c r="A28" s="126" t="s">
        <v>56</v>
      </c>
      <c r="B28" s="198">
        <v>10</v>
      </c>
      <c r="C28" s="308">
        <v>10</v>
      </c>
      <c r="D28" s="302">
        <v>10</v>
      </c>
    </row>
    <row r="29" spans="1:4" ht="15" customHeight="1">
      <c r="A29" s="128" t="s">
        <v>490</v>
      </c>
      <c r="B29" s="200">
        <f>SUM(B10:B28)</f>
        <v>406.75</v>
      </c>
      <c r="C29" s="545">
        <f>SUM(C10:C28)</f>
        <v>424.25</v>
      </c>
      <c r="D29" s="543">
        <f>SUM(D10:D28)</f>
        <v>424.25</v>
      </c>
    </row>
    <row r="30" spans="1:4" ht="15" customHeight="1" thickBot="1">
      <c r="A30" s="207" t="s">
        <v>346</v>
      </c>
      <c r="B30" s="201">
        <v>200</v>
      </c>
      <c r="C30" s="546">
        <v>200</v>
      </c>
      <c r="D30" s="544">
        <v>200</v>
      </c>
    </row>
    <row r="31" spans="1:4" ht="15" customHeight="1">
      <c r="A31" s="129" t="s">
        <v>491</v>
      </c>
      <c r="B31" s="202">
        <f>SUM(B29:B30)</f>
        <v>606.75</v>
      </c>
      <c r="C31" s="310">
        <f>SUM(C29:C30)</f>
        <v>624.25</v>
      </c>
      <c r="D31" s="304">
        <f>SUM(D29:D30)</f>
        <v>624.25</v>
      </c>
    </row>
    <row r="32" spans="1:4" ht="15" customHeight="1">
      <c r="A32" s="126"/>
      <c r="B32" s="198"/>
      <c r="C32" s="308"/>
      <c r="D32" s="302"/>
    </row>
    <row r="33" spans="1:4" ht="15" customHeight="1">
      <c r="A33" s="126" t="s">
        <v>492</v>
      </c>
      <c r="B33" s="198"/>
      <c r="C33" s="308"/>
      <c r="D33" s="302"/>
    </row>
    <row r="34" spans="1:4" ht="15" customHeight="1">
      <c r="A34" s="126" t="s">
        <v>494</v>
      </c>
      <c r="B34" s="198">
        <v>91</v>
      </c>
      <c r="C34" s="308">
        <v>96</v>
      </c>
      <c r="D34" s="302">
        <v>96</v>
      </c>
    </row>
    <row r="35" spans="1:4" ht="15" customHeight="1">
      <c r="A35" s="126" t="s">
        <v>493</v>
      </c>
      <c r="B35" s="199">
        <v>3</v>
      </c>
      <c r="C35" s="308">
        <v>3</v>
      </c>
      <c r="D35" s="302">
        <v>3</v>
      </c>
    </row>
    <row r="36" spans="1:4" ht="15" customHeight="1" thickBot="1">
      <c r="A36" s="126" t="s">
        <v>495</v>
      </c>
      <c r="B36" s="203">
        <v>4</v>
      </c>
      <c r="C36" s="309">
        <v>4</v>
      </c>
      <c r="D36" s="303">
        <v>4</v>
      </c>
    </row>
    <row r="37" spans="1:4" s="281" customFormat="1" ht="15" customHeight="1">
      <c r="A37" s="279" t="s">
        <v>425</v>
      </c>
      <c r="B37" s="280">
        <f>SUM(B33:B36)</f>
        <v>98</v>
      </c>
      <c r="C37" s="311">
        <f>SUM(C34:C36)</f>
        <v>103</v>
      </c>
      <c r="D37" s="305">
        <f>SUM(D34:D36)</f>
        <v>103</v>
      </c>
    </row>
    <row r="38" spans="1:4" ht="15" customHeight="1" thickBot="1">
      <c r="A38" s="126"/>
      <c r="B38" s="203"/>
      <c r="C38" s="309"/>
      <c r="D38" s="303"/>
    </row>
    <row r="39" spans="1:4" ht="15" customHeight="1" thickBot="1">
      <c r="A39" s="130" t="s">
        <v>380</v>
      </c>
      <c r="B39" s="204">
        <f>SUM(B31+B37)</f>
        <v>704.75</v>
      </c>
      <c r="C39" s="312">
        <f>SUM(C31+C37)</f>
        <v>727.25</v>
      </c>
      <c r="D39" s="306">
        <f>SUM(D31+D37)</f>
        <v>727.25</v>
      </c>
    </row>
    <row r="40" spans="1:2" ht="19.5" thickTop="1">
      <c r="A40" s="131"/>
      <c r="B40" s="208"/>
    </row>
    <row r="41" ht="15.75">
      <c r="A41" s="132"/>
    </row>
  </sheetData>
  <mergeCells count="4">
    <mergeCell ref="A5:B5"/>
    <mergeCell ref="A8:A9"/>
    <mergeCell ref="B8:D8"/>
    <mergeCell ref="A4:D4"/>
  </mergeCells>
  <printOptions/>
  <pageMargins left="0.56" right="0.47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02"/>
  <sheetViews>
    <sheetView workbookViewId="0" topLeftCell="A1">
      <selection activeCell="A3" sqref="A3"/>
    </sheetView>
  </sheetViews>
  <sheetFormatPr defaultColWidth="9.00390625" defaultRowHeight="12.75"/>
  <cols>
    <col min="1" max="1" width="98.00390625" style="316" customWidth="1"/>
    <col min="2" max="2" width="13.25390625" style="316" customWidth="1"/>
    <col min="3" max="3" width="12.25390625" style="316" customWidth="1"/>
    <col min="4" max="4" width="13.875" style="316" customWidth="1"/>
    <col min="5" max="5" width="11.75390625" style="563" customWidth="1"/>
    <col min="6" max="16384" width="9.125" style="316" customWidth="1"/>
  </cols>
  <sheetData>
    <row r="1" ht="15">
      <c r="A1" s="206" t="s">
        <v>775</v>
      </c>
    </row>
    <row r="4" spans="1:4" ht="12.75">
      <c r="A4" s="748" t="s">
        <v>765</v>
      </c>
      <c r="B4" s="748"/>
      <c r="C4" s="748"/>
      <c r="D4" s="748"/>
    </row>
    <row r="5" spans="1:2" ht="12.75">
      <c r="A5" s="482"/>
      <c r="B5" s="482"/>
    </row>
    <row r="6" spans="1:4" ht="12.75">
      <c r="A6" s="748" t="s">
        <v>47</v>
      </c>
      <c r="B6" s="748"/>
      <c r="C6" s="748"/>
      <c r="D6" s="748"/>
    </row>
    <row r="7" spans="1:4" ht="12.75">
      <c r="A7" s="748" t="s">
        <v>17</v>
      </c>
      <c r="B7" s="748"/>
      <c r="C7" s="748"/>
      <c r="D7" s="748"/>
    </row>
    <row r="8" ht="13.5" thickBot="1"/>
    <row r="9" spans="1:5" ht="13.5" thickTop="1">
      <c r="A9" s="483" t="s">
        <v>766</v>
      </c>
      <c r="B9" s="484" t="s">
        <v>352</v>
      </c>
      <c r="C9" s="485" t="s">
        <v>137</v>
      </c>
      <c r="D9" s="485" t="s">
        <v>59</v>
      </c>
      <c r="E9" s="564" t="s">
        <v>259</v>
      </c>
    </row>
    <row r="10" spans="1:5" ht="12.75">
      <c r="A10" s="486" t="s">
        <v>43</v>
      </c>
      <c r="B10" s="487">
        <v>2200000</v>
      </c>
      <c r="C10" s="488">
        <v>2200000</v>
      </c>
      <c r="D10" s="488">
        <v>2200000</v>
      </c>
      <c r="E10" s="565">
        <v>2200000</v>
      </c>
    </row>
    <row r="11" spans="1:5" ht="12.75">
      <c r="A11" s="486" t="s">
        <v>70</v>
      </c>
      <c r="B11" s="487"/>
      <c r="C11" s="488"/>
      <c r="D11" s="488"/>
      <c r="E11" s="565" t="s">
        <v>322</v>
      </c>
    </row>
    <row r="12" spans="1:5" ht="12.75">
      <c r="A12" s="486" t="s">
        <v>767</v>
      </c>
      <c r="B12" s="487">
        <v>22000</v>
      </c>
      <c r="C12" s="488">
        <v>22000</v>
      </c>
      <c r="D12" s="488">
        <v>22000</v>
      </c>
      <c r="E12" s="565">
        <v>0</v>
      </c>
    </row>
    <row r="13" spans="1:5" ht="12.75">
      <c r="A13" s="486" t="s">
        <v>768</v>
      </c>
      <c r="B13" s="487">
        <v>38000</v>
      </c>
      <c r="C13" s="488">
        <v>19000</v>
      </c>
      <c r="D13" s="488">
        <v>0</v>
      </c>
      <c r="E13" s="565">
        <v>0</v>
      </c>
    </row>
    <row r="14" spans="1:6" ht="12.75">
      <c r="A14" s="486" t="s">
        <v>71</v>
      </c>
      <c r="B14" s="487">
        <v>140000</v>
      </c>
      <c r="C14" s="488">
        <v>140000</v>
      </c>
      <c r="D14" s="488">
        <v>140000</v>
      </c>
      <c r="E14" s="565">
        <v>140000</v>
      </c>
      <c r="F14" s="593"/>
    </row>
    <row r="15" spans="1:5" ht="12.75">
      <c r="A15" s="486" t="s">
        <v>511</v>
      </c>
      <c r="B15" s="487"/>
      <c r="C15" s="488"/>
      <c r="D15" s="488">
        <v>15661</v>
      </c>
      <c r="E15" s="565">
        <v>15661</v>
      </c>
    </row>
    <row r="16" spans="1:5" ht="12.75">
      <c r="A16" s="486" t="s">
        <v>323</v>
      </c>
      <c r="B16" s="487"/>
      <c r="C16" s="488"/>
      <c r="D16" s="488"/>
      <c r="E16" s="565">
        <v>83466</v>
      </c>
    </row>
    <row r="17" spans="1:5" ht="12.75">
      <c r="A17" s="486" t="s">
        <v>324</v>
      </c>
      <c r="B17" s="487"/>
      <c r="C17" s="488"/>
      <c r="D17" s="488"/>
      <c r="E17" s="565">
        <v>49909</v>
      </c>
    </row>
    <row r="18" spans="1:5" ht="12.75">
      <c r="A18" s="486" t="s">
        <v>34</v>
      </c>
      <c r="B18" s="487"/>
      <c r="C18" s="488"/>
      <c r="D18" s="488"/>
      <c r="E18" s="565">
        <v>484725</v>
      </c>
    </row>
    <row r="19" spans="1:5" ht="13.5">
      <c r="A19" s="489" t="s">
        <v>425</v>
      </c>
      <c r="B19" s="490">
        <f>SUM(B10:B18)</f>
        <v>2400000</v>
      </c>
      <c r="C19" s="491">
        <f>SUM(C10:C18)</f>
        <v>2381000</v>
      </c>
      <c r="D19" s="491">
        <f>SUM(D10:D18)</f>
        <v>2377661</v>
      </c>
      <c r="E19" s="566">
        <f>SUM(E10:E18)</f>
        <v>2973761</v>
      </c>
    </row>
    <row r="20" spans="1:5" ht="12.75">
      <c r="A20" s="486"/>
      <c r="B20" s="492"/>
      <c r="C20" s="488"/>
      <c r="D20" s="547"/>
      <c r="E20" s="565"/>
    </row>
    <row r="21" spans="1:5" ht="39" customHeight="1">
      <c r="A21" s="486"/>
      <c r="B21" s="493" t="s">
        <v>769</v>
      </c>
      <c r="C21" s="494" t="s">
        <v>137</v>
      </c>
      <c r="D21" s="494" t="s">
        <v>59</v>
      </c>
      <c r="E21" s="567" t="s">
        <v>259</v>
      </c>
    </row>
    <row r="22" spans="1:5" ht="12.75">
      <c r="A22" s="495" t="s">
        <v>770</v>
      </c>
      <c r="B22" s="496"/>
      <c r="C22" s="497"/>
      <c r="D22" s="497"/>
      <c r="E22" s="565"/>
    </row>
    <row r="23" spans="1:5" ht="12.75">
      <c r="A23" s="486"/>
      <c r="B23" s="492"/>
      <c r="C23" s="488"/>
      <c r="D23" s="488"/>
      <c r="E23" s="565"/>
    </row>
    <row r="24" spans="1:5" ht="12.75">
      <c r="A24" s="498" t="s">
        <v>618</v>
      </c>
      <c r="B24" s="492"/>
      <c r="C24" s="488"/>
      <c r="D24" s="488"/>
      <c r="E24" s="565"/>
    </row>
    <row r="25" spans="1:5" ht="12.75">
      <c r="A25" s="486" t="s">
        <v>610</v>
      </c>
      <c r="B25" s="487">
        <v>41676</v>
      </c>
      <c r="C25" s="488">
        <v>41676</v>
      </c>
      <c r="D25" s="488">
        <v>41676</v>
      </c>
      <c r="E25" s="565">
        <v>41676</v>
      </c>
    </row>
    <row r="26" spans="1:5" ht="12.75">
      <c r="A26" s="486" t="s">
        <v>611</v>
      </c>
      <c r="B26" s="487">
        <v>10000</v>
      </c>
      <c r="C26" s="488">
        <v>10000</v>
      </c>
      <c r="D26" s="488">
        <v>132</v>
      </c>
      <c r="E26" s="565">
        <v>132</v>
      </c>
    </row>
    <row r="27" spans="1:5" ht="12.75">
      <c r="A27" s="486" t="s">
        <v>776</v>
      </c>
      <c r="B27" s="487">
        <v>2500</v>
      </c>
      <c r="C27" s="488">
        <v>2500</v>
      </c>
      <c r="D27" s="488">
        <v>2500</v>
      </c>
      <c r="E27" s="565">
        <v>2500</v>
      </c>
    </row>
    <row r="28" spans="1:5" ht="12.75">
      <c r="A28" s="486" t="s">
        <v>773</v>
      </c>
      <c r="B28" s="487"/>
      <c r="C28" s="488"/>
      <c r="D28" s="488"/>
      <c r="E28" s="565">
        <v>6000</v>
      </c>
    </row>
    <row r="29" spans="1:5" ht="12.75">
      <c r="A29" s="486" t="s">
        <v>774</v>
      </c>
      <c r="B29" s="487"/>
      <c r="C29" s="488"/>
      <c r="D29" s="488"/>
      <c r="E29" s="565">
        <v>9000</v>
      </c>
    </row>
    <row r="30" spans="1:5" ht="12.75">
      <c r="A30" s="587" t="s">
        <v>425</v>
      </c>
      <c r="B30" s="588">
        <f>SUM(B25:B29)</f>
        <v>54176</v>
      </c>
      <c r="C30" s="589">
        <f>SUM(C25:C29)</f>
        <v>54176</v>
      </c>
      <c r="D30" s="589">
        <f>SUM(D25:D29)</f>
        <v>44308</v>
      </c>
      <c r="E30" s="590">
        <f>SUM(E25:E29)</f>
        <v>59308</v>
      </c>
    </row>
    <row r="31" spans="1:5" ht="12.75">
      <c r="A31" s="486"/>
      <c r="B31" s="492"/>
      <c r="C31" s="488"/>
      <c r="D31" s="488"/>
      <c r="E31" s="565"/>
    </row>
    <row r="32" spans="1:5" ht="12.75">
      <c r="A32" s="498" t="s">
        <v>596</v>
      </c>
      <c r="B32" s="492"/>
      <c r="C32" s="488"/>
      <c r="D32" s="488"/>
      <c r="E32" s="565"/>
    </row>
    <row r="33" spans="1:5" ht="12.75">
      <c r="A33" s="486" t="s">
        <v>48</v>
      </c>
      <c r="B33" s="487">
        <v>60000</v>
      </c>
      <c r="C33" s="488">
        <v>60000</v>
      </c>
      <c r="D33" s="488">
        <v>60000</v>
      </c>
      <c r="E33" s="565">
        <v>60000</v>
      </c>
    </row>
    <row r="34" spans="1:5" ht="12.75">
      <c r="A34" s="486" t="s">
        <v>620</v>
      </c>
      <c r="B34" s="487">
        <v>50000</v>
      </c>
      <c r="C34" s="488">
        <v>50000</v>
      </c>
      <c r="D34" s="488">
        <v>50000</v>
      </c>
      <c r="E34" s="565">
        <v>50000</v>
      </c>
    </row>
    <row r="35" spans="1:5" ht="12.75">
      <c r="A35" s="486" t="s">
        <v>621</v>
      </c>
      <c r="B35" s="487">
        <v>20000</v>
      </c>
      <c r="C35" s="488">
        <v>20000</v>
      </c>
      <c r="D35" s="488">
        <v>20000</v>
      </c>
      <c r="E35" s="565">
        <v>20000</v>
      </c>
    </row>
    <row r="36" spans="1:5" ht="12.75">
      <c r="A36" s="486" t="s">
        <v>622</v>
      </c>
      <c r="B36" s="487">
        <v>12000</v>
      </c>
      <c r="C36" s="488">
        <v>12000</v>
      </c>
      <c r="D36" s="488">
        <v>12000</v>
      </c>
      <c r="E36" s="565">
        <v>12000</v>
      </c>
    </row>
    <row r="37" spans="1:5" ht="12.75">
      <c r="A37" s="486" t="s">
        <v>777</v>
      </c>
      <c r="B37" s="487">
        <v>9600</v>
      </c>
      <c r="C37" s="488">
        <v>9600</v>
      </c>
      <c r="D37" s="488">
        <v>9600</v>
      </c>
      <c r="E37" s="565">
        <v>9600</v>
      </c>
    </row>
    <row r="38" spans="1:5" ht="12.75">
      <c r="A38" s="486" t="s">
        <v>651</v>
      </c>
      <c r="B38" s="487">
        <v>346948</v>
      </c>
      <c r="C38" s="488">
        <f>346948-115548</f>
        <v>231400</v>
      </c>
      <c r="D38" s="488">
        <v>231400</v>
      </c>
      <c r="E38" s="565">
        <v>231400</v>
      </c>
    </row>
    <row r="39" spans="1:5" ht="12.75">
      <c r="A39" s="486" t="s">
        <v>654</v>
      </c>
      <c r="B39" s="487">
        <v>3000</v>
      </c>
      <c r="C39" s="488">
        <v>3000</v>
      </c>
      <c r="D39" s="488">
        <v>3000</v>
      </c>
      <c r="E39" s="565">
        <v>3000</v>
      </c>
    </row>
    <row r="40" spans="1:5" ht="12.75">
      <c r="A40" s="486" t="s">
        <v>658</v>
      </c>
      <c r="B40" s="487">
        <v>1500</v>
      </c>
      <c r="C40" s="488">
        <v>1500</v>
      </c>
      <c r="D40" s="488">
        <v>1500</v>
      </c>
      <c r="E40" s="565">
        <v>1500</v>
      </c>
    </row>
    <row r="41" spans="1:5" ht="12.75">
      <c r="A41" s="486" t="s">
        <v>663</v>
      </c>
      <c r="B41" s="487">
        <v>92252</v>
      </c>
      <c r="C41" s="488">
        <f>92252+115548</f>
        <v>207800</v>
      </c>
      <c r="D41" s="488">
        <v>211131</v>
      </c>
      <c r="E41" s="565">
        <v>211131</v>
      </c>
    </row>
    <row r="42" spans="1:5" ht="12.75">
      <c r="A42" s="486" t="s">
        <v>665</v>
      </c>
      <c r="B42" s="487">
        <v>5000</v>
      </c>
      <c r="C42" s="488">
        <v>5000</v>
      </c>
      <c r="D42" s="488">
        <v>5000</v>
      </c>
      <c r="E42" s="565">
        <v>5000</v>
      </c>
    </row>
    <row r="43" spans="1:5" ht="12.75">
      <c r="A43" s="486" t="s">
        <v>594</v>
      </c>
      <c r="B43" s="487">
        <v>50000</v>
      </c>
      <c r="C43" s="488">
        <v>50000</v>
      </c>
      <c r="D43" s="488">
        <v>125000</v>
      </c>
      <c r="E43" s="565">
        <v>125000</v>
      </c>
    </row>
    <row r="44" spans="1:5" ht="12.75">
      <c r="A44" s="486" t="s">
        <v>589</v>
      </c>
      <c r="B44" s="487">
        <v>25000</v>
      </c>
      <c r="C44" s="488">
        <v>25000</v>
      </c>
      <c r="D44" s="488">
        <v>0</v>
      </c>
      <c r="E44" s="565">
        <v>0</v>
      </c>
    </row>
    <row r="45" spans="1:5" ht="12.75">
      <c r="A45" s="486" t="s">
        <v>597</v>
      </c>
      <c r="B45" s="487">
        <v>102750</v>
      </c>
      <c r="C45" s="488">
        <v>102750</v>
      </c>
      <c r="D45" s="488">
        <v>102750</v>
      </c>
      <c r="E45" s="565">
        <f>102750-2632-670</f>
        <v>99448</v>
      </c>
    </row>
    <row r="46" spans="1:5" ht="12.75">
      <c r="A46" s="486" t="s">
        <v>595</v>
      </c>
      <c r="B46" s="487">
        <v>2200</v>
      </c>
      <c r="C46" s="488">
        <v>2200</v>
      </c>
      <c r="D46" s="488">
        <v>4000</v>
      </c>
      <c r="E46" s="565">
        <v>4000</v>
      </c>
    </row>
    <row r="47" spans="1:5" ht="12.75">
      <c r="A47" s="486" t="s">
        <v>3</v>
      </c>
      <c r="B47" s="487"/>
      <c r="C47" s="488">
        <v>22740</v>
      </c>
      <c r="D47" s="488">
        <v>22740</v>
      </c>
      <c r="E47" s="565">
        <v>22740</v>
      </c>
    </row>
    <row r="48" spans="1:5" ht="12.75">
      <c r="A48" s="486" t="s">
        <v>4</v>
      </c>
      <c r="B48" s="487"/>
      <c r="C48" s="488">
        <v>25000</v>
      </c>
      <c r="D48" s="488">
        <v>25000</v>
      </c>
      <c r="E48" s="565">
        <v>25000</v>
      </c>
    </row>
    <row r="49" spans="1:5" ht="12.75">
      <c r="A49" s="486" t="s">
        <v>788</v>
      </c>
      <c r="B49" s="487"/>
      <c r="C49" s="488">
        <v>2625</v>
      </c>
      <c r="D49" s="488">
        <v>2625</v>
      </c>
      <c r="E49" s="565">
        <v>2625</v>
      </c>
    </row>
    <row r="50" spans="1:5" ht="12.75">
      <c r="A50" s="499" t="s">
        <v>512</v>
      </c>
      <c r="B50" s="487"/>
      <c r="C50" s="488"/>
      <c r="D50" s="488">
        <v>1015</v>
      </c>
      <c r="E50" s="565">
        <v>1015</v>
      </c>
    </row>
    <row r="51" spans="1:5" ht="12.75">
      <c r="A51" s="499" t="s">
        <v>513</v>
      </c>
      <c r="B51" s="487"/>
      <c r="C51" s="488"/>
      <c r="D51" s="488">
        <v>10000</v>
      </c>
      <c r="E51" s="565">
        <v>10000</v>
      </c>
    </row>
    <row r="52" spans="1:5" ht="12.75">
      <c r="A52" s="499" t="s">
        <v>517</v>
      </c>
      <c r="B52" s="586"/>
      <c r="C52" s="585"/>
      <c r="D52" s="488">
        <v>10000</v>
      </c>
      <c r="E52" s="565">
        <v>10000</v>
      </c>
    </row>
    <row r="53" spans="1:5" ht="12.75">
      <c r="A53" s="499" t="s">
        <v>518</v>
      </c>
      <c r="B53" s="487"/>
      <c r="C53" s="488"/>
      <c r="D53" s="488">
        <v>10000</v>
      </c>
      <c r="E53" s="565">
        <v>14000</v>
      </c>
    </row>
    <row r="54" spans="1:5" ht="12.75">
      <c r="A54" s="499" t="s">
        <v>519</v>
      </c>
      <c r="B54" s="487"/>
      <c r="C54" s="488"/>
      <c r="D54" s="488">
        <v>43875</v>
      </c>
      <c r="E54" s="565">
        <v>43875</v>
      </c>
    </row>
    <row r="55" spans="1:5" ht="12.75">
      <c r="A55" s="499" t="s">
        <v>520</v>
      </c>
      <c r="B55" s="487"/>
      <c r="C55" s="488"/>
      <c r="D55" s="488">
        <v>7200</v>
      </c>
      <c r="E55" s="565">
        <v>7200</v>
      </c>
    </row>
    <row r="56" spans="1:5" ht="12.75">
      <c r="A56" s="499" t="s">
        <v>521</v>
      </c>
      <c r="B56" s="487"/>
      <c r="C56" s="488"/>
      <c r="D56" s="488">
        <v>11100</v>
      </c>
      <c r="E56" s="565">
        <v>11100</v>
      </c>
    </row>
    <row r="57" spans="1:5" ht="12.75">
      <c r="A57" s="499" t="s">
        <v>325</v>
      </c>
      <c r="B57" s="487"/>
      <c r="C57" s="488"/>
      <c r="D57" s="488"/>
      <c r="E57" s="565">
        <v>1000</v>
      </c>
    </row>
    <row r="58" spans="1:5" ht="12.75">
      <c r="A58" s="499" t="s">
        <v>326</v>
      </c>
      <c r="B58" s="487"/>
      <c r="C58" s="488"/>
      <c r="D58" s="488"/>
      <c r="E58" s="565">
        <v>220000</v>
      </c>
    </row>
    <row r="59" spans="1:5" ht="12.75">
      <c r="A59" s="499" t="s">
        <v>327</v>
      </c>
      <c r="B59" s="487"/>
      <c r="C59" s="488"/>
      <c r="D59" s="488"/>
      <c r="E59" s="565">
        <v>8435</v>
      </c>
    </row>
    <row r="60" spans="1:5" ht="12.75">
      <c r="A60" s="499" t="s">
        <v>328</v>
      </c>
      <c r="B60" s="487"/>
      <c r="C60" s="488"/>
      <c r="D60" s="488"/>
      <c r="E60" s="565">
        <v>3300</v>
      </c>
    </row>
    <row r="61" spans="1:5" ht="12.75">
      <c r="A61" s="486" t="s">
        <v>35</v>
      </c>
      <c r="B61" s="487"/>
      <c r="C61" s="488"/>
      <c r="D61" s="488"/>
      <c r="E61" s="565">
        <v>484725</v>
      </c>
    </row>
    <row r="62" spans="1:5" ht="12.75">
      <c r="A62" s="327" t="s">
        <v>591</v>
      </c>
      <c r="B62" s="487"/>
      <c r="C62" s="488"/>
      <c r="D62" s="488"/>
      <c r="E62" s="565">
        <v>5000</v>
      </c>
    </row>
    <row r="63" spans="1:5" ht="12.75">
      <c r="A63" s="330" t="s">
        <v>498</v>
      </c>
      <c r="B63" s="487"/>
      <c r="C63" s="488"/>
      <c r="D63" s="488"/>
      <c r="E63" s="565">
        <v>5000</v>
      </c>
    </row>
    <row r="64" spans="1:5" ht="12.75">
      <c r="A64" s="330" t="s">
        <v>565</v>
      </c>
      <c r="B64" s="487"/>
      <c r="C64" s="488"/>
      <c r="D64" s="488"/>
      <c r="E64" s="565">
        <v>3000</v>
      </c>
    </row>
    <row r="65" spans="1:5" ht="12.75">
      <c r="A65" s="327" t="s">
        <v>657</v>
      </c>
      <c r="B65" s="487"/>
      <c r="C65" s="488"/>
      <c r="D65" s="488"/>
      <c r="E65" s="565">
        <v>5000</v>
      </c>
    </row>
    <row r="66" spans="1:5" ht="12.75">
      <c r="A66" s="327" t="s">
        <v>666</v>
      </c>
      <c r="B66" s="487"/>
      <c r="C66" s="488"/>
      <c r="D66" s="488"/>
      <c r="E66" s="565">
        <v>5000</v>
      </c>
    </row>
    <row r="67" spans="1:5" ht="12.75">
      <c r="A67" s="317" t="s">
        <v>592</v>
      </c>
      <c r="B67" s="487"/>
      <c r="C67" s="488"/>
      <c r="D67" s="488"/>
      <c r="E67" s="565">
        <v>7000</v>
      </c>
    </row>
    <row r="68" spans="1:5" ht="12.75">
      <c r="A68" s="327" t="s">
        <v>551</v>
      </c>
      <c r="B68" s="487"/>
      <c r="C68" s="488"/>
      <c r="D68" s="488"/>
      <c r="E68" s="565">
        <v>10000</v>
      </c>
    </row>
    <row r="69" spans="1:5" ht="12.75">
      <c r="A69" s="333" t="s">
        <v>552</v>
      </c>
      <c r="B69" s="487"/>
      <c r="C69" s="488"/>
      <c r="D69" s="488"/>
      <c r="E69" s="565">
        <v>3000</v>
      </c>
    </row>
    <row r="70" spans="1:5" ht="12.75">
      <c r="A70" s="333" t="s">
        <v>553</v>
      </c>
      <c r="B70" s="487"/>
      <c r="C70" s="488"/>
      <c r="D70" s="488"/>
      <c r="E70" s="565">
        <v>3000</v>
      </c>
    </row>
    <row r="71" spans="1:5" ht="12.75">
      <c r="A71" s="333" t="s">
        <v>554</v>
      </c>
      <c r="B71" s="487"/>
      <c r="C71" s="488"/>
      <c r="D71" s="488"/>
      <c r="E71" s="565">
        <v>5000</v>
      </c>
    </row>
    <row r="72" spans="1:5" ht="12.75">
      <c r="A72" s="327" t="s">
        <v>555</v>
      </c>
      <c r="B72" s="487"/>
      <c r="C72" s="488"/>
      <c r="D72" s="488"/>
      <c r="E72" s="565">
        <v>3000</v>
      </c>
    </row>
    <row r="73" spans="1:5" ht="12.75">
      <c r="A73" s="327" t="s">
        <v>516</v>
      </c>
      <c r="B73" s="487"/>
      <c r="C73" s="488"/>
      <c r="D73" s="488"/>
      <c r="E73" s="565">
        <v>1000</v>
      </c>
    </row>
    <row r="74" spans="1:5" ht="12.75">
      <c r="A74" s="587" t="s">
        <v>425</v>
      </c>
      <c r="B74" s="588">
        <f>SUM(B33:B46)</f>
        <v>780250</v>
      </c>
      <c r="C74" s="589">
        <f>SUM(C33:C49)</f>
        <v>830615</v>
      </c>
      <c r="D74" s="589">
        <f>SUM(D33:D56)</f>
        <v>978936</v>
      </c>
      <c r="E74" s="594">
        <f>SUM(E33:E73)</f>
        <v>1752094</v>
      </c>
    </row>
    <row r="75" spans="1:5" ht="12.75">
      <c r="A75" s="500"/>
      <c r="B75" s="496"/>
      <c r="C75" s="497"/>
      <c r="D75" s="497"/>
      <c r="E75" s="565"/>
    </row>
    <row r="76" spans="1:5" ht="12.75">
      <c r="A76" s="500" t="s">
        <v>52</v>
      </c>
      <c r="B76" s="496">
        <f>SUM(B30+B74)</f>
        <v>834426</v>
      </c>
      <c r="C76" s="496">
        <f>SUM(C30+C74)</f>
        <v>884791</v>
      </c>
      <c r="D76" s="497">
        <f>SUM(D30+D74)</f>
        <v>1023244</v>
      </c>
      <c r="E76" s="568">
        <f>SUM(E30+E74)</f>
        <v>1811402</v>
      </c>
    </row>
    <row r="77" spans="1:5" ht="13.5" thickBot="1">
      <c r="A77" s="573"/>
      <c r="B77" s="574"/>
      <c r="C77" s="575"/>
      <c r="D77" s="575"/>
      <c r="E77" s="576"/>
    </row>
    <row r="78" spans="1:5" ht="13.5" thickTop="1">
      <c r="A78" s="607"/>
      <c r="B78" s="570"/>
      <c r="C78" s="571"/>
      <c r="D78" s="571"/>
      <c r="E78" s="572"/>
    </row>
    <row r="79" spans="1:5" ht="12.75">
      <c r="A79" s="604" t="s">
        <v>778</v>
      </c>
      <c r="B79" s="605"/>
      <c r="C79" s="605"/>
      <c r="D79" s="606"/>
      <c r="E79" s="599"/>
    </row>
    <row r="80" spans="1:5" ht="12.75">
      <c r="A80" s="486"/>
      <c r="B80" s="492"/>
      <c r="C80" s="488"/>
      <c r="D80" s="488"/>
      <c r="E80" s="565"/>
    </row>
    <row r="81" spans="1:5" ht="12.75">
      <c r="A81" s="498" t="s">
        <v>618</v>
      </c>
      <c r="B81" s="492"/>
      <c r="C81" s="488"/>
      <c r="D81" s="488"/>
      <c r="E81" s="565"/>
    </row>
    <row r="82" spans="1:5" ht="12.75">
      <c r="A82" s="486" t="s">
        <v>605</v>
      </c>
      <c r="B82" s="487">
        <v>25256</v>
      </c>
      <c r="C82" s="488">
        <v>25256</v>
      </c>
      <c r="D82" s="488">
        <v>44853</v>
      </c>
      <c r="E82" s="565">
        <v>44853</v>
      </c>
    </row>
    <row r="83" spans="1:5" ht="12.75">
      <c r="A83" s="587" t="s">
        <v>425</v>
      </c>
      <c r="B83" s="588">
        <f>SUM(B82)</f>
        <v>25256</v>
      </c>
      <c r="C83" s="589">
        <f>SUM(C82)</f>
        <v>25256</v>
      </c>
      <c r="D83" s="589">
        <f>SUM(D82)</f>
        <v>44853</v>
      </c>
      <c r="E83" s="590">
        <v>44853</v>
      </c>
    </row>
    <row r="84" spans="1:5" ht="12.75">
      <c r="A84" s="587"/>
      <c r="B84" s="588"/>
      <c r="C84" s="589"/>
      <c r="D84" s="589"/>
      <c r="E84" s="590"/>
    </row>
    <row r="85" spans="1:5" ht="12.75">
      <c r="A85" s="498" t="s">
        <v>596</v>
      </c>
      <c r="B85" s="492"/>
      <c r="C85" s="488"/>
      <c r="D85" s="488"/>
      <c r="E85" s="565"/>
    </row>
    <row r="86" spans="1:5" ht="12.75">
      <c r="A86" s="486" t="s">
        <v>607</v>
      </c>
      <c r="B86" s="487">
        <v>32000</v>
      </c>
      <c r="C86" s="488">
        <v>32000</v>
      </c>
      <c r="D86" s="488">
        <v>32000</v>
      </c>
      <c r="E86" s="565">
        <v>32000</v>
      </c>
    </row>
    <row r="87" spans="1:5" ht="12.75">
      <c r="A87" s="486" t="s">
        <v>5</v>
      </c>
      <c r="B87" s="487"/>
      <c r="C87" s="488">
        <v>23300</v>
      </c>
      <c r="D87" s="488">
        <v>23300</v>
      </c>
      <c r="E87" s="565">
        <v>23300</v>
      </c>
    </row>
    <row r="88" spans="1:5" ht="12.75">
      <c r="A88" s="499" t="s">
        <v>527</v>
      </c>
      <c r="B88" s="487"/>
      <c r="C88" s="488"/>
      <c r="D88" s="488">
        <v>239</v>
      </c>
      <c r="E88" s="565">
        <v>239</v>
      </c>
    </row>
    <row r="89" spans="1:5" ht="12.75">
      <c r="A89" s="499" t="s">
        <v>528</v>
      </c>
      <c r="B89" s="487"/>
      <c r="C89" s="488"/>
      <c r="D89" s="488">
        <v>1029</v>
      </c>
      <c r="E89" s="565">
        <v>1029</v>
      </c>
    </row>
    <row r="90" spans="1:5" ht="12.75">
      <c r="A90" s="499" t="s">
        <v>529</v>
      </c>
      <c r="B90" s="487"/>
      <c r="C90" s="488"/>
      <c r="D90" s="488">
        <v>69791</v>
      </c>
      <c r="E90" s="565">
        <v>69791</v>
      </c>
    </row>
    <row r="91" spans="1:5" ht="12.75">
      <c r="A91" s="499" t="s">
        <v>296</v>
      </c>
      <c r="B91" s="487"/>
      <c r="C91" s="488"/>
      <c r="D91" s="488"/>
      <c r="E91" s="565">
        <v>16000</v>
      </c>
    </row>
    <row r="92" spans="1:5" ht="12.75">
      <c r="A92" s="499" t="s">
        <v>329</v>
      </c>
      <c r="B92" s="487"/>
      <c r="C92" s="488"/>
      <c r="D92" s="488"/>
      <c r="E92" s="565">
        <v>2200</v>
      </c>
    </row>
    <row r="93" spans="1:5" ht="12.75">
      <c r="A93" s="327" t="s">
        <v>646</v>
      </c>
      <c r="B93" s="487"/>
      <c r="C93" s="488"/>
      <c r="D93" s="488"/>
      <c r="E93" s="565">
        <v>15000</v>
      </c>
    </row>
    <row r="94" spans="1:5" ht="12.75">
      <c r="A94" s="327" t="s">
        <v>539</v>
      </c>
      <c r="B94" s="487"/>
      <c r="C94" s="488"/>
      <c r="D94" s="488"/>
      <c r="E94" s="565">
        <v>25000</v>
      </c>
    </row>
    <row r="95" spans="1:5" ht="12.75">
      <c r="A95" s="327" t="s">
        <v>6</v>
      </c>
      <c r="B95" s="487"/>
      <c r="C95" s="488"/>
      <c r="D95" s="488"/>
      <c r="E95" s="565">
        <v>30000</v>
      </c>
    </row>
    <row r="96" spans="1:5" ht="12.75">
      <c r="A96" s="587" t="s">
        <v>425</v>
      </c>
      <c r="B96" s="588">
        <f>SUM(B86)</f>
        <v>32000</v>
      </c>
      <c r="C96" s="589">
        <f>SUM(C86:C87)</f>
        <v>55300</v>
      </c>
      <c r="D96" s="589">
        <f>SUM(D86:D90)</f>
        <v>126359</v>
      </c>
      <c r="E96" s="590">
        <f>SUM(E86:E95)</f>
        <v>214559</v>
      </c>
    </row>
    <row r="97" spans="1:5" ht="12.75">
      <c r="A97" s="486"/>
      <c r="B97" s="492"/>
      <c r="C97" s="488"/>
      <c r="D97" s="488"/>
      <c r="E97" s="565"/>
    </row>
    <row r="98" spans="1:5" ht="12.75">
      <c r="A98" s="500" t="s">
        <v>53</v>
      </c>
      <c r="B98" s="496">
        <f>SUM(B83,B96)</f>
        <v>57256</v>
      </c>
      <c r="C98" s="496">
        <f>SUM(C83,C96)</f>
        <v>80556</v>
      </c>
      <c r="D98" s="497">
        <f>SUM(D83,D96)</f>
        <v>171212</v>
      </c>
      <c r="E98" s="568">
        <f>SUM(E83+E96)</f>
        <v>259412</v>
      </c>
    </row>
    <row r="99" spans="1:5" ht="12.75">
      <c r="A99" s="600"/>
      <c r="B99" s="601"/>
      <c r="C99" s="602"/>
      <c r="D99" s="602"/>
      <c r="E99" s="603"/>
    </row>
    <row r="100" spans="1:5" ht="12.75">
      <c r="A100" s="596" t="s">
        <v>73</v>
      </c>
      <c r="B100" s="597"/>
      <c r="C100" s="598"/>
      <c r="D100" s="598"/>
      <c r="E100" s="599"/>
    </row>
    <row r="101" spans="1:5" ht="12.75">
      <c r="A101" s="486" t="s">
        <v>572</v>
      </c>
      <c r="B101" s="487">
        <v>9703</v>
      </c>
      <c r="C101" s="488">
        <v>8263</v>
      </c>
      <c r="D101" s="488">
        <v>8263</v>
      </c>
      <c r="E101" s="565">
        <v>8263</v>
      </c>
    </row>
    <row r="102" spans="1:5" ht="12.75">
      <c r="A102" s="486" t="s">
        <v>573</v>
      </c>
      <c r="B102" s="487">
        <v>139400</v>
      </c>
      <c r="C102" s="488">
        <f>139400+4076-75000</f>
        <v>68476</v>
      </c>
      <c r="D102" s="488">
        <v>113976</v>
      </c>
      <c r="E102" s="565">
        <v>113976</v>
      </c>
    </row>
    <row r="103" spans="1:5" ht="12.75">
      <c r="A103" s="486" t="s">
        <v>0</v>
      </c>
      <c r="B103" s="487"/>
      <c r="C103" s="488">
        <v>10000</v>
      </c>
      <c r="D103" s="488">
        <v>10000</v>
      </c>
      <c r="E103" s="565">
        <v>10000</v>
      </c>
    </row>
    <row r="104" spans="1:5" ht="12.75">
      <c r="A104" s="486" t="s">
        <v>530</v>
      </c>
      <c r="B104" s="487"/>
      <c r="C104" s="488"/>
      <c r="D104" s="488">
        <v>20000</v>
      </c>
      <c r="E104" s="565">
        <v>20000</v>
      </c>
    </row>
    <row r="105" spans="1:5" ht="12.75">
      <c r="A105" s="486" t="s">
        <v>531</v>
      </c>
      <c r="B105" s="487"/>
      <c r="C105" s="488"/>
      <c r="D105" s="488">
        <v>33600</v>
      </c>
      <c r="E105" s="565">
        <v>33600</v>
      </c>
    </row>
    <row r="106" spans="1:5" ht="12.75">
      <c r="A106" s="486" t="s">
        <v>532</v>
      </c>
      <c r="B106" s="487"/>
      <c r="C106" s="488"/>
      <c r="D106" s="488">
        <v>2500</v>
      </c>
      <c r="E106" s="565">
        <v>2500</v>
      </c>
    </row>
    <row r="107" spans="1:5" ht="12.75">
      <c r="A107" s="486" t="s">
        <v>533</v>
      </c>
      <c r="B107" s="487"/>
      <c r="C107" s="488"/>
      <c r="D107" s="488">
        <v>10000</v>
      </c>
      <c r="E107" s="565">
        <v>10000</v>
      </c>
    </row>
    <row r="108" spans="1:5" ht="12.75">
      <c r="A108" s="486" t="s">
        <v>534</v>
      </c>
      <c r="B108" s="487"/>
      <c r="C108" s="488"/>
      <c r="D108" s="488">
        <v>13000</v>
      </c>
      <c r="E108" s="565">
        <v>13000</v>
      </c>
    </row>
    <row r="109" spans="1:5" ht="12.75">
      <c r="A109" s="486" t="s">
        <v>535</v>
      </c>
      <c r="B109" s="487"/>
      <c r="C109" s="488"/>
      <c r="D109" s="488">
        <v>12875</v>
      </c>
      <c r="E109" s="565">
        <v>12875</v>
      </c>
    </row>
    <row r="110" spans="1:5" ht="12.75">
      <c r="A110" s="486" t="s">
        <v>330</v>
      </c>
      <c r="B110" s="487"/>
      <c r="C110" s="488"/>
      <c r="D110" s="488"/>
      <c r="E110" s="565">
        <v>12000</v>
      </c>
    </row>
    <row r="111" spans="1:5" s="329" customFormat="1" ht="12.75">
      <c r="A111" s="500" t="s">
        <v>536</v>
      </c>
      <c r="B111" s="496">
        <f>SUM(B101:B102)</f>
        <v>149103</v>
      </c>
      <c r="C111" s="497">
        <f>SUM(C101:C103)</f>
        <v>86739</v>
      </c>
      <c r="D111" s="497">
        <f>SUM(D101:D109)</f>
        <v>224214</v>
      </c>
      <c r="E111" s="568">
        <f>SUM(E101:E110)</f>
        <v>236214</v>
      </c>
    </row>
    <row r="112" spans="1:5" ht="12.75">
      <c r="A112" s="500"/>
      <c r="B112" s="496"/>
      <c r="C112" s="497"/>
      <c r="D112" s="497"/>
      <c r="E112" s="565"/>
    </row>
    <row r="113" spans="1:5" ht="12.75">
      <c r="A113" s="500" t="s">
        <v>537</v>
      </c>
      <c r="B113" s="496"/>
      <c r="C113" s="497"/>
      <c r="D113" s="497">
        <v>25000</v>
      </c>
      <c r="E113" s="568">
        <v>25000</v>
      </c>
    </row>
    <row r="114" spans="1:5" ht="12.75">
      <c r="A114" s="500"/>
      <c r="B114" s="496"/>
      <c r="C114" s="497"/>
      <c r="D114" s="497"/>
      <c r="E114" s="565"/>
    </row>
    <row r="115" spans="1:5" ht="12.75">
      <c r="A115" s="500" t="s">
        <v>331</v>
      </c>
      <c r="B115" s="496">
        <v>0</v>
      </c>
      <c r="C115" s="497">
        <v>0</v>
      </c>
      <c r="D115" s="497">
        <v>0</v>
      </c>
      <c r="E115" s="568">
        <v>3370</v>
      </c>
    </row>
    <row r="116" spans="1:5" ht="12.75">
      <c r="A116" s="486"/>
      <c r="B116" s="492"/>
      <c r="C116" s="488"/>
      <c r="D116" s="488"/>
      <c r="E116" s="565"/>
    </row>
    <row r="117" spans="1:5" s="329" customFormat="1" ht="12.75">
      <c r="A117" s="500" t="s">
        <v>332</v>
      </c>
      <c r="B117" s="569">
        <v>0</v>
      </c>
      <c r="C117" s="497">
        <v>0</v>
      </c>
      <c r="D117" s="497">
        <v>0</v>
      </c>
      <c r="E117" s="568">
        <v>3302</v>
      </c>
    </row>
    <row r="118" spans="1:5" ht="12.75">
      <c r="A118" s="486"/>
      <c r="B118" s="492"/>
      <c r="C118" s="488"/>
      <c r="D118" s="488"/>
      <c r="E118" s="565"/>
    </row>
    <row r="119" spans="1:5" ht="13.5">
      <c r="A119" s="489" t="s">
        <v>779</v>
      </c>
      <c r="B119" s="490">
        <f>B76+B98+B111+B113+B115+B117</f>
        <v>1040785</v>
      </c>
      <c r="C119" s="490">
        <f>C76+C98+C111+C113+C115+C117</f>
        <v>1052086</v>
      </c>
      <c r="D119" s="490">
        <f>SUM(D76+D98+D111+D113+D115+D117)</f>
        <v>1443670</v>
      </c>
      <c r="E119" s="591">
        <f>E76+E98+E111+E113+E115+E117</f>
        <v>2338700</v>
      </c>
    </row>
    <row r="120" spans="1:5" ht="12.75">
      <c r="A120" s="486"/>
      <c r="B120" s="492"/>
      <c r="C120" s="488"/>
      <c r="D120" s="488"/>
      <c r="E120" s="565"/>
    </row>
    <row r="121" spans="1:5" ht="14.25" thickBot="1">
      <c r="A121" s="501" t="s">
        <v>780</v>
      </c>
      <c r="B121" s="502">
        <f>B19-B119</f>
        <v>1359215</v>
      </c>
      <c r="C121" s="502">
        <f>C19-C119</f>
        <v>1328914</v>
      </c>
      <c r="D121" s="502">
        <f>D19-D119</f>
        <v>933991</v>
      </c>
      <c r="E121" s="592">
        <f>E19-E119</f>
        <v>635061</v>
      </c>
    </row>
    <row r="122" ht="13.5" thickTop="1">
      <c r="C122" s="344"/>
    </row>
    <row r="123" ht="12.75">
      <c r="C123" s="344"/>
    </row>
    <row r="124" ht="12.75">
      <c r="C124" s="344"/>
    </row>
    <row r="125" ht="12.75">
      <c r="C125" s="344"/>
    </row>
    <row r="126" ht="12.75">
      <c r="C126" s="344"/>
    </row>
    <row r="127" ht="12.75">
      <c r="C127" s="344"/>
    </row>
    <row r="128" ht="12.75">
      <c r="C128" s="344"/>
    </row>
    <row r="129" ht="12.75">
      <c r="C129" s="344"/>
    </row>
    <row r="130" ht="12.75">
      <c r="C130" s="344"/>
    </row>
    <row r="131" ht="12.75">
      <c r="C131" s="344"/>
    </row>
    <row r="132" ht="12.75">
      <c r="C132" s="344"/>
    </row>
    <row r="133" ht="12.75">
      <c r="C133" s="344"/>
    </row>
    <row r="134" ht="12.75">
      <c r="C134" s="344"/>
    </row>
    <row r="135" ht="12.75">
      <c r="C135" s="344"/>
    </row>
    <row r="136" ht="12.75">
      <c r="C136" s="344"/>
    </row>
    <row r="137" ht="12.75">
      <c r="C137" s="344"/>
    </row>
    <row r="138" ht="12.75">
      <c r="C138" s="344"/>
    </row>
    <row r="139" ht="12.75">
      <c r="C139" s="344"/>
    </row>
    <row r="140" ht="12.75">
      <c r="C140" s="344"/>
    </row>
    <row r="141" ht="12.75">
      <c r="C141" s="344"/>
    </row>
    <row r="142" ht="12.75">
      <c r="C142" s="344"/>
    </row>
    <row r="143" ht="12.75">
      <c r="C143" s="344"/>
    </row>
    <row r="144" ht="12.75">
      <c r="C144" s="344"/>
    </row>
    <row r="145" ht="12.75">
      <c r="C145" s="344"/>
    </row>
    <row r="146" ht="12.75">
      <c r="C146" s="344"/>
    </row>
    <row r="147" ht="12.75">
      <c r="C147" s="344"/>
    </row>
    <row r="148" ht="12.75">
      <c r="C148" s="344"/>
    </row>
    <row r="149" ht="12.75">
      <c r="C149" s="344"/>
    </row>
    <row r="150" ht="12.75">
      <c r="C150" s="344"/>
    </row>
    <row r="151" ht="12.75">
      <c r="C151" s="344"/>
    </row>
    <row r="152" ht="12.75">
      <c r="C152" s="344"/>
    </row>
    <row r="153" ht="12.75">
      <c r="C153" s="344"/>
    </row>
    <row r="154" ht="12.75">
      <c r="C154" s="344"/>
    </row>
    <row r="155" ht="12.75">
      <c r="C155" s="344"/>
    </row>
    <row r="156" ht="12.75">
      <c r="C156" s="344"/>
    </row>
    <row r="157" ht="12.75">
      <c r="C157" s="344"/>
    </row>
    <row r="158" ht="12.75">
      <c r="C158" s="344"/>
    </row>
    <row r="159" ht="12.75">
      <c r="C159" s="344"/>
    </row>
    <row r="160" ht="12.75">
      <c r="C160" s="344"/>
    </row>
    <row r="161" ht="12.75">
      <c r="C161" s="344"/>
    </row>
    <row r="162" ht="12.75">
      <c r="C162" s="344"/>
    </row>
    <row r="163" ht="12.75">
      <c r="C163" s="344"/>
    </row>
    <row r="164" ht="12.75">
      <c r="C164" s="344"/>
    </row>
    <row r="165" ht="12.75">
      <c r="C165" s="344"/>
    </row>
    <row r="166" ht="12.75">
      <c r="C166" s="344"/>
    </row>
    <row r="167" ht="12.75">
      <c r="C167" s="344"/>
    </row>
    <row r="168" ht="12.75">
      <c r="C168" s="344"/>
    </row>
    <row r="169" ht="12.75">
      <c r="C169" s="344"/>
    </row>
    <row r="170" ht="12.75">
      <c r="C170" s="344"/>
    </row>
    <row r="171" ht="12.75">
      <c r="C171" s="344"/>
    </row>
    <row r="172" ht="12.75">
      <c r="C172" s="344"/>
    </row>
    <row r="173" ht="12.75">
      <c r="C173" s="344"/>
    </row>
    <row r="174" ht="12.75">
      <c r="C174" s="344"/>
    </row>
    <row r="175" ht="12.75">
      <c r="C175" s="344"/>
    </row>
    <row r="176" ht="12.75">
      <c r="C176" s="344"/>
    </row>
    <row r="177" ht="12.75">
      <c r="C177" s="344"/>
    </row>
    <row r="178" ht="12.75">
      <c r="C178" s="344"/>
    </row>
    <row r="179" ht="12.75">
      <c r="C179" s="344"/>
    </row>
    <row r="180" ht="12.75">
      <c r="C180" s="344"/>
    </row>
    <row r="181" ht="12.75">
      <c r="C181" s="344"/>
    </row>
    <row r="182" ht="12.75">
      <c r="C182" s="344"/>
    </row>
    <row r="183" ht="12.75">
      <c r="C183" s="344"/>
    </row>
    <row r="184" ht="12.75">
      <c r="C184" s="344"/>
    </row>
    <row r="185" ht="12.75">
      <c r="C185" s="344"/>
    </row>
    <row r="186" ht="12.75">
      <c r="C186" s="344"/>
    </row>
    <row r="187" ht="12.75">
      <c r="C187" s="344"/>
    </row>
    <row r="188" ht="12.75">
      <c r="C188" s="344"/>
    </row>
    <row r="189" ht="12.75">
      <c r="C189" s="344"/>
    </row>
    <row r="190" ht="12.75">
      <c r="C190" s="344"/>
    </row>
    <row r="191" ht="12.75">
      <c r="C191" s="344"/>
    </row>
    <row r="192" ht="12.75">
      <c r="C192" s="344"/>
    </row>
    <row r="193" ht="12.75">
      <c r="C193" s="344"/>
    </row>
    <row r="194" ht="12.75">
      <c r="C194" s="344"/>
    </row>
    <row r="195" ht="12.75">
      <c r="C195" s="344"/>
    </row>
    <row r="196" ht="12.75">
      <c r="C196" s="344"/>
    </row>
    <row r="197" ht="12.75">
      <c r="C197" s="344"/>
    </row>
    <row r="198" ht="12.75">
      <c r="C198" s="344"/>
    </row>
    <row r="199" ht="12.75">
      <c r="C199" s="344"/>
    </row>
    <row r="200" ht="12.75">
      <c r="C200" s="344"/>
    </row>
    <row r="201" ht="12.75">
      <c r="C201" s="344"/>
    </row>
    <row r="202" ht="12.75">
      <c r="C202" s="344"/>
    </row>
  </sheetData>
  <mergeCells count="3">
    <mergeCell ref="A4:D4"/>
    <mergeCell ref="A6:D6"/>
    <mergeCell ref="A7:D7"/>
  </mergeCells>
  <printOptions horizontalCentered="1"/>
  <pageMargins left="0.2362204724409449" right="0.2362204724409449" top="0.68" bottom="0.29" header="0.56" footer="0.25"/>
  <pageSetup horizontalDpi="600" verticalDpi="600" orientation="portrait" paperSize="9" scale="67" r:id="rId1"/>
  <rowBreaks count="1" manualBreakCount="1"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56"/>
  <sheetViews>
    <sheetView workbookViewId="0" topLeftCell="C28">
      <selection activeCell="H36" sqref="H36"/>
    </sheetView>
  </sheetViews>
  <sheetFormatPr defaultColWidth="9.00390625" defaultRowHeight="12.75"/>
  <cols>
    <col min="1" max="1" width="48.75390625" style="14" customWidth="1"/>
    <col min="2" max="2" width="11.75390625" style="14" customWidth="1"/>
    <col min="3" max="4" width="14.00390625" style="14" customWidth="1"/>
    <col min="5" max="5" width="50.25390625" style="14" customWidth="1"/>
    <col min="6" max="6" width="11.75390625" style="14" customWidth="1"/>
    <col min="7" max="8" width="14.00390625" style="14" customWidth="1"/>
    <col min="9" max="16384" width="9.125" style="14" customWidth="1"/>
  </cols>
  <sheetData>
    <row r="1" spans="1:5" ht="12.75">
      <c r="A1" s="11" t="s">
        <v>418</v>
      </c>
      <c r="B1" s="12"/>
      <c r="C1" s="12"/>
      <c r="D1" s="12"/>
      <c r="E1" s="13"/>
    </row>
    <row r="2" ht="12" customHeight="1"/>
    <row r="3" spans="1:8" s="28" customFormat="1" ht="15">
      <c r="A3" s="662" t="s">
        <v>61</v>
      </c>
      <c r="B3" s="663"/>
      <c r="C3" s="663"/>
      <c r="D3" s="663"/>
      <c r="E3" s="663"/>
      <c r="F3" s="664"/>
      <c r="G3" s="664"/>
      <c r="H3" s="664"/>
    </row>
    <row r="4" spans="1:5" ht="15.75" thickBot="1">
      <c r="A4" s="51"/>
      <c r="B4" s="51"/>
      <c r="C4" s="51"/>
      <c r="D4" s="51"/>
      <c r="E4" s="51"/>
    </row>
    <row r="5" spans="1:8" ht="14.25">
      <c r="A5" s="665" t="s">
        <v>395</v>
      </c>
      <c r="B5" s="669"/>
      <c r="C5" s="638"/>
      <c r="D5" s="639"/>
      <c r="E5" s="665" t="s">
        <v>396</v>
      </c>
      <c r="F5" s="666"/>
      <c r="G5" s="667"/>
      <c r="H5" s="668"/>
    </row>
    <row r="6" spans="1:8" ht="15" thickBot="1">
      <c r="A6" s="141"/>
      <c r="B6" s="141" t="s">
        <v>352</v>
      </c>
      <c r="C6" s="141" t="s">
        <v>59</v>
      </c>
      <c r="D6" s="141" t="s">
        <v>259</v>
      </c>
      <c r="E6" s="142"/>
      <c r="F6" s="141" t="s">
        <v>352</v>
      </c>
      <c r="G6" s="141" t="s">
        <v>59</v>
      </c>
      <c r="H6" s="141" t="s">
        <v>259</v>
      </c>
    </row>
    <row r="7" spans="1:8" ht="15">
      <c r="A7" s="143" t="s">
        <v>419</v>
      </c>
      <c r="B7" s="144">
        <v>168818</v>
      </c>
      <c r="C7" s="144">
        <v>180519</v>
      </c>
      <c r="D7" s="144">
        <v>235706</v>
      </c>
      <c r="E7" s="145" t="s">
        <v>420</v>
      </c>
      <c r="F7" s="146">
        <v>1727161</v>
      </c>
      <c r="G7" s="146">
        <v>1818064</v>
      </c>
      <c r="H7" s="146">
        <v>1859498</v>
      </c>
    </row>
    <row r="8" spans="1:8" ht="15">
      <c r="A8" s="147" t="s">
        <v>482</v>
      </c>
      <c r="B8" s="144">
        <v>1839422</v>
      </c>
      <c r="C8" s="144">
        <v>1850250</v>
      </c>
      <c r="D8" s="144">
        <v>1813173</v>
      </c>
      <c r="E8" s="148" t="s">
        <v>421</v>
      </c>
      <c r="F8" s="149">
        <v>545537</v>
      </c>
      <c r="G8" s="149">
        <v>564126</v>
      </c>
      <c r="H8" s="149">
        <v>560039</v>
      </c>
    </row>
    <row r="9" spans="1:8" ht="15">
      <c r="A9" s="147" t="s">
        <v>414</v>
      </c>
      <c r="B9" s="144">
        <v>1009304</v>
      </c>
      <c r="C9" s="144">
        <v>979945</v>
      </c>
      <c r="D9" s="144">
        <v>979445</v>
      </c>
      <c r="E9" s="150" t="s">
        <v>359</v>
      </c>
      <c r="F9" s="149">
        <v>1294309</v>
      </c>
      <c r="G9" s="149">
        <v>1393967</v>
      </c>
      <c r="H9" s="149">
        <v>1464630</v>
      </c>
    </row>
    <row r="10" spans="1:8" ht="15">
      <c r="A10" s="147" t="s">
        <v>252</v>
      </c>
      <c r="B10" s="144">
        <v>796639</v>
      </c>
      <c r="C10" s="144">
        <v>758491</v>
      </c>
      <c r="D10" s="144">
        <v>758491</v>
      </c>
      <c r="E10" s="148" t="s">
        <v>422</v>
      </c>
      <c r="F10" s="149">
        <v>218870</v>
      </c>
      <c r="G10" s="149">
        <v>279864</v>
      </c>
      <c r="H10" s="149">
        <v>299024</v>
      </c>
    </row>
    <row r="11" spans="1:8" ht="15">
      <c r="A11" s="147" t="s">
        <v>340</v>
      </c>
      <c r="B11" s="144">
        <v>106900</v>
      </c>
      <c r="C11" s="144">
        <v>130057</v>
      </c>
      <c r="D11" s="144">
        <v>151062</v>
      </c>
      <c r="E11" s="148" t="s">
        <v>423</v>
      </c>
      <c r="F11" s="149">
        <v>159000</v>
      </c>
      <c r="G11" s="149">
        <v>160373</v>
      </c>
      <c r="H11" s="149">
        <v>163626</v>
      </c>
    </row>
    <row r="12" spans="1:8" ht="15">
      <c r="A12" s="151" t="s">
        <v>377</v>
      </c>
      <c r="B12" s="144">
        <v>1713</v>
      </c>
      <c r="C12" s="144">
        <v>2474</v>
      </c>
      <c r="D12" s="144">
        <v>2474</v>
      </c>
      <c r="E12" s="147" t="s">
        <v>424</v>
      </c>
      <c r="F12" s="149">
        <v>8883</v>
      </c>
      <c r="G12" s="149">
        <v>9603</v>
      </c>
      <c r="H12" s="149">
        <v>8529</v>
      </c>
    </row>
    <row r="13" spans="1:8" ht="15">
      <c r="A13" s="151" t="s">
        <v>167</v>
      </c>
      <c r="B13" s="152">
        <v>87870</v>
      </c>
      <c r="C13" s="152">
        <v>87870</v>
      </c>
      <c r="D13" s="152">
        <v>127870</v>
      </c>
      <c r="E13" s="147" t="s">
        <v>467</v>
      </c>
      <c r="F13" s="149">
        <v>8000</v>
      </c>
      <c r="G13" s="149">
        <v>22602</v>
      </c>
      <c r="H13" s="149">
        <v>20000</v>
      </c>
    </row>
    <row r="14" spans="1:8" ht="15">
      <c r="A14" s="147" t="s">
        <v>354</v>
      </c>
      <c r="B14" s="149">
        <v>41000</v>
      </c>
      <c r="C14" s="149">
        <v>41000</v>
      </c>
      <c r="D14" s="149">
        <v>41000</v>
      </c>
      <c r="E14" s="153" t="s">
        <v>177</v>
      </c>
      <c r="F14" s="149"/>
      <c r="G14" s="149"/>
      <c r="H14" s="149"/>
    </row>
    <row r="15" spans="1:8" ht="15">
      <c r="A15" s="154" t="s">
        <v>341</v>
      </c>
      <c r="B15" s="155">
        <v>53450</v>
      </c>
      <c r="C15" s="155">
        <v>122676</v>
      </c>
      <c r="D15" s="155">
        <v>122676</v>
      </c>
      <c r="E15" s="153" t="s">
        <v>146</v>
      </c>
      <c r="F15" s="149">
        <v>38556</v>
      </c>
      <c r="G15" s="149"/>
      <c r="H15" s="149"/>
    </row>
    <row r="16" spans="1:8" ht="15">
      <c r="A16" s="157" t="s">
        <v>353</v>
      </c>
      <c r="B16" s="149"/>
      <c r="C16" s="155"/>
      <c r="D16" s="155"/>
      <c r="E16" s="156" t="s">
        <v>142</v>
      </c>
      <c r="F16" s="155">
        <v>100000</v>
      </c>
      <c r="G16" s="149">
        <v>75653</v>
      </c>
      <c r="H16" s="149">
        <v>36252</v>
      </c>
    </row>
    <row r="17" spans="1:8" ht="15">
      <c r="A17" s="147" t="s">
        <v>355</v>
      </c>
      <c r="B17" s="149"/>
      <c r="C17" s="149">
        <v>71750</v>
      </c>
      <c r="D17" s="149">
        <v>85481</v>
      </c>
      <c r="E17" s="158" t="s">
        <v>143</v>
      </c>
      <c r="F17" s="149">
        <v>4800</v>
      </c>
      <c r="G17" s="149"/>
      <c r="H17" s="149"/>
    </row>
    <row r="18" spans="1:8" ht="15">
      <c r="A18" s="147" t="s">
        <v>475</v>
      </c>
      <c r="B18" s="149"/>
      <c r="C18" s="149"/>
      <c r="D18" s="149"/>
      <c r="E18" s="153" t="s">
        <v>9</v>
      </c>
      <c r="F18" s="149"/>
      <c r="G18" s="149"/>
      <c r="H18" s="149"/>
    </row>
    <row r="19" spans="1:8" ht="15">
      <c r="A19" s="147" t="s">
        <v>246</v>
      </c>
      <c r="B19" s="149"/>
      <c r="C19" s="149"/>
      <c r="D19" s="149"/>
      <c r="E19" s="153" t="s">
        <v>10</v>
      </c>
      <c r="F19" s="149"/>
      <c r="G19" s="149">
        <v>2000</v>
      </c>
      <c r="H19" s="149">
        <v>2000</v>
      </c>
    </row>
    <row r="20" spans="1:8" ht="15">
      <c r="A20" s="147" t="s">
        <v>242</v>
      </c>
      <c r="B20" s="149"/>
      <c r="C20" s="149"/>
      <c r="D20" s="149"/>
      <c r="E20" s="153" t="s">
        <v>11</v>
      </c>
      <c r="F20" s="149"/>
      <c r="G20" s="149">
        <v>5000</v>
      </c>
      <c r="H20" s="149">
        <v>5000</v>
      </c>
    </row>
    <row r="21" spans="1:256" ht="15">
      <c r="A21" s="147" t="s">
        <v>243</v>
      </c>
      <c r="B21" s="149"/>
      <c r="C21" s="149"/>
      <c r="D21" s="149"/>
      <c r="E21" s="423" t="s">
        <v>509</v>
      </c>
      <c r="F21" s="149"/>
      <c r="G21" s="430">
        <v>780</v>
      </c>
      <c r="H21" s="430">
        <v>780</v>
      </c>
      <c r="IU21" s="29"/>
      <c r="IV21" s="29"/>
    </row>
    <row r="22" spans="1:256" ht="15">
      <c r="A22" s="147" t="s">
        <v>12</v>
      </c>
      <c r="B22" s="149"/>
      <c r="C22" s="149"/>
      <c r="D22" s="149"/>
      <c r="E22" s="153" t="s">
        <v>242</v>
      </c>
      <c r="F22" s="149"/>
      <c r="G22" s="149"/>
      <c r="H22" s="149"/>
      <c r="IU22" s="29"/>
      <c r="IV22" s="29"/>
    </row>
    <row r="23" spans="1:256" ht="15">
      <c r="A23" s="147" t="s">
        <v>13</v>
      </c>
      <c r="B23" s="149"/>
      <c r="C23" s="149">
        <v>2000</v>
      </c>
      <c r="D23" s="149">
        <v>2000</v>
      </c>
      <c r="E23" s="153" t="s">
        <v>28</v>
      </c>
      <c r="F23" s="149"/>
      <c r="G23" s="149"/>
      <c r="H23" s="149"/>
      <c r="IU23" s="29"/>
      <c r="IV23" s="29"/>
    </row>
    <row r="24" spans="1:256" ht="15">
      <c r="A24" s="147" t="s">
        <v>11</v>
      </c>
      <c r="B24" s="149"/>
      <c r="C24" s="149">
        <v>5000</v>
      </c>
      <c r="D24" s="149"/>
      <c r="E24" s="153"/>
      <c r="F24" s="149"/>
      <c r="G24" s="149"/>
      <c r="H24" s="149"/>
      <c r="IU24" s="29"/>
      <c r="IV24" s="29"/>
    </row>
    <row r="25" spans="1:256" ht="15">
      <c r="A25" s="147" t="s">
        <v>508</v>
      </c>
      <c r="B25" s="149"/>
      <c r="C25" s="149">
        <v>100000</v>
      </c>
      <c r="D25" s="149"/>
      <c r="E25" s="153"/>
      <c r="F25" s="149"/>
      <c r="G25" s="149"/>
      <c r="H25" s="149"/>
      <c r="IU25" s="29"/>
      <c r="IV25" s="29"/>
    </row>
    <row r="26" spans="1:256" ht="15.75" thickBot="1">
      <c r="A26" s="159" t="s">
        <v>270</v>
      </c>
      <c r="B26" s="160"/>
      <c r="C26" s="160"/>
      <c r="D26" s="160">
        <v>100000</v>
      </c>
      <c r="E26" s="161"/>
      <c r="F26" s="160"/>
      <c r="G26" s="286"/>
      <c r="H26" s="286"/>
      <c r="IU26" s="29"/>
      <c r="IV26" s="29"/>
    </row>
    <row r="27" spans="1:256" s="30" customFormat="1" ht="15" thickBot="1">
      <c r="A27" s="162" t="s">
        <v>425</v>
      </c>
      <c r="B27" s="163">
        <f>SUM(B7:B26)</f>
        <v>4105116</v>
      </c>
      <c r="C27" s="163">
        <f>SUM(C7:C26)</f>
        <v>4332032</v>
      </c>
      <c r="D27" s="163">
        <f>SUM(D7:D26)</f>
        <v>4419378</v>
      </c>
      <c r="E27" s="162" t="s">
        <v>425</v>
      </c>
      <c r="F27" s="163">
        <f>SUM(F7:F24)</f>
        <v>4105116</v>
      </c>
      <c r="G27" s="163">
        <f>SUM(G7:G24)</f>
        <v>4332032</v>
      </c>
      <c r="H27" s="163">
        <f>SUM(H7:H24)</f>
        <v>4419378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  <c r="IQ27" s="29"/>
      <c r="IR27" s="29"/>
      <c r="IS27" s="29"/>
      <c r="IT27" s="29"/>
      <c r="IU27" s="29"/>
      <c r="IV27" s="29"/>
    </row>
    <row r="28" spans="1:6" s="29" customFormat="1" ht="15">
      <c r="A28" s="52"/>
      <c r="B28" s="52"/>
      <c r="C28" s="52"/>
      <c r="D28" s="52"/>
      <c r="E28" s="52"/>
      <c r="F28" s="164"/>
    </row>
    <row r="29" spans="1:6" ht="15">
      <c r="A29" s="53" t="s">
        <v>426</v>
      </c>
      <c r="B29" s="54"/>
      <c r="C29" s="54"/>
      <c r="D29" s="54"/>
      <c r="E29" s="51"/>
      <c r="F29" s="51"/>
    </row>
    <row r="30" spans="1:5" ht="13.5" customHeight="1">
      <c r="A30" s="51"/>
      <c r="B30" s="51"/>
      <c r="C30" s="51"/>
      <c r="D30" s="51"/>
      <c r="E30" s="55"/>
    </row>
    <row r="31" spans="1:8" s="28" customFormat="1" ht="15">
      <c r="A31" s="662" t="s">
        <v>62</v>
      </c>
      <c r="B31" s="663"/>
      <c r="C31" s="663"/>
      <c r="D31" s="663"/>
      <c r="E31" s="663"/>
      <c r="F31" s="664"/>
      <c r="G31" s="664"/>
      <c r="H31" s="664"/>
    </row>
    <row r="32" spans="1:5" ht="14.25" customHeight="1" thickBot="1">
      <c r="A32" s="51"/>
      <c r="B32" s="51"/>
      <c r="C32" s="51"/>
      <c r="D32" s="51"/>
      <c r="E32" s="50"/>
    </row>
    <row r="33" spans="1:8" s="28" customFormat="1" ht="14.25">
      <c r="A33" s="665" t="s">
        <v>395</v>
      </c>
      <c r="B33" s="669"/>
      <c r="C33" s="638"/>
      <c r="D33" s="639"/>
      <c r="E33" s="665" t="s">
        <v>396</v>
      </c>
      <c r="F33" s="666"/>
      <c r="G33" s="667"/>
      <c r="H33" s="668"/>
    </row>
    <row r="34" spans="1:8" s="28" customFormat="1" ht="15" thickBot="1">
      <c r="A34" s="165"/>
      <c r="B34" s="142" t="s">
        <v>352</v>
      </c>
      <c r="C34" s="141" t="s">
        <v>59</v>
      </c>
      <c r="D34" s="141" t="s">
        <v>259</v>
      </c>
      <c r="E34" s="166"/>
      <c r="F34" s="141" t="s">
        <v>357</v>
      </c>
      <c r="G34" s="141" t="s">
        <v>59</v>
      </c>
      <c r="H34" s="141" t="s">
        <v>259</v>
      </c>
    </row>
    <row r="35" spans="1:8" s="28" customFormat="1" ht="15">
      <c r="A35" s="167" t="s">
        <v>168</v>
      </c>
      <c r="B35" s="168">
        <v>143500</v>
      </c>
      <c r="C35" s="168">
        <v>134172</v>
      </c>
      <c r="D35" s="168">
        <v>163249</v>
      </c>
      <c r="E35" s="147" t="s">
        <v>408</v>
      </c>
      <c r="F35" s="146">
        <v>1090889</v>
      </c>
      <c r="G35" s="149">
        <v>1310393</v>
      </c>
      <c r="H35" s="149">
        <v>2031760</v>
      </c>
    </row>
    <row r="36" spans="1:8" ht="15">
      <c r="A36" s="148" t="s">
        <v>476</v>
      </c>
      <c r="B36" s="146">
        <v>6000</v>
      </c>
      <c r="C36" s="146">
        <v>6000</v>
      </c>
      <c r="D36" s="146">
        <v>6000</v>
      </c>
      <c r="E36" s="148" t="s">
        <v>427</v>
      </c>
      <c r="F36" s="149">
        <v>224756</v>
      </c>
      <c r="G36" s="149">
        <v>413244</v>
      </c>
      <c r="H36" s="149">
        <v>446775</v>
      </c>
    </row>
    <row r="37" spans="1:8" ht="15">
      <c r="A37" s="148" t="s">
        <v>409</v>
      </c>
      <c r="B37" s="146">
        <v>286000</v>
      </c>
      <c r="C37" s="146">
        <v>286000</v>
      </c>
      <c r="D37" s="146">
        <v>286000</v>
      </c>
      <c r="E37" s="148" t="s">
        <v>343</v>
      </c>
      <c r="F37" s="149">
        <v>17973</v>
      </c>
      <c r="G37" s="149">
        <v>14612</v>
      </c>
      <c r="H37" s="149">
        <v>14612</v>
      </c>
    </row>
    <row r="38" spans="1:8" ht="15">
      <c r="A38" s="148" t="s">
        <v>205</v>
      </c>
      <c r="B38" s="146">
        <v>8000</v>
      </c>
      <c r="C38" s="146">
        <v>8000</v>
      </c>
      <c r="D38" s="146">
        <v>0</v>
      </c>
      <c r="E38" s="145" t="s">
        <v>428</v>
      </c>
      <c r="F38" s="149">
        <v>197103</v>
      </c>
      <c r="G38" s="149">
        <v>296121</v>
      </c>
      <c r="H38" s="149">
        <v>308121</v>
      </c>
    </row>
    <row r="39" spans="1:8" ht="15">
      <c r="A39" s="147" t="s">
        <v>358</v>
      </c>
      <c r="B39" s="149">
        <v>111426</v>
      </c>
      <c r="C39" s="149">
        <v>92168</v>
      </c>
      <c r="D39" s="149">
        <v>92168</v>
      </c>
      <c r="E39" s="154" t="s">
        <v>429</v>
      </c>
      <c r="F39" s="149">
        <v>4101</v>
      </c>
      <c r="G39" s="149">
        <v>4101</v>
      </c>
      <c r="H39" s="149">
        <v>4101</v>
      </c>
    </row>
    <row r="40" spans="1:8" ht="15">
      <c r="A40" s="148" t="s">
        <v>232</v>
      </c>
      <c r="B40" s="146">
        <v>11720</v>
      </c>
      <c r="C40" s="146">
        <v>20820</v>
      </c>
      <c r="D40" s="146">
        <v>20820</v>
      </c>
      <c r="E40" s="147" t="s">
        <v>240</v>
      </c>
      <c r="F40" s="149">
        <v>8500</v>
      </c>
      <c r="G40" s="149">
        <v>8500</v>
      </c>
      <c r="H40" s="149">
        <v>8500</v>
      </c>
    </row>
    <row r="41" spans="1:8" ht="15">
      <c r="A41" s="147" t="s">
        <v>169</v>
      </c>
      <c r="B41" s="149">
        <v>17601</v>
      </c>
      <c r="C41" s="149">
        <v>33028</v>
      </c>
      <c r="D41" s="149">
        <v>33028</v>
      </c>
      <c r="E41" s="147" t="s">
        <v>171</v>
      </c>
      <c r="F41" s="149"/>
      <c r="G41" s="149"/>
      <c r="H41" s="149"/>
    </row>
    <row r="42" spans="1:8" ht="15">
      <c r="A42" s="147" t="s">
        <v>342</v>
      </c>
      <c r="B42" s="149">
        <v>20000</v>
      </c>
      <c r="C42" s="149">
        <v>20000</v>
      </c>
      <c r="D42" s="149">
        <v>137546</v>
      </c>
      <c r="E42" s="147" t="s">
        <v>172</v>
      </c>
      <c r="F42" s="149">
        <v>1200000</v>
      </c>
      <c r="G42" s="149">
        <v>793991</v>
      </c>
      <c r="H42" s="149">
        <v>635061</v>
      </c>
    </row>
    <row r="43" spans="1:8" ht="15">
      <c r="A43" s="147" t="s">
        <v>430</v>
      </c>
      <c r="B43" s="169">
        <v>11000</v>
      </c>
      <c r="C43" s="169">
        <v>11000</v>
      </c>
      <c r="D43" s="169">
        <v>11000</v>
      </c>
      <c r="E43" s="147" t="s">
        <v>147</v>
      </c>
      <c r="F43" s="149">
        <v>50000</v>
      </c>
      <c r="G43" s="149">
        <v>117</v>
      </c>
      <c r="H43" s="149">
        <v>117</v>
      </c>
    </row>
    <row r="44" spans="1:8" ht="15">
      <c r="A44" s="147" t="s">
        <v>173</v>
      </c>
      <c r="B44" s="169">
        <v>43631</v>
      </c>
      <c r="C44" s="169">
        <v>5631</v>
      </c>
      <c r="D44" s="169">
        <v>5631</v>
      </c>
      <c r="E44" s="147" t="s">
        <v>255</v>
      </c>
      <c r="F44" s="149">
        <v>69575</v>
      </c>
      <c r="G44" s="149">
        <v>14972</v>
      </c>
      <c r="H44" s="149">
        <v>28775</v>
      </c>
    </row>
    <row r="45" spans="1:8" ht="15">
      <c r="A45" s="147" t="s">
        <v>271</v>
      </c>
      <c r="B45" s="169">
        <v>140000</v>
      </c>
      <c r="C45" s="169">
        <v>200000</v>
      </c>
      <c r="D45" s="169">
        <v>200000</v>
      </c>
      <c r="E45" s="147" t="s">
        <v>453</v>
      </c>
      <c r="F45" s="149">
        <v>53601</v>
      </c>
      <c r="G45" s="149">
        <v>53601</v>
      </c>
      <c r="H45" s="149">
        <v>53601</v>
      </c>
    </row>
    <row r="46" spans="1:8" ht="15">
      <c r="A46" s="147" t="s">
        <v>170</v>
      </c>
      <c r="B46" s="169">
        <v>2200000</v>
      </c>
      <c r="C46" s="169">
        <v>2200000</v>
      </c>
      <c r="D46" s="169">
        <v>2200000</v>
      </c>
      <c r="E46" s="147" t="s">
        <v>360</v>
      </c>
      <c r="F46" s="149">
        <v>128930</v>
      </c>
      <c r="G46" s="149">
        <v>128930</v>
      </c>
      <c r="H46" s="149">
        <v>128930</v>
      </c>
    </row>
    <row r="47" spans="1:8" ht="15">
      <c r="A47" s="147" t="s">
        <v>341</v>
      </c>
      <c r="B47" s="169">
        <v>46550</v>
      </c>
      <c r="C47" s="169">
        <v>47825</v>
      </c>
      <c r="D47" s="169">
        <v>47825</v>
      </c>
      <c r="E47" s="147" t="s">
        <v>772</v>
      </c>
      <c r="F47" s="149"/>
      <c r="G47" s="149">
        <v>3361</v>
      </c>
      <c r="H47" s="149">
        <v>6731</v>
      </c>
    </row>
    <row r="48" spans="1:8" ht="15">
      <c r="A48" s="554" t="s">
        <v>41</v>
      </c>
      <c r="B48" s="149"/>
      <c r="C48" s="149">
        <v>114</v>
      </c>
      <c r="D48" s="149">
        <v>1614</v>
      </c>
      <c r="E48" s="556" t="s">
        <v>510</v>
      </c>
      <c r="F48" s="149"/>
      <c r="G48" s="155">
        <v>25000</v>
      </c>
      <c r="H48" s="155">
        <v>25000</v>
      </c>
    </row>
    <row r="49" spans="1:8" ht="15">
      <c r="A49" s="555" t="s">
        <v>44</v>
      </c>
      <c r="B49" s="149"/>
      <c r="C49" s="430">
        <v>391</v>
      </c>
      <c r="D49" s="149">
        <v>391</v>
      </c>
      <c r="E49" s="556"/>
      <c r="F49" s="149"/>
      <c r="G49" s="149"/>
      <c r="H49" s="149"/>
    </row>
    <row r="50" spans="1:8" ht="15">
      <c r="A50" s="555" t="s">
        <v>503</v>
      </c>
      <c r="B50" s="149"/>
      <c r="C50" s="430">
        <v>1794</v>
      </c>
      <c r="D50" s="149">
        <v>2087</v>
      </c>
      <c r="E50" s="552"/>
      <c r="F50" s="149"/>
      <c r="G50" s="149"/>
      <c r="H50" s="149"/>
    </row>
    <row r="51" spans="1:8" ht="15">
      <c r="A51" s="151" t="s">
        <v>273</v>
      </c>
      <c r="B51" s="155"/>
      <c r="C51" s="557"/>
      <c r="D51" s="155">
        <v>473374</v>
      </c>
      <c r="E51" s="560"/>
      <c r="F51" s="149"/>
      <c r="G51" s="149"/>
      <c r="H51" s="149"/>
    </row>
    <row r="52" spans="1:8" ht="15.75" thickBot="1">
      <c r="A52" s="553" t="s">
        <v>272</v>
      </c>
      <c r="B52" s="558"/>
      <c r="C52" s="559"/>
      <c r="D52" s="558">
        <v>11351</v>
      </c>
      <c r="E52" s="561"/>
      <c r="F52" s="286"/>
      <c r="G52" s="286"/>
      <c r="H52" s="286"/>
    </row>
    <row r="53" spans="1:8" ht="15" thickBot="1">
      <c r="A53" s="162" t="s">
        <v>425</v>
      </c>
      <c r="B53" s="163">
        <f>SUM(B35:B52)</f>
        <v>3045428</v>
      </c>
      <c r="C53" s="163">
        <f>SUM(C35:C52)</f>
        <v>3066943</v>
      </c>
      <c r="D53" s="163">
        <f>SUM(D35:D52)</f>
        <v>3692084</v>
      </c>
      <c r="E53" s="162" t="s">
        <v>425</v>
      </c>
      <c r="F53" s="163">
        <f>SUM(F35:F49)</f>
        <v>3045428</v>
      </c>
      <c r="G53" s="163">
        <f>SUM(G35:G49)</f>
        <v>3066943</v>
      </c>
      <c r="H53" s="163">
        <f>SUM(H35:H49)</f>
        <v>3692084</v>
      </c>
    </row>
    <row r="54" spans="1:5" ht="12.75">
      <c r="A54" s="28"/>
      <c r="B54" s="31"/>
      <c r="C54" s="31"/>
      <c r="D54" s="31"/>
      <c r="E54" s="31"/>
    </row>
    <row r="55" spans="1:5" ht="12.75">
      <c r="A55" s="13"/>
      <c r="B55" s="16"/>
      <c r="C55" s="16"/>
      <c r="D55" s="16"/>
      <c r="E55" s="15"/>
    </row>
    <row r="56" spans="2:4" ht="12.75">
      <c r="B56" s="13"/>
      <c r="C56" s="13"/>
      <c r="D56" s="13"/>
    </row>
  </sheetData>
  <mergeCells count="6">
    <mergeCell ref="A3:H3"/>
    <mergeCell ref="E33:H33"/>
    <mergeCell ref="A33:D33"/>
    <mergeCell ref="E5:H5"/>
    <mergeCell ref="A5:D5"/>
    <mergeCell ref="A31:H31"/>
  </mergeCells>
  <printOptions horizontalCentered="1"/>
  <pageMargins left="0.17" right="0.15748031496062992" top="0.25" bottom="0.24" header="0.17" footer="0.17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B33">
      <selection activeCell="L61" sqref="L61"/>
    </sheetView>
  </sheetViews>
  <sheetFormatPr defaultColWidth="9.00390625" defaultRowHeight="12.75"/>
  <cols>
    <col min="1" max="1" width="49.625" style="0" customWidth="1"/>
    <col min="2" max="3" width="10.75390625" style="0" customWidth="1"/>
    <col min="4" max="4" width="11.25390625" style="0" customWidth="1"/>
    <col min="5" max="9" width="10.75390625" style="0" customWidth="1"/>
    <col min="10" max="10" width="10.875" style="0" customWidth="1"/>
    <col min="11" max="12" width="10.75390625" style="0" customWidth="1"/>
    <col min="13" max="13" width="10.625" style="0" customWidth="1"/>
  </cols>
  <sheetData>
    <row r="1" spans="1:11" ht="12.75">
      <c r="A1" s="210" t="s">
        <v>133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3" ht="14.25">
      <c r="A2" s="640" t="s">
        <v>60</v>
      </c>
      <c r="B2" s="640"/>
      <c r="C2" s="640"/>
      <c r="D2" s="640"/>
      <c r="E2" s="640"/>
      <c r="F2" s="640"/>
      <c r="G2" s="640"/>
      <c r="H2" s="640"/>
      <c r="I2" s="640"/>
      <c r="J2" s="640"/>
      <c r="K2" s="664"/>
      <c r="L2" s="664"/>
      <c r="M2" s="664"/>
    </row>
    <row r="3" spans="1:11" ht="15.75" thickBot="1">
      <c r="A3" s="52"/>
      <c r="B3" s="52"/>
      <c r="C3" s="52"/>
      <c r="D3" s="52"/>
      <c r="E3" s="52"/>
      <c r="F3" s="52"/>
      <c r="G3" s="52"/>
      <c r="H3" s="52"/>
      <c r="I3" s="52"/>
      <c r="J3" s="52"/>
      <c r="K3" s="211"/>
    </row>
    <row r="4" spans="1:13" ht="25.5" customHeight="1" thickTop="1">
      <c r="A4" s="212" t="s">
        <v>114</v>
      </c>
      <c r="B4" s="641" t="s">
        <v>483</v>
      </c>
      <c r="C4" s="628"/>
      <c r="D4" s="629"/>
      <c r="E4" s="641" t="s">
        <v>379</v>
      </c>
      <c r="F4" s="628"/>
      <c r="G4" s="629"/>
      <c r="H4" s="641" t="s">
        <v>346</v>
      </c>
      <c r="I4" s="630"/>
      <c r="J4" s="631"/>
      <c r="K4" s="632" t="s">
        <v>383</v>
      </c>
      <c r="L4" s="633"/>
      <c r="M4" s="634"/>
    </row>
    <row r="5" spans="1:13" ht="12.75" customHeight="1">
      <c r="A5" s="213"/>
      <c r="B5" s="214" t="s">
        <v>99</v>
      </c>
      <c r="C5" s="250" t="s">
        <v>59</v>
      </c>
      <c r="D5" s="250" t="s">
        <v>259</v>
      </c>
      <c r="E5" s="214" t="s">
        <v>99</v>
      </c>
      <c r="F5" s="250" t="s">
        <v>59</v>
      </c>
      <c r="G5" s="250" t="s">
        <v>259</v>
      </c>
      <c r="H5" s="214" t="s">
        <v>99</v>
      </c>
      <c r="I5" s="250" t="s">
        <v>59</v>
      </c>
      <c r="J5" s="250" t="s">
        <v>259</v>
      </c>
      <c r="K5" s="214" t="s">
        <v>357</v>
      </c>
      <c r="L5" s="250" t="s">
        <v>59</v>
      </c>
      <c r="M5" s="512" t="s">
        <v>259</v>
      </c>
    </row>
    <row r="6" spans="1:13" ht="12.75">
      <c r="A6" s="215" t="s">
        <v>97</v>
      </c>
      <c r="B6" s="216">
        <v>24847</v>
      </c>
      <c r="C6" s="217">
        <v>24847</v>
      </c>
      <c r="D6" s="217">
        <v>56711</v>
      </c>
      <c r="E6" s="217">
        <v>99250</v>
      </c>
      <c r="F6" s="217">
        <v>101264</v>
      </c>
      <c r="G6" s="217">
        <v>105970</v>
      </c>
      <c r="H6" s="217">
        <v>8391</v>
      </c>
      <c r="I6" s="217">
        <v>8391</v>
      </c>
      <c r="J6" s="217">
        <v>8391</v>
      </c>
      <c r="K6" s="224">
        <f>SUM(B6+E6+H6)</f>
        <v>132488</v>
      </c>
      <c r="L6" s="252">
        <f>SUM(C6+F6+I6)</f>
        <v>134502</v>
      </c>
      <c r="M6" s="268">
        <f>SUM(D6+G6+J6)</f>
        <v>171072</v>
      </c>
    </row>
    <row r="7" spans="1:13" ht="12.75">
      <c r="A7" s="218" t="s">
        <v>103</v>
      </c>
      <c r="B7" s="219">
        <v>123162</v>
      </c>
      <c r="C7" s="220">
        <v>103904</v>
      </c>
      <c r="D7" s="220">
        <v>114554</v>
      </c>
      <c r="E7" s="220">
        <v>18998</v>
      </c>
      <c r="F7" s="220">
        <v>18998</v>
      </c>
      <c r="G7" s="220">
        <v>24488</v>
      </c>
      <c r="H7" s="220">
        <v>480</v>
      </c>
      <c r="I7" s="220">
        <v>182</v>
      </c>
      <c r="J7" s="220">
        <v>182</v>
      </c>
      <c r="K7" s="224">
        <f aca="true" t="shared" si="0" ref="K7:K57">SUM(B7+E7+H7)</f>
        <v>142640</v>
      </c>
      <c r="L7" s="252">
        <f aca="true" t="shared" si="1" ref="L7:L57">SUM(C7+F7+I7)</f>
        <v>123084</v>
      </c>
      <c r="M7" s="268">
        <f aca="true" t="shared" si="2" ref="M7:M57">SUM(D7+G7+J7)</f>
        <v>139224</v>
      </c>
    </row>
    <row r="8" spans="1:13" ht="12.75">
      <c r="A8" s="218" t="s">
        <v>104</v>
      </c>
      <c r="B8" s="219">
        <v>144000</v>
      </c>
      <c r="C8" s="220">
        <v>304000</v>
      </c>
      <c r="D8" s="220">
        <v>215351</v>
      </c>
      <c r="E8" s="220"/>
      <c r="F8" s="220"/>
      <c r="G8" s="220">
        <v>333</v>
      </c>
      <c r="H8" s="220">
        <v>1116</v>
      </c>
      <c r="I8" s="220">
        <v>1850</v>
      </c>
      <c r="J8" s="220">
        <v>1850</v>
      </c>
      <c r="K8" s="224">
        <f t="shared" si="0"/>
        <v>145116</v>
      </c>
      <c r="L8" s="252">
        <f t="shared" si="1"/>
        <v>305850</v>
      </c>
      <c r="M8" s="268">
        <f t="shared" si="2"/>
        <v>217534</v>
      </c>
    </row>
    <row r="9" spans="1:13" ht="12.75">
      <c r="A9" s="218" t="s">
        <v>704</v>
      </c>
      <c r="B9" s="219">
        <v>140000</v>
      </c>
      <c r="C9" s="220">
        <v>300000</v>
      </c>
      <c r="D9" s="220">
        <v>200000</v>
      </c>
      <c r="E9" s="220"/>
      <c r="F9" s="220"/>
      <c r="G9" s="220"/>
      <c r="H9" s="220"/>
      <c r="I9" s="220"/>
      <c r="J9" s="220"/>
      <c r="K9" s="224">
        <f t="shared" si="0"/>
        <v>140000</v>
      </c>
      <c r="L9" s="252">
        <f t="shared" si="1"/>
        <v>300000</v>
      </c>
      <c r="M9" s="268">
        <f t="shared" si="2"/>
        <v>200000</v>
      </c>
    </row>
    <row r="10" spans="1:13" ht="12.75">
      <c r="A10" s="218" t="s">
        <v>95</v>
      </c>
      <c r="B10" s="219"/>
      <c r="C10" s="220">
        <v>249</v>
      </c>
      <c r="D10" s="220">
        <v>1674</v>
      </c>
      <c r="E10" s="220"/>
      <c r="F10" s="220">
        <v>6228</v>
      </c>
      <c r="G10" s="220">
        <v>6947</v>
      </c>
      <c r="H10" s="220"/>
      <c r="I10" s="220">
        <v>2774</v>
      </c>
      <c r="J10" s="220">
        <v>2774</v>
      </c>
      <c r="K10" s="224">
        <f t="shared" si="0"/>
        <v>0</v>
      </c>
      <c r="L10" s="252">
        <f t="shared" si="1"/>
        <v>9251</v>
      </c>
      <c r="M10" s="268">
        <f t="shared" si="2"/>
        <v>11395</v>
      </c>
    </row>
    <row r="11" spans="1:13" ht="12.75">
      <c r="A11" s="221" t="s">
        <v>105</v>
      </c>
      <c r="B11" s="222">
        <f aca="true" t="shared" si="3" ref="B11:J11">SUM(B6+B7+B8+B10)</f>
        <v>292009</v>
      </c>
      <c r="C11" s="222">
        <f t="shared" si="3"/>
        <v>433000</v>
      </c>
      <c r="D11" s="222">
        <f t="shared" si="3"/>
        <v>388290</v>
      </c>
      <c r="E11" s="222">
        <f t="shared" si="3"/>
        <v>118248</v>
      </c>
      <c r="F11" s="222">
        <f t="shared" si="3"/>
        <v>126490</v>
      </c>
      <c r="G11" s="222">
        <f t="shared" si="3"/>
        <v>137738</v>
      </c>
      <c r="H11" s="222">
        <f t="shared" si="3"/>
        <v>9987</v>
      </c>
      <c r="I11" s="222">
        <f t="shared" si="3"/>
        <v>13197</v>
      </c>
      <c r="J11" s="222">
        <f t="shared" si="3"/>
        <v>13197</v>
      </c>
      <c r="K11" s="224">
        <f t="shared" si="0"/>
        <v>420244</v>
      </c>
      <c r="L11" s="252">
        <f t="shared" si="1"/>
        <v>572687</v>
      </c>
      <c r="M11" s="268">
        <f t="shared" si="2"/>
        <v>539225</v>
      </c>
    </row>
    <row r="12" spans="1:13" ht="12.75">
      <c r="A12" s="218" t="s">
        <v>684</v>
      </c>
      <c r="B12" s="219">
        <v>1179400</v>
      </c>
      <c r="C12" s="220">
        <v>1179400</v>
      </c>
      <c r="D12" s="220">
        <v>1179400</v>
      </c>
      <c r="E12" s="220"/>
      <c r="F12" s="220"/>
      <c r="G12" s="220"/>
      <c r="H12" s="220"/>
      <c r="I12" s="220"/>
      <c r="J12" s="220"/>
      <c r="K12" s="224">
        <f t="shared" si="0"/>
        <v>1179400</v>
      </c>
      <c r="L12" s="252">
        <f t="shared" si="1"/>
        <v>1179400</v>
      </c>
      <c r="M12" s="268">
        <f t="shared" si="2"/>
        <v>1179400</v>
      </c>
    </row>
    <row r="13" spans="1:13" ht="12.75">
      <c r="A13" s="218" t="s">
        <v>674</v>
      </c>
      <c r="B13" s="219"/>
      <c r="C13" s="220"/>
      <c r="D13" s="220"/>
      <c r="E13" s="220"/>
      <c r="F13" s="220"/>
      <c r="G13" s="220"/>
      <c r="H13" s="220"/>
      <c r="I13" s="220"/>
      <c r="J13" s="220"/>
      <c r="K13" s="224">
        <f t="shared" si="0"/>
        <v>0</v>
      </c>
      <c r="L13" s="252">
        <f t="shared" si="1"/>
        <v>0</v>
      </c>
      <c r="M13" s="268">
        <f t="shared" si="2"/>
        <v>0</v>
      </c>
    </row>
    <row r="14" spans="1:13" ht="12.75">
      <c r="A14" s="218" t="s">
        <v>675</v>
      </c>
      <c r="B14" s="219">
        <v>195000</v>
      </c>
      <c r="C14" s="220">
        <v>195000</v>
      </c>
      <c r="D14" s="220">
        <v>195000</v>
      </c>
      <c r="E14" s="220"/>
      <c r="F14" s="220"/>
      <c r="G14" s="220"/>
      <c r="H14" s="220"/>
      <c r="I14" s="220"/>
      <c r="J14" s="220"/>
      <c r="K14" s="224">
        <f t="shared" si="0"/>
        <v>195000</v>
      </c>
      <c r="L14" s="252">
        <f t="shared" si="1"/>
        <v>195000</v>
      </c>
      <c r="M14" s="268">
        <f t="shared" si="2"/>
        <v>195000</v>
      </c>
    </row>
    <row r="15" spans="1:13" ht="12.75">
      <c r="A15" s="218" t="s">
        <v>676</v>
      </c>
      <c r="B15" s="219">
        <v>70000</v>
      </c>
      <c r="C15" s="220">
        <v>70000</v>
      </c>
      <c r="D15" s="220">
        <v>70000</v>
      </c>
      <c r="E15" s="220"/>
      <c r="F15" s="220"/>
      <c r="G15" s="220"/>
      <c r="H15" s="220"/>
      <c r="I15" s="220"/>
      <c r="J15" s="220"/>
      <c r="K15" s="224">
        <f t="shared" si="0"/>
        <v>70000</v>
      </c>
      <c r="L15" s="252">
        <f t="shared" si="1"/>
        <v>70000</v>
      </c>
      <c r="M15" s="268">
        <f t="shared" si="2"/>
        <v>70000</v>
      </c>
    </row>
    <row r="16" spans="1:13" ht="12.75">
      <c r="A16" s="218" t="s">
        <v>677</v>
      </c>
      <c r="B16" s="219">
        <v>15000</v>
      </c>
      <c r="C16" s="220">
        <v>15000</v>
      </c>
      <c r="D16" s="220">
        <v>15000</v>
      </c>
      <c r="E16" s="220"/>
      <c r="F16" s="220"/>
      <c r="G16" s="220"/>
      <c r="H16" s="220"/>
      <c r="I16" s="220"/>
      <c r="J16" s="220"/>
      <c r="K16" s="224">
        <f t="shared" si="0"/>
        <v>15000</v>
      </c>
      <c r="L16" s="252">
        <f t="shared" si="1"/>
        <v>15000</v>
      </c>
      <c r="M16" s="268">
        <f t="shared" si="2"/>
        <v>15000</v>
      </c>
    </row>
    <row r="17" spans="1:13" ht="12.75">
      <c r="A17" s="218" t="s">
        <v>678</v>
      </c>
      <c r="B17" s="219">
        <v>880000</v>
      </c>
      <c r="C17" s="220">
        <v>880000</v>
      </c>
      <c r="D17" s="220">
        <v>880000</v>
      </c>
      <c r="E17" s="220"/>
      <c r="F17" s="220"/>
      <c r="G17" s="220"/>
      <c r="H17" s="220"/>
      <c r="I17" s="220"/>
      <c r="J17" s="220"/>
      <c r="K17" s="224">
        <f t="shared" si="0"/>
        <v>880000</v>
      </c>
      <c r="L17" s="252">
        <f t="shared" si="1"/>
        <v>880000</v>
      </c>
      <c r="M17" s="268">
        <f t="shared" si="2"/>
        <v>880000</v>
      </c>
    </row>
    <row r="18" spans="1:13" ht="12.75">
      <c r="A18" s="218" t="s">
        <v>96</v>
      </c>
      <c r="B18" s="219">
        <v>15000</v>
      </c>
      <c r="C18" s="220">
        <v>15000</v>
      </c>
      <c r="D18" s="220">
        <v>15000</v>
      </c>
      <c r="E18" s="220"/>
      <c r="F18" s="220"/>
      <c r="G18" s="220"/>
      <c r="H18" s="220"/>
      <c r="I18" s="220"/>
      <c r="J18" s="220"/>
      <c r="K18" s="224">
        <f t="shared" si="0"/>
        <v>15000</v>
      </c>
      <c r="L18" s="252">
        <f t="shared" si="1"/>
        <v>15000</v>
      </c>
      <c r="M18" s="268">
        <f t="shared" si="2"/>
        <v>15000</v>
      </c>
    </row>
    <row r="19" spans="1:13" ht="12.75">
      <c r="A19" s="218" t="s">
        <v>679</v>
      </c>
      <c r="B19" s="219">
        <v>4400</v>
      </c>
      <c r="C19" s="220">
        <v>4400</v>
      </c>
      <c r="D19" s="220">
        <v>4400</v>
      </c>
      <c r="E19" s="220"/>
      <c r="F19" s="220"/>
      <c r="G19" s="220"/>
      <c r="H19" s="220"/>
      <c r="I19" s="220"/>
      <c r="J19" s="220"/>
      <c r="K19" s="224">
        <f t="shared" si="0"/>
        <v>4400</v>
      </c>
      <c r="L19" s="252">
        <f t="shared" si="1"/>
        <v>4400</v>
      </c>
      <c r="M19" s="268">
        <f t="shared" si="2"/>
        <v>4400</v>
      </c>
    </row>
    <row r="20" spans="1:13" ht="12.75">
      <c r="A20" s="218" t="s">
        <v>106</v>
      </c>
      <c r="B20" s="219">
        <v>426533</v>
      </c>
      <c r="C20" s="220">
        <v>426533</v>
      </c>
      <c r="D20" s="220">
        <v>426533</v>
      </c>
      <c r="E20" s="220"/>
      <c r="F20" s="220"/>
      <c r="G20" s="220"/>
      <c r="H20" s="220"/>
      <c r="I20" s="220"/>
      <c r="J20" s="220"/>
      <c r="K20" s="224">
        <f t="shared" si="0"/>
        <v>426533</v>
      </c>
      <c r="L20" s="252">
        <f t="shared" si="1"/>
        <v>426533</v>
      </c>
      <c r="M20" s="268">
        <f t="shared" si="2"/>
        <v>426533</v>
      </c>
    </row>
    <row r="21" spans="1:13" ht="12.75">
      <c r="A21" s="218" t="s">
        <v>107</v>
      </c>
      <c r="B21" s="219">
        <v>275000</v>
      </c>
      <c r="C21" s="220">
        <v>275000</v>
      </c>
      <c r="D21" s="220">
        <v>275000</v>
      </c>
      <c r="E21" s="220"/>
      <c r="F21" s="220"/>
      <c r="G21" s="220"/>
      <c r="H21" s="220"/>
      <c r="I21" s="220"/>
      <c r="J21" s="220"/>
      <c r="K21" s="224">
        <f t="shared" si="0"/>
        <v>275000</v>
      </c>
      <c r="L21" s="252">
        <f t="shared" si="1"/>
        <v>275000</v>
      </c>
      <c r="M21" s="268">
        <f t="shared" si="2"/>
        <v>275000</v>
      </c>
    </row>
    <row r="22" spans="1:13" ht="12.75">
      <c r="A22" s="218" t="s">
        <v>108</v>
      </c>
      <c r="B22" s="219">
        <v>400</v>
      </c>
      <c r="C22" s="220">
        <v>400</v>
      </c>
      <c r="D22" s="220">
        <v>400</v>
      </c>
      <c r="E22" s="220"/>
      <c r="F22" s="220"/>
      <c r="G22" s="220"/>
      <c r="H22" s="220"/>
      <c r="I22" s="220"/>
      <c r="J22" s="220"/>
      <c r="K22" s="224">
        <f t="shared" si="0"/>
        <v>400</v>
      </c>
      <c r="L22" s="252">
        <f t="shared" si="1"/>
        <v>400</v>
      </c>
      <c r="M22" s="268">
        <f t="shared" si="2"/>
        <v>400</v>
      </c>
    </row>
    <row r="23" spans="1:13" ht="12.75">
      <c r="A23" s="218" t="s">
        <v>130</v>
      </c>
      <c r="B23" s="219">
        <v>3200</v>
      </c>
      <c r="C23" s="220">
        <v>3200</v>
      </c>
      <c r="D23" s="220">
        <v>3200</v>
      </c>
      <c r="E23" s="220"/>
      <c r="F23" s="220"/>
      <c r="G23" s="220"/>
      <c r="H23" s="220"/>
      <c r="I23" s="220"/>
      <c r="J23" s="220"/>
      <c r="K23" s="224">
        <f t="shared" si="0"/>
        <v>3200</v>
      </c>
      <c r="L23" s="252">
        <f t="shared" si="1"/>
        <v>3200</v>
      </c>
      <c r="M23" s="268">
        <f t="shared" si="2"/>
        <v>3200</v>
      </c>
    </row>
    <row r="24" spans="1:13" ht="12.75">
      <c r="A24" s="218" t="s">
        <v>598</v>
      </c>
      <c r="B24" s="219">
        <v>4500</v>
      </c>
      <c r="C24" s="220">
        <v>6000</v>
      </c>
      <c r="D24" s="220">
        <v>6000</v>
      </c>
      <c r="E24" s="220"/>
      <c r="F24" s="220"/>
      <c r="G24" s="220"/>
      <c r="H24" s="220"/>
      <c r="I24" s="220"/>
      <c r="J24" s="220"/>
      <c r="K24" s="224">
        <f t="shared" si="0"/>
        <v>4500</v>
      </c>
      <c r="L24" s="252">
        <f t="shared" si="1"/>
        <v>6000</v>
      </c>
      <c r="M24" s="268">
        <f t="shared" si="2"/>
        <v>6000</v>
      </c>
    </row>
    <row r="25" spans="1:13" ht="12.75">
      <c r="A25" s="218" t="s">
        <v>599</v>
      </c>
      <c r="B25" s="219">
        <v>41914</v>
      </c>
      <c r="C25" s="220">
        <v>41914</v>
      </c>
      <c r="D25" s="220">
        <v>33414</v>
      </c>
      <c r="E25" s="220"/>
      <c r="F25" s="220"/>
      <c r="G25" s="220"/>
      <c r="H25" s="220"/>
      <c r="I25" s="220"/>
      <c r="J25" s="220"/>
      <c r="K25" s="224">
        <f t="shared" si="0"/>
        <v>41914</v>
      </c>
      <c r="L25" s="252">
        <f t="shared" si="1"/>
        <v>41914</v>
      </c>
      <c r="M25" s="268">
        <f t="shared" si="2"/>
        <v>33414</v>
      </c>
    </row>
    <row r="26" spans="1:13" ht="12.75">
      <c r="A26" s="218" t="s">
        <v>77</v>
      </c>
      <c r="B26" s="219">
        <v>51975</v>
      </c>
      <c r="C26" s="220">
        <v>51975</v>
      </c>
      <c r="D26" s="220">
        <v>51975</v>
      </c>
      <c r="E26" s="220"/>
      <c r="F26" s="220"/>
      <c r="G26" s="220"/>
      <c r="H26" s="220"/>
      <c r="I26" s="220"/>
      <c r="J26" s="220"/>
      <c r="K26" s="224">
        <f t="shared" si="0"/>
        <v>51975</v>
      </c>
      <c r="L26" s="252">
        <f t="shared" si="1"/>
        <v>51975</v>
      </c>
      <c r="M26" s="268">
        <f t="shared" si="2"/>
        <v>51975</v>
      </c>
    </row>
    <row r="27" spans="1:13" ht="12.75">
      <c r="A27" s="221" t="s">
        <v>131</v>
      </c>
      <c r="B27" s="222">
        <f aca="true" t="shared" si="4" ref="B27:J27">SUM(B12+B20+B21+B22+B23+B24+B25+B26)</f>
        <v>1982922</v>
      </c>
      <c r="C27" s="222">
        <f t="shared" si="4"/>
        <v>1984422</v>
      </c>
      <c r="D27" s="222">
        <f t="shared" si="4"/>
        <v>1975922</v>
      </c>
      <c r="E27" s="222">
        <f t="shared" si="4"/>
        <v>0</v>
      </c>
      <c r="F27" s="222">
        <f t="shared" si="4"/>
        <v>0</v>
      </c>
      <c r="G27" s="222">
        <f t="shared" si="4"/>
        <v>0</v>
      </c>
      <c r="H27" s="222">
        <f t="shared" si="4"/>
        <v>0</v>
      </c>
      <c r="I27" s="222">
        <f t="shared" si="4"/>
        <v>0</v>
      </c>
      <c r="J27" s="222">
        <f t="shared" si="4"/>
        <v>0</v>
      </c>
      <c r="K27" s="224">
        <f t="shared" si="0"/>
        <v>1982922</v>
      </c>
      <c r="L27" s="252">
        <f t="shared" si="1"/>
        <v>1984422</v>
      </c>
      <c r="M27" s="268">
        <f t="shared" si="2"/>
        <v>1975922</v>
      </c>
    </row>
    <row r="28" spans="1:13" ht="12.75">
      <c r="A28" s="223" t="s">
        <v>109</v>
      </c>
      <c r="B28" s="224">
        <f aca="true" t="shared" si="5" ref="B28:J28">SUM(B11+B27)</f>
        <v>2274931</v>
      </c>
      <c r="C28" s="224">
        <f t="shared" si="5"/>
        <v>2417422</v>
      </c>
      <c r="D28" s="224">
        <f t="shared" si="5"/>
        <v>2364212</v>
      </c>
      <c r="E28" s="224">
        <f t="shared" si="5"/>
        <v>118248</v>
      </c>
      <c r="F28" s="224">
        <f t="shared" si="5"/>
        <v>126490</v>
      </c>
      <c r="G28" s="224">
        <f t="shared" si="5"/>
        <v>137738</v>
      </c>
      <c r="H28" s="224">
        <f t="shared" si="5"/>
        <v>9987</v>
      </c>
      <c r="I28" s="224">
        <f t="shared" si="5"/>
        <v>13197</v>
      </c>
      <c r="J28" s="224">
        <f t="shared" si="5"/>
        <v>13197</v>
      </c>
      <c r="K28" s="224">
        <f t="shared" si="0"/>
        <v>2403166</v>
      </c>
      <c r="L28" s="252">
        <f t="shared" si="1"/>
        <v>2557109</v>
      </c>
      <c r="M28" s="268">
        <f t="shared" si="2"/>
        <v>2515147</v>
      </c>
    </row>
    <row r="29" spans="1:13" ht="12.75">
      <c r="A29" s="218" t="s">
        <v>110</v>
      </c>
      <c r="B29" s="219">
        <v>286000</v>
      </c>
      <c r="C29" s="220">
        <v>286000</v>
      </c>
      <c r="D29" s="220">
        <v>286000</v>
      </c>
      <c r="E29" s="220"/>
      <c r="F29" s="220"/>
      <c r="G29" s="220"/>
      <c r="H29" s="220"/>
      <c r="I29" s="220"/>
      <c r="J29" s="220"/>
      <c r="K29" s="224">
        <f t="shared" si="0"/>
        <v>286000</v>
      </c>
      <c r="L29" s="252">
        <f t="shared" si="1"/>
        <v>286000</v>
      </c>
      <c r="M29" s="268">
        <f t="shared" si="2"/>
        <v>286000</v>
      </c>
    </row>
    <row r="30" spans="1:13" ht="12.75">
      <c r="A30" s="218" t="s">
        <v>756</v>
      </c>
      <c r="B30" s="219">
        <v>6000</v>
      </c>
      <c r="C30" s="220">
        <v>6000</v>
      </c>
      <c r="D30" s="220">
        <v>6000</v>
      </c>
      <c r="E30" s="220"/>
      <c r="F30" s="220"/>
      <c r="G30" s="220"/>
      <c r="H30" s="220"/>
      <c r="I30" s="220"/>
      <c r="J30" s="220"/>
      <c r="K30" s="224">
        <f t="shared" si="0"/>
        <v>6000</v>
      </c>
      <c r="L30" s="252">
        <f t="shared" si="1"/>
        <v>6000</v>
      </c>
      <c r="M30" s="268">
        <f t="shared" si="2"/>
        <v>6000</v>
      </c>
    </row>
    <row r="31" spans="1:13" ht="12.75">
      <c r="A31" s="218" t="s">
        <v>121</v>
      </c>
      <c r="B31" s="219">
        <v>8000</v>
      </c>
      <c r="C31" s="220">
        <v>8000</v>
      </c>
      <c r="D31" s="220">
        <v>0</v>
      </c>
      <c r="E31" s="220"/>
      <c r="F31" s="220"/>
      <c r="G31" s="220"/>
      <c r="H31" s="220"/>
      <c r="I31" s="220"/>
      <c r="J31" s="220"/>
      <c r="K31" s="224">
        <f t="shared" si="0"/>
        <v>8000</v>
      </c>
      <c r="L31" s="252">
        <f t="shared" si="1"/>
        <v>8000</v>
      </c>
      <c r="M31" s="268">
        <f t="shared" si="2"/>
        <v>0</v>
      </c>
    </row>
    <row r="32" spans="1:13" ht="12.75">
      <c r="A32" s="218" t="s">
        <v>31</v>
      </c>
      <c r="B32" s="219"/>
      <c r="C32" s="220"/>
      <c r="D32" s="220"/>
      <c r="E32" s="220"/>
      <c r="F32" s="220"/>
      <c r="G32" s="220">
        <v>1500</v>
      </c>
      <c r="H32" s="220"/>
      <c r="I32" s="220">
        <v>114</v>
      </c>
      <c r="J32" s="220">
        <v>114</v>
      </c>
      <c r="K32" s="224">
        <f t="shared" si="0"/>
        <v>0</v>
      </c>
      <c r="L32" s="252">
        <f t="shared" si="1"/>
        <v>114</v>
      </c>
      <c r="M32" s="268">
        <f t="shared" si="2"/>
        <v>1614</v>
      </c>
    </row>
    <row r="33" spans="1:13" ht="12.75">
      <c r="A33" s="218" t="s">
        <v>601</v>
      </c>
      <c r="B33" s="219">
        <v>43631</v>
      </c>
      <c r="C33" s="220">
        <v>5631</v>
      </c>
      <c r="D33" s="220">
        <v>5631</v>
      </c>
      <c r="E33" s="220"/>
      <c r="F33" s="220"/>
      <c r="G33" s="220"/>
      <c r="H33" s="220"/>
      <c r="I33" s="220"/>
      <c r="J33" s="220"/>
      <c r="K33" s="224">
        <f t="shared" si="0"/>
        <v>43631</v>
      </c>
      <c r="L33" s="252">
        <f t="shared" si="1"/>
        <v>5631</v>
      </c>
      <c r="M33" s="268">
        <f t="shared" si="2"/>
        <v>5631</v>
      </c>
    </row>
    <row r="34" spans="1:13" ht="12.75">
      <c r="A34" s="218" t="s">
        <v>757</v>
      </c>
      <c r="B34" s="219">
        <v>11720</v>
      </c>
      <c r="C34" s="220">
        <v>11720</v>
      </c>
      <c r="D34" s="220">
        <v>11720</v>
      </c>
      <c r="E34" s="220"/>
      <c r="F34" s="220">
        <v>9100</v>
      </c>
      <c r="G34" s="220">
        <v>9100</v>
      </c>
      <c r="H34" s="220"/>
      <c r="I34" s="220"/>
      <c r="J34" s="220"/>
      <c r="K34" s="224">
        <f t="shared" si="0"/>
        <v>11720</v>
      </c>
      <c r="L34" s="252">
        <f t="shared" si="1"/>
        <v>20820</v>
      </c>
      <c r="M34" s="268">
        <f t="shared" si="2"/>
        <v>20820</v>
      </c>
    </row>
    <row r="35" spans="1:13" ht="12.75">
      <c r="A35" s="218" t="s">
        <v>600</v>
      </c>
      <c r="B35" s="219">
        <v>2200000</v>
      </c>
      <c r="C35" s="220"/>
      <c r="D35" s="220"/>
      <c r="E35" s="220"/>
      <c r="F35" s="220"/>
      <c r="G35" s="220"/>
      <c r="H35" s="220"/>
      <c r="I35" s="220"/>
      <c r="J35" s="220"/>
      <c r="K35" s="224">
        <f t="shared" si="0"/>
        <v>2200000</v>
      </c>
      <c r="L35" s="252">
        <f t="shared" si="1"/>
        <v>0</v>
      </c>
      <c r="M35" s="268">
        <f t="shared" si="2"/>
        <v>0</v>
      </c>
    </row>
    <row r="36" spans="1:13" ht="12.75">
      <c r="A36" s="225" t="s">
        <v>113</v>
      </c>
      <c r="B36" s="224">
        <f aca="true" t="shared" si="6" ref="B36:J36">SUM(B29:B35)</f>
        <v>2555351</v>
      </c>
      <c r="C36" s="224">
        <f t="shared" si="6"/>
        <v>317351</v>
      </c>
      <c r="D36" s="224">
        <f t="shared" si="6"/>
        <v>309351</v>
      </c>
      <c r="E36" s="224">
        <f t="shared" si="6"/>
        <v>0</v>
      </c>
      <c r="F36" s="224">
        <f t="shared" si="6"/>
        <v>9100</v>
      </c>
      <c r="G36" s="224">
        <f t="shared" si="6"/>
        <v>10600</v>
      </c>
      <c r="H36" s="224">
        <f t="shared" si="6"/>
        <v>0</v>
      </c>
      <c r="I36" s="224">
        <f t="shared" si="6"/>
        <v>114</v>
      </c>
      <c r="J36" s="224">
        <f t="shared" si="6"/>
        <v>114</v>
      </c>
      <c r="K36" s="224">
        <f t="shared" si="0"/>
        <v>2555351</v>
      </c>
      <c r="L36" s="252">
        <f t="shared" si="1"/>
        <v>326565</v>
      </c>
      <c r="M36" s="268">
        <f t="shared" si="2"/>
        <v>320065</v>
      </c>
    </row>
    <row r="37" spans="1:13" ht="12.75">
      <c r="A37" s="218" t="s">
        <v>111</v>
      </c>
      <c r="B37" s="219">
        <v>1009304</v>
      </c>
      <c r="C37" s="220">
        <v>979945</v>
      </c>
      <c r="D37" s="220">
        <v>979945</v>
      </c>
      <c r="E37" s="220"/>
      <c r="F37" s="220"/>
      <c r="G37" s="220"/>
      <c r="H37" s="220"/>
      <c r="I37" s="220"/>
      <c r="J37" s="220"/>
      <c r="K37" s="224">
        <f t="shared" si="0"/>
        <v>1009304</v>
      </c>
      <c r="L37" s="252">
        <f t="shared" si="1"/>
        <v>979945</v>
      </c>
      <c r="M37" s="268">
        <f t="shared" si="2"/>
        <v>979945</v>
      </c>
    </row>
    <row r="38" spans="1:13" ht="12.75">
      <c r="A38" s="218" t="s">
        <v>604</v>
      </c>
      <c r="B38" s="219">
        <v>87870</v>
      </c>
      <c r="C38" s="220">
        <v>87870</v>
      </c>
      <c r="D38" s="220">
        <v>127870</v>
      </c>
      <c r="E38" s="220"/>
      <c r="F38" s="220"/>
      <c r="G38" s="220"/>
      <c r="H38" s="220"/>
      <c r="I38" s="220"/>
      <c r="J38" s="220"/>
      <c r="K38" s="224">
        <f t="shared" si="0"/>
        <v>87870</v>
      </c>
      <c r="L38" s="252">
        <f t="shared" si="1"/>
        <v>87870</v>
      </c>
      <c r="M38" s="268">
        <f t="shared" si="2"/>
        <v>127870</v>
      </c>
    </row>
    <row r="39" spans="1:13" ht="12.75">
      <c r="A39" s="218" t="s">
        <v>100</v>
      </c>
      <c r="B39" s="219">
        <v>1713</v>
      </c>
      <c r="C39" s="220">
        <v>2474</v>
      </c>
      <c r="D39" s="220">
        <v>2474</v>
      </c>
      <c r="E39" s="220"/>
      <c r="F39" s="220"/>
      <c r="G39" s="220"/>
      <c r="H39" s="220"/>
      <c r="I39" s="220"/>
      <c r="J39" s="220"/>
      <c r="K39" s="224">
        <f t="shared" si="0"/>
        <v>1713</v>
      </c>
      <c r="L39" s="252">
        <f t="shared" si="1"/>
        <v>2474</v>
      </c>
      <c r="M39" s="268">
        <f t="shared" si="2"/>
        <v>2474</v>
      </c>
    </row>
    <row r="40" spans="1:13" ht="12.75">
      <c r="A40" s="218" t="s">
        <v>783</v>
      </c>
      <c r="B40" s="219"/>
      <c r="C40" s="220">
        <v>72141</v>
      </c>
      <c r="D40" s="220">
        <v>85872</v>
      </c>
      <c r="E40" s="220"/>
      <c r="F40" s="220"/>
      <c r="G40" s="220"/>
      <c r="H40" s="220"/>
      <c r="I40" s="220"/>
      <c r="J40" s="220"/>
      <c r="K40" s="224">
        <f t="shared" si="0"/>
        <v>0</v>
      </c>
      <c r="L40" s="252">
        <f t="shared" si="1"/>
        <v>72141</v>
      </c>
      <c r="M40" s="268">
        <f t="shared" si="2"/>
        <v>85872</v>
      </c>
    </row>
    <row r="41" spans="1:13" ht="12.75">
      <c r="A41" s="218" t="s">
        <v>602</v>
      </c>
      <c r="B41" s="219">
        <v>17601</v>
      </c>
      <c r="C41" s="220">
        <v>17367</v>
      </c>
      <c r="D41" s="220">
        <v>17367</v>
      </c>
      <c r="E41" s="220"/>
      <c r="F41" s="220"/>
      <c r="G41" s="220"/>
      <c r="H41" s="220"/>
      <c r="I41" s="220"/>
      <c r="J41" s="220"/>
      <c r="K41" s="224">
        <f t="shared" si="0"/>
        <v>17601</v>
      </c>
      <c r="L41" s="252">
        <f t="shared" si="1"/>
        <v>17367</v>
      </c>
      <c r="M41" s="268">
        <f t="shared" si="2"/>
        <v>17367</v>
      </c>
    </row>
    <row r="42" spans="1:13" ht="12.75">
      <c r="A42" s="218" t="s">
        <v>718</v>
      </c>
      <c r="B42" s="219"/>
      <c r="C42" s="220">
        <v>15661</v>
      </c>
      <c r="D42" s="220">
        <v>15661</v>
      </c>
      <c r="E42" s="220"/>
      <c r="F42" s="220"/>
      <c r="G42" s="220"/>
      <c r="H42" s="220"/>
      <c r="I42" s="220"/>
      <c r="J42" s="220"/>
      <c r="K42" s="224">
        <f t="shared" si="0"/>
        <v>0</v>
      </c>
      <c r="L42" s="252">
        <f t="shared" si="1"/>
        <v>15661</v>
      </c>
      <c r="M42" s="268">
        <f t="shared" si="2"/>
        <v>15661</v>
      </c>
    </row>
    <row r="43" spans="1:13" ht="12.75">
      <c r="A43" s="218" t="s">
        <v>717</v>
      </c>
      <c r="B43" s="219"/>
      <c r="C43" s="220">
        <v>1794</v>
      </c>
      <c r="D43" s="220">
        <v>2087</v>
      </c>
      <c r="E43" s="220"/>
      <c r="F43" s="220"/>
      <c r="G43" s="220"/>
      <c r="H43" s="220"/>
      <c r="I43" s="220"/>
      <c r="J43" s="220"/>
      <c r="K43" s="224">
        <f t="shared" si="0"/>
        <v>0</v>
      </c>
      <c r="L43" s="252">
        <f t="shared" si="1"/>
        <v>1794</v>
      </c>
      <c r="M43" s="268">
        <f t="shared" si="2"/>
        <v>2087</v>
      </c>
    </row>
    <row r="44" spans="1:13" ht="12.75">
      <c r="A44" s="223" t="s">
        <v>132</v>
      </c>
      <c r="B44" s="224">
        <f>SUM(B37:B41)</f>
        <v>1116488</v>
      </c>
      <c r="C44" s="224">
        <f>SUM(C37:C43)</f>
        <v>1177252</v>
      </c>
      <c r="D44" s="224">
        <f>SUM(D37:D43)</f>
        <v>1231276</v>
      </c>
      <c r="E44" s="224">
        <f aca="true" t="shared" si="7" ref="E44:J44">SUM(E37:E41)</f>
        <v>0</v>
      </c>
      <c r="F44" s="224">
        <f>SUM(F37:F41)</f>
        <v>0</v>
      </c>
      <c r="G44" s="224">
        <f t="shared" si="7"/>
        <v>0</v>
      </c>
      <c r="H44" s="224">
        <f t="shared" si="7"/>
        <v>0</v>
      </c>
      <c r="I44" s="224">
        <f>SUM(I37:I41)</f>
        <v>0</v>
      </c>
      <c r="J44" s="224">
        <f t="shared" si="7"/>
        <v>0</v>
      </c>
      <c r="K44" s="224">
        <f t="shared" si="0"/>
        <v>1116488</v>
      </c>
      <c r="L44" s="252">
        <f t="shared" si="1"/>
        <v>1177252</v>
      </c>
      <c r="M44" s="268">
        <f t="shared" si="2"/>
        <v>1231276</v>
      </c>
    </row>
    <row r="45" spans="1:13" ht="12.75">
      <c r="A45" s="218" t="s">
        <v>78</v>
      </c>
      <c r="B45" s="219">
        <v>102700</v>
      </c>
      <c r="C45" s="220">
        <v>114244</v>
      </c>
      <c r="D45" s="220">
        <v>133429</v>
      </c>
      <c r="E45" s="220"/>
      <c r="F45" s="220">
        <v>11613</v>
      </c>
      <c r="G45" s="220">
        <v>12833</v>
      </c>
      <c r="H45" s="220">
        <v>4200</v>
      </c>
      <c r="I45" s="220">
        <v>4200</v>
      </c>
      <c r="J45" s="220">
        <v>4800</v>
      </c>
      <c r="K45" s="224">
        <f t="shared" si="0"/>
        <v>106900</v>
      </c>
      <c r="L45" s="252">
        <f t="shared" si="1"/>
        <v>130057</v>
      </c>
      <c r="M45" s="268">
        <f t="shared" si="2"/>
        <v>151062</v>
      </c>
    </row>
    <row r="46" spans="1:13" ht="12.75">
      <c r="A46" s="218" t="s">
        <v>758</v>
      </c>
      <c r="B46" s="219"/>
      <c r="C46" s="220"/>
      <c r="D46" s="220"/>
      <c r="E46" s="220"/>
      <c r="F46" s="220"/>
      <c r="G46" s="220"/>
      <c r="H46" s="220">
        <v>796639</v>
      </c>
      <c r="I46" s="220">
        <v>758491</v>
      </c>
      <c r="J46" s="220">
        <v>758491</v>
      </c>
      <c r="K46" s="224">
        <f t="shared" si="0"/>
        <v>796639</v>
      </c>
      <c r="L46" s="252">
        <f t="shared" si="1"/>
        <v>758491</v>
      </c>
      <c r="M46" s="268">
        <f t="shared" si="2"/>
        <v>758491</v>
      </c>
    </row>
    <row r="47" spans="1:13" ht="12.75">
      <c r="A47" s="218" t="s">
        <v>79</v>
      </c>
      <c r="B47" s="219">
        <v>20000</v>
      </c>
      <c r="C47" s="220">
        <v>20000</v>
      </c>
      <c r="D47" s="220">
        <v>137546</v>
      </c>
      <c r="E47" s="220"/>
      <c r="F47" s="220"/>
      <c r="G47" s="220"/>
      <c r="H47" s="220"/>
      <c r="I47" s="220"/>
      <c r="J47" s="220"/>
      <c r="K47" s="224">
        <f t="shared" si="0"/>
        <v>20000</v>
      </c>
      <c r="L47" s="252">
        <f t="shared" si="1"/>
        <v>20000</v>
      </c>
      <c r="M47" s="268">
        <f t="shared" si="2"/>
        <v>137546</v>
      </c>
    </row>
    <row r="48" spans="1:13" ht="12.75">
      <c r="A48" s="225" t="s">
        <v>759</v>
      </c>
      <c r="B48" s="224">
        <f>SUM(B45:B47)</f>
        <v>122700</v>
      </c>
      <c r="C48" s="224">
        <f aca="true" t="shared" si="8" ref="C48:J48">SUM(C45:C47)</f>
        <v>134244</v>
      </c>
      <c r="D48" s="224">
        <f t="shared" si="8"/>
        <v>270975</v>
      </c>
      <c r="E48" s="224">
        <f t="shared" si="8"/>
        <v>0</v>
      </c>
      <c r="F48" s="224">
        <f t="shared" si="8"/>
        <v>11613</v>
      </c>
      <c r="G48" s="224">
        <f t="shared" si="8"/>
        <v>12833</v>
      </c>
      <c r="H48" s="224">
        <f t="shared" si="8"/>
        <v>800839</v>
      </c>
      <c r="I48" s="224">
        <f t="shared" si="8"/>
        <v>762691</v>
      </c>
      <c r="J48" s="224">
        <f t="shared" si="8"/>
        <v>763291</v>
      </c>
      <c r="K48" s="224">
        <f t="shared" si="0"/>
        <v>923539</v>
      </c>
      <c r="L48" s="252">
        <f t="shared" si="1"/>
        <v>908548</v>
      </c>
      <c r="M48" s="268">
        <f t="shared" si="2"/>
        <v>1047099</v>
      </c>
    </row>
    <row r="49" spans="1:13" ht="12.75">
      <c r="A49" s="225" t="s">
        <v>87</v>
      </c>
      <c r="B49" s="224">
        <v>52000</v>
      </c>
      <c r="C49" s="45">
        <v>59000</v>
      </c>
      <c r="D49" s="45">
        <v>54000</v>
      </c>
      <c r="E49" s="45"/>
      <c r="F49" s="45"/>
      <c r="G49" s="45"/>
      <c r="H49" s="45"/>
      <c r="I49" s="45"/>
      <c r="J49" s="45"/>
      <c r="K49" s="224">
        <f t="shared" si="0"/>
        <v>52000</v>
      </c>
      <c r="L49" s="252">
        <f t="shared" si="1"/>
        <v>59000</v>
      </c>
      <c r="M49" s="268">
        <f t="shared" si="2"/>
        <v>54000</v>
      </c>
    </row>
    <row r="50" spans="1:13" ht="12.75">
      <c r="A50" s="225" t="s">
        <v>260</v>
      </c>
      <c r="B50" s="224"/>
      <c r="C50" s="45"/>
      <c r="D50" s="45">
        <v>473374</v>
      </c>
      <c r="E50" s="45"/>
      <c r="F50" s="45"/>
      <c r="G50" s="45"/>
      <c r="H50" s="45"/>
      <c r="I50" s="45"/>
      <c r="J50" s="45"/>
      <c r="K50" s="224">
        <f t="shared" si="0"/>
        <v>0</v>
      </c>
      <c r="L50" s="252">
        <f t="shared" si="1"/>
        <v>0</v>
      </c>
      <c r="M50" s="268">
        <f t="shared" si="2"/>
        <v>473374</v>
      </c>
    </row>
    <row r="51" spans="1:13" ht="12.75">
      <c r="A51" s="225" t="s">
        <v>603</v>
      </c>
      <c r="B51" s="224"/>
      <c r="C51" s="45"/>
      <c r="D51" s="45"/>
      <c r="E51" s="45"/>
      <c r="F51" s="45"/>
      <c r="G51" s="45"/>
      <c r="H51" s="45"/>
      <c r="I51" s="45"/>
      <c r="J51" s="45"/>
      <c r="K51" s="224">
        <f t="shared" si="0"/>
        <v>0</v>
      </c>
      <c r="L51" s="252">
        <f t="shared" si="1"/>
        <v>0</v>
      </c>
      <c r="M51" s="268">
        <f t="shared" si="2"/>
        <v>0</v>
      </c>
    </row>
    <row r="52" spans="1:13" ht="12.75">
      <c r="A52" s="225" t="s">
        <v>416</v>
      </c>
      <c r="B52" s="224">
        <v>100000</v>
      </c>
      <c r="C52" s="45">
        <v>113307</v>
      </c>
      <c r="D52" s="45">
        <v>113307</v>
      </c>
      <c r="E52" s="45"/>
      <c r="F52" s="45">
        <v>17607</v>
      </c>
      <c r="G52" s="45">
        <v>17607</v>
      </c>
      <c r="H52" s="45"/>
      <c r="I52" s="45">
        <v>39587</v>
      </c>
      <c r="J52" s="45">
        <v>39587</v>
      </c>
      <c r="K52" s="224">
        <f t="shared" si="0"/>
        <v>100000</v>
      </c>
      <c r="L52" s="252">
        <f t="shared" si="1"/>
        <v>170501</v>
      </c>
      <c r="M52" s="268">
        <f t="shared" si="2"/>
        <v>170501</v>
      </c>
    </row>
    <row r="53" spans="1:13" ht="12.75">
      <c r="A53" s="226" t="s">
        <v>242</v>
      </c>
      <c r="B53" s="227"/>
      <c r="C53" s="228"/>
      <c r="D53" s="228"/>
      <c r="E53" s="228"/>
      <c r="F53" s="228"/>
      <c r="G53" s="228"/>
      <c r="H53" s="228"/>
      <c r="I53" s="228"/>
      <c r="J53" s="228"/>
      <c r="K53" s="224">
        <f t="shared" si="0"/>
        <v>0</v>
      </c>
      <c r="L53" s="252">
        <f t="shared" si="1"/>
        <v>0</v>
      </c>
      <c r="M53" s="268">
        <f t="shared" si="2"/>
        <v>0</v>
      </c>
    </row>
    <row r="54" spans="1:13" ht="12.75">
      <c r="A54" s="226" t="s">
        <v>54</v>
      </c>
      <c r="B54" s="227"/>
      <c r="C54" s="228"/>
      <c r="D54" s="228"/>
      <c r="E54" s="228"/>
      <c r="F54" s="228"/>
      <c r="G54" s="228"/>
      <c r="H54" s="228"/>
      <c r="I54" s="228"/>
      <c r="J54" s="228"/>
      <c r="K54" s="224">
        <f t="shared" si="0"/>
        <v>0</v>
      </c>
      <c r="L54" s="252">
        <f t="shared" si="1"/>
        <v>0</v>
      </c>
      <c r="M54" s="268">
        <f t="shared" si="2"/>
        <v>0</v>
      </c>
    </row>
    <row r="55" spans="1:13" ht="12.75">
      <c r="A55" s="226" t="s">
        <v>40</v>
      </c>
      <c r="B55" s="227"/>
      <c r="C55" s="228"/>
      <c r="D55" s="228"/>
      <c r="E55" s="228"/>
      <c r="F55" s="228"/>
      <c r="G55" s="228"/>
      <c r="H55" s="228"/>
      <c r="I55" s="228"/>
      <c r="J55" s="228"/>
      <c r="K55" s="224">
        <f t="shared" si="0"/>
        <v>0</v>
      </c>
      <c r="L55" s="252">
        <f t="shared" si="1"/>
        <v>0</v>
      </c>
      <c r="M55" s="268">
        <f t="shared" si="2"/>
        <v>0</v>
      </c>
    </row>
    <row r="56" spans="1:13" ht="12.75">
      <c r="A56" s="226" t="s">
        <v>38</v>
      </c>
      <c r="B56" s="227"/>
      <c r="C56" s="228">
        <v>2200000</v>
      </c>
      <c r="D56" s="228">
        <v>2300000</v>
      </c>
      <c r="E56" s="228"/>
      <c r="F56" s="228"/>
      <c r="G56" s="228"/>
      <c r="H56" s="228"/>
      <c r="I56" s="228"/>
      <c r="J56" s="228"/>
      <c r="K56" s="224">
        <f t="shared" si="0"/>
        <v>0</v>
      </c>
      <c r="L56" s="252">
        <f t="shared" si="1"/>
        <v>2200000</v>
      </c>
      <c r="M56" s="268">
        <f t="shared" si="2"/>
        <v>2300000</v>
      </c>
    </row>
    <row r="57" spans="1:13" ht="13.5" thickBot="1">
      <c r="A57" s="229" t="s">
        <v>112</v>
      </c>
      <c r="B57" s="230">
        <f aca="true" t="shared" si="9" ref="B57:J57">SUM(B28+B36+B44+B48+B49+B50+B51+B52+B53+B54+B55+B56)</f>
        <v>6221470</v>
      </c>
      <c r="C57" s="230">
        <f t="shared" si="9"/>
        <v>6418576</v>
      </c>
      <c r="D57" s="230">
        <f t="shared" si="9"/>
        <v>7116495</v>
      </c>
      <c r="E57" s="230">
        <f t="shared" si="9"/>
        <v>118248</v>
      </c>
      <c r="F57" s="230">
        <f t="shared" si="9"/>
        <v>164810</v>
      </c>
      <c r="G57" s="230">
        <f t="shared" si="9"/>
        <v>178778</v>
      </c>
      <c r="H57" s="230">
        <f t="shared" si="9"/>
        <v>810826</v>
      </c>
      <c r="I57" s="230">
        <f t="shared" si="9"/>
        <v>815589</v>
      </c>
      <c r="J57" s="230">
        <f t="shared" si="9"/>
        <v>816189</v>
      </c>
      <c r="K57" s="230">
        <f t="shared" si="0"/>
        <v>7150544</v>
      </c>
      <c r="L57" s="253">
        <f t="shared" si="1"/>
        <v>7398975</v>
      </c>
      <c r="M57" s="269">
        <f t="shared" si="2"/>
        <v>8111462</v>
      </c>
    </row>
    <row r="58" spans="1:11" ht="13.5" thickTop="1">
      <c r="A58" s="211"/>
      <c r="B58" s="211"/>
      <c r="C58" s="211"/>
      <c r="D58" s="211"/>
      <c r="E58" s="211"/>
      <c r="F58" s="211"/>
      <c r="G58" s="211"/>
      <c r="H58" s="211"/>
      <c r="I58" s="211"/>
      <c r="J58" s="211"/>
      <c r="K58" s="211"/>
    </row>
  </sheetData>
  <mergeCells count="5">
    <mergeCell ref="A2:M2"/>
    <mergeCell ref="B4:D4"/>
    <mergeCell ref="E4:G4"/>
    <mergeCell ref="H4:J4"/>
    <mergeCell ref="K4:M4"/>
  </mergeCells>
  <printOptions/>
  <pageMargins left="0.24" right="0.25" top="0.22" bottom="0.24" header="0.17" footer="0.17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73"/>
  <sheetViews>
    <sheetView workbookViewId="0" topLeftCell="E31">
      <selection activeCell="F42" sqref="F42"/>
    </sheetView>
  </sheetViews>
  <sheetFormatPr defaultColWidth="9.00390625" defaultRowHeight="25.5" customHeight="1"/>
  <cols>
    <col min="1" max="1" width="0.12890625" style="4" hidden="1" customWidth="1"/>
    <col min="2" max="2" width="0" style="4" hidden="1" customWidth="1"/>
    <col min="3" max="3" width="46.625" style="4" customWidth="1"/>
    <col min="4" max="5" width="11.00390625" style="4" customWidth="1"/>
    <col min="6" max="6" width="11.25390625" style="4" customWidth="1"/>
    <col min="7" max="8" width="11.00390625" style="4" customWidth="1"/>
    <col min="9" max="9" width="11.375" style="4" customWidth="1"/>
    <col min="10" max="11" width="11.00390625" style="4" customWidth="1"/>
    <col min="12" max="12" width="11.375" style="4" customWidth="1"/>
    <col min="13" max="14" width="11.00390625" style="4" customWidth="1"/>
    <col min="15" max="15" width="11.625" style="4" customWidth="1"/>
    <col min="16" max="16384" width="9.125" style="4" customWidth="1"/>
  </cols>
  <sheetData>
    <row r="1" spans="3:6" s="1" customFormat="1" ht="13.5" customHeight="1">
      <c r="C1" s="2" t="s">
        <v>381</v>
      </c>
      <c r="D1" s="3"/>
      <c r="E1" s="3"/>
      <c r="F1" s="3"/>
    </row>
    <row r="2" s="1" customFormat="1" ht="12.75"/>
    <row r="3" spans="3:15" s="1" customFormat="1" ht="18" customHeight="1">
      <c r="C3" s="635" t="s">
        <v>64</v>
      </c>
      <c r="D3" s="663"/>
      <c r="E3" s="663"/>
      <c r="F3" s="663"/>
      <c r="G3" s="663"/>
      <c r="H3" s="663"/>
      <c r="I3" s="663"/>
      <c r="J3" s="663"/>
      <c r="K3" s="663"/>
      <c r="L3" s="663"/>
      <c r="M3" s="664"/>
      <c r="N3" s="664"/>
      <c r="O3" s="664"/>
    </row>
    <row r="4" spans="3:15" s="1" customFormat="1" ht="18" customHeight="1">
      <c r="C4" s="636" t="s">
        <v>235</v>
      </c>
      <c r="D4" s="636"/>
      <c r="E4" s="636"/>
      <c r="F4" s="636"/>
      <c r="G4" s="636"/>
      <c r="H4" s="636"/>
      <c r="I4" s="636"/>
      <c r="J4" s="636"/>
      <c r="K4" s="636"/>
      <c r="L4" s="636"/>
      <c r="M4" s="664"/>
      <c r="N4" s="664"/>
      <c r="O4" s="664"/>
    </row>
    <row r="5" spans="3:13" s="1" customFormat="1" ht="18" customHeight="1">
      <c r="C5" s="637"/>
      <c r="D5" s="623"/>
      <c r="E5" s="623"/>
      <c r="F5" s="623"/>
      <c r="G5" s="623"/>
      <c r="H5" s="623"/>
      <c r="I5" s="623"/>
      <c r="J5" s="623"/>
      <c r="K5" s="623"/>
      <c r="L5" s="623"/>
      <c r="M5" s="623"/>
    </row>
    <row r="6" spans="3:12" s="1" customFormat="1" ht="18" customHeight="1" thickBot="1"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27" ht="56.25" customHeight="1" thickTop="1">
      <c r="A7" s="18"/>
      <c r="B7" s="17"/>
      <c r="C7" s="43" t="s">
        <v>382</v>
      </c>
      <c r="D7" s="641" t="s">
        <v>483</v>
      </c>
      <c r="E7" s="628"/>
      <c r="F7" s="631"/>
      <c r="G7" s="641" t="s">
        <v>379</v>
      </c>
      <c r="H7" s="628"/>
      <c r="I7" s="631"/>
      <c r="J7" s="641" t="s">
        <v>346</v>
      </c>
      <c r="K7" s="630"/>
      <c r="L7" s="631"/>
      <c r="M7" s="624" t="s">
        <v>383</v>
      </c>
      <c r="N7" s="633"/>
      <c r="O7" s="634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s="6" customFormat="1" ht="15" customHeight="1">
      <c r="A8" s="19"/>
      <c r="B8" s="20"/>
      <c r="C8" s="44"/>
      <c r="D8" s="57" t="s">
        <v>352</v>
      </c>
      <c r="E8" s="57" t="s">
        <v>59</v>
      </c>
      <c r="F8" s="57" t="s">
        <v>259</v>
      </c>
      <c r="G8" s="57" t="s">
        <v>352</v>
      </c>
      <c r="H8" s="57" t="s">
        <v>59</v>
      </c>
      <c r="I8" s="57" t="s">
        <v>259</v>
      </c>
      <c r="J8" s="57" t="s">
        <v>352</v>
      </c>
      <c r="K8" s="57" t="s">
        <v>59</v>
      </c>
      <c r="L8" s="57" t="s">
        <v>259</v>
      </c>
      <c r="M8" s="184" t="s">
        <v>357</v>
      </c>
      <c r="N8" s="57" t="s">
        <v>59</v>
      </c>
      <c r="O8" s="513" t="s">
        <v>259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s="8" customFormat="1" ht="15" customHeight="1">
      <c r="A9" s="21"/>
      <c r="B9" s="22"/>
      <c r="C9" s="49" t="s">
        <v>384</v>
      </c>
      <c r="D9" s="58">
        <v>458904</v>
      </c>
      <c r="E9" s="59">
        <v>488297</v>
      </c>
      <c r="F9" s="59">
        <v>523099</v>
      </c>
      <c r="G9" s="59">
        <v>875822</v>
      </c>
      <c r="H9" s="59">
        <v>922064</v>
      </c>
      <c r="I9" s="59">
        <v>924672</v>
      </c>
      <c r="J9" s="59">
        <v>392435</v>
      </c>
      <c r="K9" s="59">
        <v>407703</v>
      </c>
      <c r="L9" s="59">
        <v>411727</v>
      </c>
      <c r="M9" s="45">
        <f aca="true" t="shared" si="0" ref="M9:M40">SUM(D9+G9+J9)</f>
        <v>1727161</v>
      </c>
      <c r="N9" s="45">
        <f>SUM(E9+H9+K9)</f>
        <v>1818064</v>
      </c>
      <c r="O9" s="267">
        <f>SUM(F9+I9+L9)</f>
        <v>1859498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s="8" customFormat="1" ht="15" customHeight="1">
      <c r="A10" s="21"/>
      <c r="B10" s="22"/>
      <c r="C10" s="26" t="s">
        <v>385</v>
      </c>
      <c r="D10" s="48">
        <v>144793</v>
      </c>
      <c r="E10" s="47">
        <v>153034</v>
      </c>
      <c r="F10" s="47">
        <v>158425</v>
      </c>
      <c r="G10" s="47">
        <v>276044</v>
      </c>
      <c r="H10" s="47">
        <v>290639</v>
      </c>
      <c r="I10" s="47">
        <v>284757</v>
      </c>
      <c r="J10" s="47">
        <v>124700</v>
      </c>
      <c r="K10" s="47">
        <v>120453</v>
      </c>
      <c r="L10" s="47">
        <v>116857</v>
      </c>
      <c r="M10" s="45">
        <f t="shared" si="0"/>
        <v>545537</v>
      </c>
      <c r="N10" s="45">
        <f aca="true" t="shared" si="1" ref="N10:N40">SUM(E10+H10+K10)</f>
        <v>564126</v>
      </c>
      <c r="O10" s="267">
        <f aca="true" t="shared" si="2" ref="O10:O40">SUM(F10+I10+L10)</f>
        <v>560039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15" customHeight="1">
      <c r="A11" s="18"/>
      <c r="B11" s="17"/>
      <c r="C11" s="10" t="s">
        <v>386</v>
      </c>
      <c r="D11" s="61">
        <v>697056</v>
      </c>
      <c r="E11" s="62">
        <v>748473</v>
      </c>
      <c r="F11" s="62">
        <v>796052</v>
      </c>
      <c r="G11" s="62">
        <v>357163</v>
      </c>
      <c r="H11" s="62">
        <v>404684</v>
      </c>
      <c r="I11" s="62">
        <v>427168</v>
      </c>
      <c r="J11" s="62">
        <v>293691</v>
      </c>
      <c r="K11" s="62">
        <v>294411</v>
      </c>
      <c r="L11" s="62">
        <v>295011</v>
      </c>
      <c r="M11" s="220">
        <f t="shared" si="0"/>
        <v>1347910</v>
      </c>
      <c r="N11" s="220">
        <f t="shared" si="1"/>
        <v>1447568</v>
      </c>
      <c r="O11" s="359">
        <f t="shared" si="2"/>
        <v>1518231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" customHeight="1">
      <c r="A12" s="18"/>
      <c r="B12" s="17"/>
      <c r="C12" s="10" t="s">
        <v>387</v>
      </c>
      <c r="D12" s="61">
        <v>133031</v>
      </c>
      <c r="E12" s="62">
        <v>133031</v>
      </c>
      <c r="F12" s="62">
        <v>133031</v>
      </c>
      <c r="G12" s="62"/>
      <c r="H12" s="62"/>
      <c r="I12" s="62"/>
      <c r="J12" s="62"/>
      <c r="K12" s="62"/>
      <c r="L12" s="62"/>
      <c r="M12" s="220">
        <f t="shared" si="0"/>
        <v>133031</v>
      </c>
      <c r="N12" s="220">
        <f t="shared" si="1"/>
        <v>133031</v>
      </c>
      <c r="O12" s="359">
        <f t="shared" si="2"/>
        <v>133031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s="8" customFormat="1" ht="15" customHeight="1">
      <c r="A13" s="21"/>
      <c r="B13" s="22"/>
      <c r="C13" s="63" t="s">
        <v>481</v>
      </c>
      <c r="D13" s="60">
        <f aca="true" t="shared" si="3" ref="D13:L13">SUM(D11+D12)</f>
        <v>830087</v>
      </c>
      <c r="E13" s="60">
        <f>SUM(E11:E12)</f>
        <v>881504</v>
      </c>
      <c r="F13" s="60">
        <f>SUM(F11:F12)</f>
        <v>929083</v>
      </c>
      <c r="G13" s="48">
        <f t="shared" si="3"/>
        <v>357163</v>
      </c>
      <c r="H13" s="48">
        <f t="shared" si="3"/>
        <v>404684</v>
      </c>
      <c r="I13" s="48">
        <f t="shared" si="3"/>
        <v>427168</v>
      </c>
      <c r="J13" s="48">
        <f t="shared" si="3"/>
        <v>293691</v>
      </c>
      <c r="K13" s="48">
        <f t="shared" si="3"/>
        <v>294411</v>
      </c>
      <c r="L13" s="48">
        <f t="shared" si="3"/>
        <v>295011</v>
      </c>
      <c r="M13" s="45">
        <f t="shared" si="0"/>
        <v>1480941</v>
      </c>
      <c r="N13" s="45">
        <f t="shared" si="1"/>
        <v>1580599</v>
      </c>
      <c r="O13" s="267">
        <f t="shared" si="2"/>
        <v>1651262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s="8" customFormat="1" ht="15" customHeight="1">
      <c r="A14" s="21"/>
      <c r="B14" s="22"/>
      <c r="C14" s="64" t="s">
        <v>335</v>
      </c>
      <c r="D14" s="60">
        <f aca="true" t="shared" si="4" ref="D14:L14">SUM(D15:D16)</f>
        <v>415973</v>
      </c>
      <c r="E14" s="60">
        <f>SUM(E15:E16)</f>
        <v>574511</v>
      </c>
      <c r="F14" s="60">
        <f t="shared" si="4"/>
        <v>605671</v>
      </c>
      <c r="G14" s="60">
        <f t="shared" si="4"/>
        <v>0</v>
      </c>
      <c r="H14" s="60">
        <f>SUM(H15:H16)</f>
        <v>0</v>
      </c>
      <c r="I14" s="60">
        <f t="shared" si="4"/>
        <v>0</v>
      </c>
      <c r="J14" s="60">
        <f t="shared" si="4"/>
        <v>0</v>
      </c>
      <c r="K14" s="60">
        <f>SUM(K15:K16)</f>
        <v>1474</v>
      </c>
      <c r="L14" s="60">
        <f t="shared" si="4"/>
        <v>1474</v>
      </c>
      <c r="M14" s="45">
        <f t="shared" si="0"/>
        <v>415973</v>
      </c>
      <c r="N14" s="45">
        <f t="shared" si="1"/>
        <v>575985</v>
      </c>
      <c r="O14" s="267">
        <f t="shared" si="2"/>
        <v>607145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5" customHeight="1">
      <c r="A15" s="18"/>
      <c r="B15" s="17"/>
      <c r="C15" s="65" t="s">
        <v>388</v>
      </c>
      <c r="D15" s="61">
        <v>218870</v>
      </c>
      <c r="E15" s="62">
        <v>278390</v>
      </c>
      <c r="F15" s="62">
        <v>297550</v>
      </c>
      <c r="G15" s="62"/>
      <c r="H15" s="62"/>
      <c r="I15" s="62"/>
      <c r="J15" s="62"/>
      <c r="K15" s="62">
        <v>1474</v>
      </c>
      <c r="L15" s="62">
        <v>1474</v>
      </c>
      <c r="M15" s="220">
        <f t="shared" si="0"/>
        <v>218870</v>
      </c>
      <c r="N15" s="220">
        <f t="shared" si="1"/>
        <v>279864</v>
      </c>
      <c r="O15" s="359">
        <f t="shared" si="2"/>
        <v>299024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" customHeight="1">
      <c r="A16" s="18"/>
      <c r="B16" s="17"/>
      <c r="C16" s="66" t="s">
        <v>389</v>
      </c>
      <c r="D16" s="61">
        <v>197103</v>
      </c>
      <c r="E16" s="62">
        <v>296121</v>
      </c>
      <c r="F16" s="62">
        <v>308121</v>
      </c>
      <c r="G16" s="62"/>
      <c r="H16" s="62"/>
      <c r="I16" s="62"/>
      <c r="J16" s="62"/>
      <c r="K16" s="62"/>
      <c r="L16" s="62"/>
      <c r="M16" s="220">
        <f t="shared" si="0"/>
        <v>197103</v>
      </c>
      <c r="N16" s="220">
        <f t="shared" si="1"/>
        <v>296121</v>
      </c>
      <c r="O16" s="359">
        <f t="shared" si="2"/>
        <v>308121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s="8" customFormat="1" ht="15" customHeight="1">
      <c r="A17" s="21"/>
      <c r="B17" s="22"/>
      <c r="C17" s="26" t="s">
        <v>390</v>
      </c>
      <c r="D17" s="48">
        <v>159000</v>
      </c>
      <c r="E17" s="47">
        <v>160373</v>
      </c>
      <c r="F17" s="47">
        <v>163626</v>
      </c>
      <c r="G17" s="47"/>
      <c r="H17" s="47"/>
      <c r="I17" s="47"/>
      <c r="J17" s="47"/>
      <c r="K17" s="47"/>
      <c r="L17" s="47"/>
      <c r="M17" s="45">
        <f t="shared" si="0"/>
        <v>159000</v>
      </c>
      <c r="N17" s="45">
        <f t="shared" si="1"/>
        <v>160373</v>
      </c>
      <c r="O17" s="267">
        <f t="shared" si="2"/>
        <v>163626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s="8" customFormat="1" ht="15" customHeight="1">
      <c r="A18" s="21"/>
      <c r="B18" s="22"/>
      <c r="C18" s="26" t="s">
        <v>391</v>
      </c>
      <c r="D18" s="48"/>
      <c r="E18" s="47"/>
      <c r="F18" s="47"/>
      <c r="G18" s="47">
        <v>8883</v>
      </c>
      <c r="H18" s="47">
        <v>9603</v>
      </c>
      <c r="I18" s="47">
        <v>8529</v>
      </c>
      <c r="J18" s="47"/>
      <c r="K18" s="47"/>
      <c r="L18" s="47"/>
      <c r="M18" s="45">
        <f t="shared" si="0"/>
        <v>8883</v>
      </c>
      <c r="N18" s="45">
        <f t="shared" si="1"/>
        <v>9603</v>
      </c>
      <c r="O18" s="267">
        <f t="shared" si="2"/>
        <v>8529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s="8" customFormat="1" ht="15" customHeight="1">
      <c r="A19" s="21"/>
      <c r="B19" s="22"/>
      <c r="C19" s="26" t="s">
        <v>234</v>
      </c>
      <c r="D19" s="48">
        <v>182906</v>
      </c>
      <c r="E19" s="47">
        <v>369223</v>
      </c>
      <c r="F19" s="47">
        <v>395634</v>
      </c>
      <c r="G19" s="47">
        <v>41850</v>
      </c>
      <c r="H19" s="47">
        <v>41550</v>
      </c>
      <c r="I19" s="47">
        <v>41670</v>
      </c>
      <c r="J19" s="47"/>
      <c r="K19" s="47">
        <v>2471</v>
      </c>
      <c r="L19" s="47">
        <v>9471</v>
      </c>
      <c r="M19" s="45">
        <f t="shared" si="0"/>
        <v>224756</v>
      </c>
      <c r="N19" s="45">
        <f t="shared" si="1"/>
        <v>413244</v>
      </c>
      <c r="O19" s="267">
        <f t="shared" si="2"/>
        <v>446775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s="8" customFormat="1" ht="15" customHeight="1" thickBot="1">
      <c r="A20" s="23"/>
      <c r="B20" s="24"/>
      <c r="C20" s="26" t="s">
        <v>392</v>
      </c>
      <c r="D20" s="48">
        <v>1076859</v>
      </c>
      <c r="E20" s="47">
        <v>1274715</v>
      </c>
      <c r="F20" s="47">
        <v>1995300</v>
      </c>
      <c r="G20" s="47">
        <v>3030</v>
      </c>
      <c r="H20" s="47">
        <v>20630</v>
      </c>
      <c r="I20" s="47">
        <v>28112</v>
      </c>
      <c r="J20" s="47">
        <v>11000</v>
      </c>
      <c r="K20" s="47">
        <v>15048</v>
      </c>
      <c r="L20" s="47">
        <v>8348</v>
      </c>
      <c r="M20" s="45">
        <f t="shared" si="0"/>
        <v>1090889</v>
      </c>
      <c r="N20" s="45">
        <f t="shared" si="1"/>
        <v>1310393</v>
      </c>
      <c r="O20" s="267">
        <f t="shared" si="2"/>
        <v>2031760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s="8" customFormat="1" ht="15" customHeight="1">
      <c r="A21" s="25"/>
      <c r="B21" s="25"/>
      <c r="C21" s="26" t="s">
        <v>782</v>
      </c>
      <c r="D21" s="60">
        <f>SUM(D22:D24)</f>
        <v>8500</v>
      </c>
      <c r="E21" s="60">
        <f>SUM(E22:E23)</f>
        <v>8500</v>
      </c>
      <c r="F21" s="60">
        <f>SUM(F22:F23)</f>
        <v>8500</v>
      </c>
      <c r="G21" s="48"/>
      <c r="H21" s="48"/>
      <c r="I21" s="48"/>
      <c r="J21" s="48"/>
      <c r="K21" s="47"/>
      <c r="L21" s="47"/>
      <c r="M21" s="45">
        <f t="shared" si="0"/>
        <v>8500</v>
      </c>
      <c r="N21" s="45">
        <f t="shared" si="1"/>
        <v>8500</v>
      </c>
      <c r="O21" s="267">
        <f t="shared" si="2"/>
        <v>8500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s="8" customFormat="1" ht="15" customHeight="1">
      <c r="A22" s="25"/>
      <c r="B22" s="25"/>
      <c r="C22" s="10" t="s">
        <v>178</v>
      </c>
      <c r="D22" s="61">
        <v>6000</v>
      </c>
      <c r="E22" s="62">
        <v>6000</v>
      </c>
      <c r="F22" s="62">
        <v>6000</v>
      </c>
      <c r="G22" s="62"/>
      <c r="H22" s="62"/>
      <c r="I22" s="62"/>
      <c r="J22" s="62"/>
      <c r="K22" s="62"/>
      <c r="L22" s="62"/>
      <c r="M22" s="220">
        <f t="shared" si="0"/>
        <v>6000</v>
      </c>
      <c r="N22" s="220">
        <f t="shared" si="1"/>
        <v>6000</v>
      </c>
      <c r="O22" s="359">
        <f t="shared" si="2"/>
        <v>6000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s="8" customFormat="1" ht="15" customHeight="1">
      <c r="A23" s="25"/>
      <c r="B23" s="25"/>
      <c r="C23" s="10" t="s">
        <v>179</v>
      </c>
      <c r="D23" s="61">
        <v>2500</v>
      </c>
      <c r="E23" s="62">
        <v>2500</v>
      </c>
      <c r="F23" s="62">
        <v>2500</v>
      </c>
      <c r="G23" s="62"/>
      <c r="H23" s="62"/>
      <c r="I23" s="62"/>
      <c r="J23" s="62"/>
      <c r="K23" s="62"/>
      <c r="L23" s="62"/>
      <c r="M23" s="220">
        <f t="shared" si="0"/>
        <v>2500</v>
      </c>
      <c r="N23" s="220">
        <f t="shared" si="1"/>
        <v>2500</v>
      </c>
      <c r="O23" s="359">
        <f t="shared" si="2"/>
        <v>2500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s="8" customFormat="1" ht="15" customHeight="1">
      <c r="A24" s="25"/>
      <c r="B24" s="25"/>
      <c r="C24" s="26" t="s">
        <v>14</v>
      </c>
      <c r="D24" s="48">
        <f>SUM(D25:D27)</f>
        <v>0</v>
      </c>
      <c r="E24" s="48">
        <f>SUM(E25:E27)</f>
        <v>32000</v>
      </c>
      <c r="F24" s="48">
        <f>SUM(F25:F27)</f>
        <v>32000</v>
      </c>
      <c r="G24" s="62"/>
      <c r="H24" s="62"/>
      <c r="I24" s="62"/>
      <c r="J24" s="62"/>
      <c r="K24" s="62"/>
      <c r="L24" s="62"/>
      <c r="M24" s="45">
        <f t="shared" si="0"/>
        <v>0</v>
      </c>
      <c r="N24" s="45">
        <f t="shared" si="1"/>
        <v>32000</v>
      </c>
      <c r="O24" s="267">
        <f t="shared" si="2"/>
        <v>32000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s="8" customFormat="1" ht="15" customHeight="1">
      <c r="A25" s="25"/>
      <c r="B25" s="25"/>
      <c r="C25" s="10" t="s">
        <v>15</v>
      </c>
      <c r="D25" s="61"/>
      <c r="E25" s="62">
        <v>2000</v>
      </c>
      <c r="F25" s="62">
        <v>2000</v>
      </c>
      <c r="G25" s="62"/>
      <c r="H25" s="62"/>
      <c r="I25" s="62"/>
      <c r="J25" s="62"/>
      <c r="K25" s="62"/>
      <c r="L25" s="62"/>
      <c r="M25" s="220">
        <f t="shared" si="0"/>
        <v>0</v>
      </c>
      <c r="N25" s="220">
        <f t="shared" si="1"/>
        <v>2000</v>
      </c>
      <c r="O25" s="359">
        <f t="shared" si="2"/>
        <v>2000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s="8" customFormat="1" ht="15" customHeight="1">
      <c r="A26" s="25"/>
      <c r="B26" s="25"/>
      <c r="C26" s="10" t="s">
        <v>16</v>
      </c>
      <c r="D26" s="61"/>
      <c r="E26" s="62">
        <v>5000</v>
      </c>
      <c r="F26" s="62">
        <v>5000</v>
      </c>
      <c r="G26" s="62"/>
      <c r="H26" s="62"/>
      <c r="I26" s="62"/>
      <c r="J26" s="62"/>
      <c r="K26" s="62"/>
      <c r="L26" s="62"/>
      <c r="M26" s="220">
        <f t="shared" si="0"/>
        <v>0</v>
      </c>
      <c r="N26" s="220">
        <f t="shared" si="1"/>
        <v>5000</v>
      </c>
      <c r="O26" s="359">
        <f t="shared" si="2"/>
        <v>5000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s="8" customFormat="1" ht="15" customHeight="1">
      <c r="A27" s="25"/>
      <c r="B27" s="25"/>
      <c r="C27" s="10" t="s">
        <v>709</v>
      </c>
      <c r="D27" s="61"/>
      <c r="E27" s="62">
        <v>25000</v>
      </c>
      <c r="F27" s="62">
        <v>25000</v>
      </c>
      <c r="G27" s="62"/>
      <c r="H27" s="62"/>
      <c r="I27" s="62"/>
      <c r="J27" s="62"/>
      <c r="K27" s="62"/>
      <c r="L27" s="62"/>
      <c r="M27" s="220">
        <f t="shared" si="0"/>
        <v>0</v>
      </c>
      <c r="N27" s="220">
        <f t="shared" si="1"/>
        <v>25000</v>
      </c>
      <c r="O27" s="359">
        <f t="shared" si="2"/>
        <v>25000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s="8" customFormat="1" ht="15" customHeight="1">
      <c r="A28" s="25"/>
      <c r="B28" s="25"/>
      <c r="C28" s="26" t="s">
        <v>333</v>
      </c>
      <c r="D28" s="48">
        <v>17973</v>
      </c>
      <c r="E28" s="47">
        <v>14612</v>
      </c>
      <c r="F28" s="47">
        <v>14612</v>
      </c>
      <c r="G28" s="47"/>
      <c r="H28" s="47"/>
      <c r="I28" s="47"/>
      <c r="J28" s="47"/>
      <c r="K28" s="47"/>
      <c r="L28" s="47"/>
      <c r="M28" s="45">
        <f t="shared" si="0"/>
        <v>17973</v>
      </c>
      <c r="N28" s="45">
        <f t="shared" si="1"/>
        <v>14612</v>
      </c>
      <c r="O28" s="267">
        <f t="shared" si="2"/>
        <v>14612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s="8" customFormat="1" ht="15" customHeight="1">
      <c r="A29" s="25"/>
      <c r="B29" s="25"/>
      <c r="C29" s="67" t="s">
        <v>206</v>
      </c>
      <c r="D29" s="48"/>
      <c r="E29" s="47"/>
      <c r="F29" s="47"/>
      <c r="G29" s="47"/>
      <c r="H29" s="47"/>
      <c r="I29" s="47"/>
      <c r="J29" s="47"/>
      <c r="K29" s="47"/>
      <c r="L29" s="47"/>
      <c r="M29" s="45">
        <f t="shared" si="0"/>
        <v>0</v>
      </c>
      <c r="N29" s="45">
        <f t="shared" si="1"/>
        <v>0</v>
      </c>
      <c r="O29" s="267">
        <f t="shared" si="2"/>
        <v>0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s="8" customFormat="1" ht="15" customHeight="1">
      <c r="A30" s="25"/>
      <c r="B30" s="25"/>
      <c r="C30" s="67" t="s">
        <v>417</v>
      </c>
      <c r="D30" s="60">
        <f>SUM(D31:D37)</f>
        <v>1470931</v>
      </c>
      <c r="E30" s="60">
        <f>SUM(E31:E37)</f>
        <v>907335</v>
      </c>
      <c r="F30" s="60">
        <f>SUM(F31:F37)</f>
        <v>720205</v>
      </c>
      <c r="G30" s="60"/>
      <c r="H30" s="60"/>
      <c r="I30" s="60"/>
      <c r="J30" s="60"/>
      <c r="K30" s="255"/>
      <c r="L30" s="255"/>
      <c r="M30" s="45">
        <f t="shared" si="0"/>
        <v>1470931</v>
      </c>
      <c r="N30" s="45">
        <f t="shared" si="1"/>
        <v>907335</v>
      </c>
      <c r="O30" s="267">
        <f t="shared" si="2"/>
        <v>720205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s="8" customFormat="1" ht="15.75" customHeight="1">
      <c r="A31" s="25"/>
      <c r="B31" s="25"/>
      <c r="C31" s="10" t="s">
        <v>467</v>
      </c>
      <c r="D31" s="61">
        <v>8000</v>
      </c>
      <c r="E31" s="62">
        <v>22602</v>
      </c>
      <c r="F31" s="62">
        <v>20000</v>
      </c>
      <c r="G31" s="47"/>
      <c r="H31" s="47"/>
      <c r="I31" s="47"/>
      <c r="J31" s="47"/>
      <c r="K31" s="47"/>
      <c r="L31" s="47"/>
      <c r="M31" s="220">
        <f t="shared" si="0"/>
        <v>8000</v>
      </c>
      <c r="N31" s="220">
        <f t="shared" si="1"/>
        <v>22602</v>
      </c>
      <c r="O31" s="359">
        <f t="shared" si="2"/>
        <v>20000</v>
      </c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s="8" customFormat="1" ht="15" customHeight="1">
      <c r="A32" s="25"/>
      <c r="B32" s="25"/>
      <c r="C32" s="10" t="s">
        <v>376</v>
      </c>
      <c r="D32" s="61">
        <v>100000</v>
      </c>
      <c r="E32" s="62">
        <v>75653</v>
      </c>
      <c r="F32" s="62">
        <v>36252</v>
      </c>
      <c r="G32" s="47"/>
      <c r="H32" s="47"/>
      <c r="I32" s="47"/>
      <c r="J32" s="47"/>
      <c r="K32" s="47"/>
      <c r="L32" s="47"/>
      <c r="M32" s="220">
        <f t="shared" si="0"/>
        <v>100000</v>
      </c>
      <c r="N32" s="220">
        <f t="shared" si="1"/>
        <v>75653</v>
      </c>
      <c r="O32" s="359">
        <f t="shared" si="2"/>
        <v>36252</v>
      </c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s="8" customFormat="1" ht="15" customHeight="1">
      <c r="A33" s="25"/>
      <c r="B33" s="25"/>
      <c r="C33" s="10" t="s">
        <v>149</v>
      </c>
      <c r="D33" s="46">
        <v>4800</v>
      </c>
      <c r="E33" s="254"/>
      <c r="F33" s="254"/>
      <c r="G33" s="69"/>
      <c r="H33" s="69"/>
      <c r="I33" s="69"/>
      <c r="J33" s="69"/>
      <c r="K33" s="69"/>
      <c r="L33" s="69"/>
      <c r="M33" s="220">
        <f t="shared" si="0"/>
        <v>4800</v>
      </c>
      <c r="N33" s="220">
        <f t="shared" si="1"/>
        <v>0</v>
      </c>
      <c r="O33" s="359">
        <f t="shared" si="2"/>
        <v>0</v>
      </c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s="8" customFormat="1" ht="15" customHeight="1">
      <c r="A34" s="25"/>
      <c r="B34" s="25"/>
      <c r="C34" s="10" t="s">
        <v>164</v>
      </c>
      <c r="D34" s="46">
        <v>38556</v>
      </c>
      <c r="E34" s="254"/>
      <c r="F34" s="254"/>
      <c r="G34" s="69"/>
      <c r="H34" s="69"/>
      <c r="I34" s="69"/>
      <c r="J34" s="69"/>
      <c r="K34" s="69"/>
      <c r="L34" s="69"/>
      <c r="M34" s="220">
        <f t="shared" si="0"/>
        <v>38556</v>
      </c>
      <c r="N34" s="220">
        <f t="shared" si="1"/>
        <v>0</v>
      </c>
      <c r="O34" s="359">
        <f t="shared" si="2"/>
        <v>0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s="8" customFormat="1" ht="15.75" customHeight="1">
      <c r="A35" s="25"/>
      <c r="B35" s="25"/>
      <c r="C35" s="68" t="s">
        <v>258</v>
      </c>
      <c r="D35" s="46">
        <v>1200000</v>
      </c>
      <c r="E35" s="254">
        <v>793991</v>
      </c>
      <c r="F35" s="254">
        <v>635061</v>
      </c>
      <c r="G35" s="69"/>
      <c r="H35" s="69"/>
      <c r="I35" s="69"/>
      <c r="J35" s="69"/>
      <c r="K35" s="69"/>
      <c r="L35" s="69"/>
      <c r="M35" s="220">
        <f t="shared" si="0"/>
        <v>1200000</v>
      </c>
      <c r="N35" s="220">
        <f t="shared" si="1"/>
        <v>793991</v>
      </c>
      <c r="O35" s="359">
        <f t="shared" si="2"/>
        <v>635061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s="8" customFormat="1" ht="15" customHeight="1">
      <c r="A36" s="25"/>
      <c r="B36" s="25"/>
      <c r="C36" s="115" t="s">
        <v>148</v>
      </c>
      <c r="D36" s="46">
        <v>50000</v>
      </c>
      <c r="E36" s="254">
        <v>117</v>
      </c>
      <c r="F36" s="254">
        <v>117</v>
      </c>
      <c r="G36" s="69"/>
      <c r="H36" s="69"/>
      <c r="I36" s="69"/>
      <c r="J36" s="69"/>
      <c r="K36" s="69"/>
      <c r="L36" s="69"/>
      <c r="M36" s="220">
        <f t="shared" si="0"/>
        <v>50000</v>
      </c>
      <c r="N36" s="220">
        <f t="shared" si="1"/>
        <v>117</v>
      </c>
      <c r="O36" s="359">
        <f t="shared" si="2"/>
        <v>117</v>
      </c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s="8" customFormat="1" ht="15" customHeight="1">
      <c r="A37" s="25"/>
      <c r="B37" s="25"/>
      <c r="C37" s="115" t="s">
        <v>256</v>
      </c>
      <c r="D37" s="46">
        <v>69575</v>
      </c>
      <c r="E37" s="254">
        <v>14972</v>
      </c>
      <c r="F37" s="254">
        <v>28775</v>
      </c>
      <c r="G37" s="69"/>
      <c r="H37" s="69"/>
      <c r="I37" s="69"/>
      <c r="J37" s="69"/>
      <c r="K37" s="69"/>
      <c r="L37" s="69"/>
      <c r="M37" s="220">
        <f t="shared" si="0"/>
        <v>69575</v>
      </c>
      <c r="N37" s="220">
        <f t="shared" si="1"/>
        <v>14972</v>
      </c>
      <c r="O37" s="359">
        <f t="shared" si="2"/>
        <v>28775</v>
      </c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s="8" customFormat="1" ht="15" customHeight="1">
      <c r="A38" s="25"/>
      <c r="B38" s="25"/>
      <c r="C38" s="361" t="s">
        <v>30</v>
      </c>
      <c r="D38" s="266"/>
      <c r="E38" s="69"/>
      <c r="F38" s="69"/>
      <c r="G38" s="69"/>
      <c r="H38" s="69"/>
      <c r="I38" s="69"/>
      <c r="J38" s="69"/>
      <c r="K38" s="69"/>
      <c r="L38" s="69"/>
      <c r="M38" s="45">
        <f t="shared" si="0"/>
        <v>0</v>
      </c>
      <c r="N38" s="45">
        <f t="shared" si="1"/>
        <v>0</v>
      </c>
      <c r="O38" s="267">
        <f t="shared" si="2"/>
        <v>0</v>
      </c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s="8" customFormat="1" ht="15" customHeight="1">
      <c r="A39" s="25"/>
      <c r="B39" s="25"/>
      <c r="C39" s="63" t="s">
        <v>28</v>
      </c>
      <c r="D39" s="48"/>
      <c r="E39" s="48"/>
      <c r="F39" s="48"/>
      <c r="G39" s="48"/>
      <c r="H39" s="48"/>
      <c r="I39" s="48"/>
      <c r="J39" s="48"/>
      <c r="K39" s="48"/>
      <c r="L39" s="48"/>
      <c r="M39" s="45">
        <f t="shared" si="0"/>
        <v>0</v>
      </c>
      <c r="N39" s="45">
        <f t="shared" si="1"/>
        <v>0</v>
      </c>
      <c r="O39" s="267">
        <f t="shared" si="2"/>
        <v>0</v>
      </c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s="8" customFormat="1" ht="15" customHeight="1">
      <c r="A40" s="25"/>
      <c r="B40" s="25"/>
      <c r="C40" s="64" t="s">
        <v>781</v>
      </c>
      <c r="D40" s="266">
        <v>0</v>
      </c>
      <c r="E40" s="69">
        <v>4141</v>
      </c>
      <c r="F40" s="69">
        <v>7511</v>
      </c>
      <c r="G40" s="69"/>
      <c r="H40" s="69"/>
      <c r="I40" s="69"/>
      <c r="J40" s="69"/>
      <c r="K40" s="69"/>
      <c r="L40" s="69"/>
      <c r="M40" s="45">
        <f t="shared" si="0"/>
        <v>0</v>
      </c>
      <c r="N40" s="45">
        <f t="shared" si="1"/>
        <v>4141</v>
      </c>
      <c r="O40" s="267">
        <f t="shared" si="2"/>
        <v>7511</v>
      </c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s="8" customFormat="1" ht="15" customHeight="1">
      <c r="A41" s="25"/>
      <c r="B41" s="25"/>
      <c r="C41" s="63"/>
      <c r="D41" s="48"/>
      <c r="E41" s="48"/>
      <c r="F41" s="48"/>
      <c r="G41" s="48"/>
      <c r="H41" s="48"/>
      <c r="I41" s="48"/>
      <c r="J41" s="48"/>
      <c r="K41" s="48"/>
      <c r="L41" s="48"/>
      <c r="M41" s="45"/>
      <c r="N41" s="45"/>
      <c r="O41" s="26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s="8" customFormat="1" ht="15" customHeight="1" thickBot="1">
      <c r="A42" s="25"/>
      <c r="B42" s="25"/>
      <c r="C42" s="362" t="s">
        <v>29</v>
      </c>
      <c r="D42" s="70">
        <f>SUM(D9+D10+D13+D14+D17+D18+D19+D20+D21+D24+D28+D29+D30+D38+D39+D40)</f>
        <v>4765926</v>
      </c>
      <c r="E42" s="70">
        <f>SUM(E9+E10+E13+E14+E17+E18+E19+E20+E21+E24+E28+E29+E30+E38+E39+E40)</f>
        <v>4868245</v>
      </c>
      <c r="F42" s="70">
        <f>SUM(F9+F10+F13+F14+F17+F18+F19+F20+F21+F24+F28+F29+F30+F38+F39+F40)</f>
        <v>5553666</v>
      </c>
      <c r="G42" s="70">
        <v>1562792</v>
      </c>
      <c r="H42" s="70">
        <f>SUM(H9+H10+H13+H14+H17+H18+H19+H20+H21+H24+H28+H29+H30+H40)</f>
        <v>1689170</v>
      </c>
      <c r="I42" s="70">
        <f>SUM(I9+I10+I13+I14+I17+I18+I19+I20+I21+I24+I28+I29+I30+I40)</f>
        <v>1714908</v>
      </c>
      <c r="J42" s="70">
        <f>SUM(J9+J10+J13+J14+J17+J18+J19+J20+J21+J24+J28+J29+J30+J40)</f>
        <v>821826</v>
      </c>
      <c r="K42" s="70">
        <f>SUM(K9+K10+K13+K14+K17+K18+K19+K20+K21+K24+K28+K29+K30+K40)</f>
        <v>841560</v>
      </c>
      <c r="L42" s="70">
        <f>SUM(L9+L10+L13+L14+L17+L18+L19+L20+L21+L24+L28+L29+L30+L40)</f>
        <v>842888</v>
      </c>
      <c r="M42" s="185">
        <f>SUM(M9+M10+M13+M14+M17+M18+M19+M20+M21+M24+M28+M29+M30+M38+M39+M40)</f>
        <v>7150544</v>
      </c>
      <c r="N42" s="185">
        <f>SUM(N9+N10+N13+N14+N17+N18+N19+N20+N21+N24+N28+N29+N30+N38+N39+N40)</f>
        <v>7398975</v>
      </c>
      <c r="O42" s="439">
        <f>SUM(O9+O10+O13+O14+O17+O18+O19+O20+O21+O24+O28+O29+O30+O38+O39+O40)</f>
        <v>8111462</v>
      </c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="1" customFormat="1" ht="25.5" customHeight="1" thickTop="1"/>
    <row r="44" s="1" customFormat="1" ht="25.5" customHeight="1"/>
    <row r="45" spans="3:27" ht="25.5" customHeight="1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3:27" ht="25.5" customHeight="1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3:27" ht="25.5" customHeight="1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3:27" ht="25.5" customHeight="1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3:27" ht="25.5" customHeight="1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3:27" ht="25.5" customHeight="1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3:27" ht="25.5" customHeight="1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3:27" ht="25.5" customHeight="1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3:27" ht="25.5" customHeight="1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3:27" ht="25.5" customHeight="1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3:27" ht="25.5" customHeight="1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3:27" ht="25.5" customHeight="1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3:27" ht="25.5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3:27" ht="25.5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3:27" ht="25.5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3:27" ht="25.5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3:27" ht="25.5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3:27" ht="25.5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3:27" ht="25.5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3:27" ht="25.5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3:27" ht="25.5" customHeight="1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3:27" ht="25.5" customHeight="1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3:27" ht="25.5" customHeight="1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3:27" ht="25.5" customHeight="1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3:12" ht="25.5" customHeight="1"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3:12" ht="25.5" customHeight="1"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3:12" ht="25.5" customHeight="1"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3:12" ht="25.5" customHeight="1"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3:12" ht="25.5" customHeight="1"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3:12" ht="25.5" customHeight="1"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3:12" ht="25.5" customHeight="1"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3:12" ht="25.5" customHeight="1"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3:12" ht="25.5" customHeight="1"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3:12" ht="25.5" customHeight="1"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3:12" ht="25.5" customHeight="1"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3:12" ht="25.5" customHeight="1"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3:12" ht="25.5" customHeight="1"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3:12" ht="25.5" customHeight="1"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3:12" ht="25.5" customHeight="1"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3:12" ht="25.5" customHeight="1"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3:12" ht="25.5" customHeight="1"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3:12" ht="25.5" customHeight="1"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3:12" ht="25.5" customHeight="1"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3:12" ht="25.5" customHeight="1"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3:12" ht="25.5" customHeight="1"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3:12" ht="25.5" customHeight="1"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3:12" ht="25.5" customHeight="1"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3:12" ht="25.5" customHeight="1"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3:12" ht="25.5" customHeight="1"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3:12" ht="25.5" customHeight="1"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3:12" ht="25.5" customHeight="1"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3:12" ht="25.5" customHeight="1"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3:12" ht="25.5" customHeight="1"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3:12" ht="25.5" customHeight="1"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3:12" ht="25.5" customHeight="1"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3:12" ht="25.5" customHeight="1"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3:12" ht="25.5" customHeight="1"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3:12" ht="25.5" customHeight="1"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3:12" ht="25.5" customHeight="1"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3:12" ht="25.5" customHeight="1"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3:12" ht="25.5" customHeight="1"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3:12" ht="25.5" customHeight="1"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3:12" ht="25.5" customHeight="1"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3:12" ht="25.5" customHeight="1"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3:12" ht="25.5" customHeight="1"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3:12" ht="25.5" customHeight="1"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3:12" ht="25.5" customHeight="1"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3:12" ht="25.5" customHeight="1"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3:12" ht="25.5" customHeight="1"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3:12" ht="25.5" customHeight="1"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3:12" ht="25.5" customHeight="1"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3:12" ht="25.5" customHeight="1"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3:12" ht="25.5" customHeight="1"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3:12" ht="25.5" customHeight="1"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3:12" ht="25.5" customHeight="1"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3:12" ht="25.5" customHeight="1"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3:12" ht="25.5" customHeight="1"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3:12" ht="25.5" customHeight="1"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3:12" ht="25.5" customHeight="1"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3:12" ht="25.5" customHeight="1"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3:12" ht="25.5" customHeight="1"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3:12" ht="25.5" customHeight="1"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3:12" ht="25.5" customHeight="1"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3:12" ht="25.5" customHeight="1"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3:12" ht="25.5" customHeight="1"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3:12" ht="25.5" customHeight="1"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3:12" ht="25.5" customHeight="1"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3:12" ht="25.5" customHeight="1"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3:12" ht="25.5" customHeight="1"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3:12" ht="25.5" customHeight="1"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3:12" ht="25.5" customHeight="1"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3:12" ht="25.5" customHeight="1"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3:12" ht="25.5" customHeight="1"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3:12" ht="25.5" customHeight="1"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3:12" ht="25.5" customHeight="1"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3:12" ht="25.5" customHeight="1"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3:12" ht="25.5" customHeight="1"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3:12" ht="25.5" customHeight="1"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3:12" ht="25.5" customHeight="1"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3:12" ht="25.5" customHeight="1"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3:12" ht="25.5" customHeight="1"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3:12" ht="25.5" customHeight="1"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3:12" ht="25.5" customHeight="1"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3:12" ht="25.5" customHeight="1"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3:12" ht="25.5" customHeight="1"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3:12" ht="25.5" customHeight="1"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3:12" ht="25.5" customHeight="1"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3:12" ht="25.5" customHeight="1"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3:12" ht="25.5" customHeight="1"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3:12" ht="25.5" customHeight="1"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3:12" ht="25.5" customHeight="1"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3:12" ht="25.5" customHeight="1"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3:12" ht="25.5" customHeight="1"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3:12" ht="25.5" customHeight="1"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3:12" ht="25.5" customHeight="1"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3:12" ht="25.5" customHeight="1"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3:12" ht="25.5" customHeight="1"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3:12" ht="25.5" customHeight="1"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3:12" ht="25.5" customHeight="1"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3:12" ht="25.5" customHeight="1"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3:12" ht="25.5" customHeight="1"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3:12" ht="25.5" customHeight="1"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3:12" ht="25.5" customHeight="1"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3:12" ht="25.5" customHeight="1"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3:12" ht="25.5" customHeight="1"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3:12" ht="25.5" customHeight="1"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3:12" ht="25.5" customHeight="1"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3:12" ht="25.5" customHeight="1"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3:12" ht="25.5" customHeight="1"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3:12" ht="25.5" customHeight="1"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3:12" ht="25.5" customHeight="1"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3:12" ht="25.5" customHeight="1"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3:12" ht="25.5" customHeight="1"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3:12" ht="25.5" customHeight="1"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3:12" ht="25.5" customHeight="1"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3:12" ht="25.5" customHeight="1"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3:12" ht="25.5" customHeight="1"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3:12" ht="25.5" customHeight="1"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3:12" ht="25.5" customHeight="1"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3:12" ht="25.5" customHeight="1"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3:12" ht="25.5" customHeight="1"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3:12" ht="25.5" customHeight="1"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3:12" ht="25.5" customHeight="1"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3:12" ht="25.5" customHeight="1"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3:12" ht="25.5" customHeight="1"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3:12" ht="25.5" customHeight="1"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3:12" ht="25.5" customHeight="1"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3:12" ht="25.5" customHeight="1"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3:12" ht="25.5" customHeight="1"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3:12" ht="25.5" customHeight="1"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3:12" ht="25.5" customHeight="1"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3:12" ht="25.5" customHeight="1"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3:12" ht="25.5" customHeight="1"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3:12" ht="25.5" customHeight="1"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3:12" ht="25.5" customHeight="1"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3:12" ht="25.5" customHeight="1"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3:12" ht="25.5" customHeight="1"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3:12" ht="25.5" customHeight="1"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3:12" ht="25.5" customHeight="1"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3:12" ht="25.5" customHeight="1"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3:12" ht="25.5" customHeight="1"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3:12" ht="25.5" customHeight="1"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3:12" ht="25.5" customHeight="1"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3:12" ht="25.5" customHeight="1"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3:12" ht="25.5" customHeight="1"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3:12" ht="25.5" customHeight="1"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3:12" ht="25.5" customHeight="1"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3:12" ht="25.5" customHeight="1"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3:12" ht="25.5" customHeight="1"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3:12" ht="25.5" customHeight="1"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3:12" ht="25.5" customHeight="1"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3:12" ht="25.5" customHeight="1"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3:12" ht="25.5" customHeight="1"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3:12" ht="25.5" customHeight="1"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3:12" ht="25.5" customHeight="1"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3:12" ht="25.5" customHeight="1"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3:12" ht="25.5" customHeight="1"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3:12" ht="25.5" customHeight="1"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3:12" ht="25.5" customHeight="1"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3:12" ht="25.5" customHeight="1"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3:12" ht="25.5" customHeight="1"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3:12" ht="25.5" customHeight="1"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3:12" ht="25.5" customHeight="1"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3:12" ht="25.5" customHeight="1"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3:12" ht="25.5" customHeight="1"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3:12" ht="25.5" customHeight="1"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3:12" ht="25.5" customHeight="1"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3:12" ht="25.5" customHeight="1"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3:12" ht="25.5" customHeight="1"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3:12" ht="25.5" customHeight="1"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3:12" ht="25.5" customHeight="1"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3:12" ht="25.5" customHeight="1"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3:12" ht="25.5" customHeight="1"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3:12" ht="25.5" customHeight="1"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3:12" ht="25.5" customHeight="1"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3:12" ht="25.5" customHeight="1"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3:12" ht="25.5" customHeight="1"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3:12" ht="25.5" customHeight="1"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3:12" ht="25.5" customHeight="1"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3:12" ht="25.5" customHeight="1"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3:12" ht="25.5" customHeight="1"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3:12" ht="25.5" customHeight="1"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3:12" ht="25.5" customHeight="1"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3:12" ht="25.5" customHeight="1"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3:12" ht="25.5" customHeight="1"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3:12" ht="25.5" customHeight="1"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3:12" ht="25.5" customHeight="1"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3:12" ht="25.5" customHeight="1"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3:12" ht="25.5" customHeight="1"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3:12" ht="25.5" customHeight="1"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3:12" ht="25.5" customHeight="1"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3:12" ht="25.5" customHeight="1"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3:12" ht="25.5" customHeight="1"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3:12" ht="25.5" customHeight="1"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3:12" ht="25.5" customHeight="1"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3:12" ht="25.5" customHeight="1"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3:12" ht="25.5" customHeight="1"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3:12" ht="25.5" customHeight="1"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3:12" ht="25.5" customHeight="1"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3:12" ht="25.5" customHeight="1"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3:12" ht="25.5" customHeight="1"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3:12" ht="25.5" customHeight="1"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3:12" ht="25.5" customHeight="1"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3:12" ht="25.5" customHeight="1"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3:12" ht="25.5" customHeight="1"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3:12" ht="25.5" customHeight="1"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3:12" ht="25.5" customHeight="1"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3:12" ht="25.5" customHeight="1"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3:12" ht="25.5" customHeight="1">
      <c r="C273" s="1"/>
      <c r="D273" s="1"/>
      <c r="E273" s="1"/>
      <c r="F273" s="1"/>
      <c r="G273" s="1"/>
      <c r="H273" s="1"/>
      <c r="I273" s="1"/>
      <c r="J273" s="1"/>
      <c r="K273" s="1"/>
      <c r="L273" s="1"/>
    </row>
  </sheetData>
  <mergeCells count="7">
    <mergeCell ref="D7:F7"/>
    <mergeCell ref="C3:O3"/>
    <mergeCell ref="C4:O4"/>
    <mergeCell ref="C5:M5"/>
    <mergeCell ref="M7:O7"/>
    <mergeCell ref="J7:L7"/>
    <mergeCell ref="G7:I7"/>
  </mergeCells>
  <printOptions/>
  <pageMargins left="0.2" right="0" top="0.35433070866141736" bottom="0.35433070866141736" header="0.2755905511811024" footer="0.2362204724409449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43"/>
  <sheetViews>
    <sheetView workbookViewId="0" topLeftCell="E216">
      <selection activeCell="F243" sqref="F243"/>
    </sheetView>
  </sheetViews>
  <sheetFormatPr defaultColWidth="9.00390625" defaultRowHeight="12.75"/>
  <cols>
    <col min="1" max="1" width="8.00390625" style="37" customWidth="1"/>
    <col min="2" max="2" width="5.75390625" style="34" customWidth="1"/>
    <col min="3" max="3" width="67.125" style="34" customWidth="1"/>
    <col min="4" max="4" width="10.625" style="116" customWidth="1"/>
    <col min="5" max="5" width="9.25390625" style="35" customWidth="1"/>
    <col min="6" max="6" width="9.00390625" style="34" customWidth="1"/>
    <col min="7" max="8" width="8.75390625" style="34" customWidth="1"/>
    <col min="9" max="9" width="9.625" style="34" customWidth="1"/>
    <col min="10" max="10" width="9.375" style="34" customWidth="1"/>
    <col min="11" max="11" width="10.125" style="34" customWidth="1"/>
    <col min="12" max="12" width="9.375" style="34" customWidth="1"/>
    <col min="13" max="13" width="9.125" style="34" customWidth="1"/>
    <col min="14" max="14" width="8.875" style="36" customWidth="1"/>
    <col min="15" max="15" width="9.625" style="34" customWidth="1"/>
    <col min="16" max="16384" width="9.125" style="34" customWidth="1"/>
  </cols>
  <sheetData>
    <row r="1" ht="12.75">
      <c r="A1" s="33" t="s">
        <v>180</v>
      </c>
    </row>
    <row r="2" ht="10.5" customHeight="1"/>
    <row r="3" spans="1:15" ht="15.75" customHeight="1">
      <c r="A3" s="706" t="s">
        <v>65</v>
      </c>
      <c r="B3" s="707"/>
      <c r="C3" s="707"/>
      <c r="D3" s="707"/>
      <c r="E3" s="707"/>
      <c r="F3" s="707"/>
      <c r="G3" s="707"/>
      <c r="H3" s="707"/>
      <c r="I3" s="707"/>
      <c r="J3" s="707"/>
      <c r="K3" s="707"/>
      <c r="L3" s="707"/>
      <c r="M3" s="707"/>
      <c r="N3" s="707"/>
      <c r="O3" s="707"/>
    </row>
    <row r="4" spans="1:15" ht="12.75" customHeight="1">
      <c r="A4" s="709"/>
      <c r="B4" s="623"/>
      <c r="C4" s="623"/>
      <c r="D4" s="623"/>
      <c r="E4" s="623"/>
      <c r="F4" s="623"/>
      <c r="G4" s="623"/>
      <c r="H4" s="623"/>
      <c r="I4" s="623"/>
      <c r="J4" s="623"/>
      <c r="K4" s="623"/>
      <c r="L4" s="623"/>
      <c r="M4" s="623"/>
      <c r="N4" s="623"/>
      <c r="O4" s="623"/>
    </row>
    <row r="5" spans="13:15" ht="11.25" customHeight="1" thickBot="1">
      <c r="M5" s="38"/>
      <c r="N5" s="39"/>
      <c r="O5" s="39" t="s">
        <v>181</v>
      </c>
    </row>
    <row r="6" spans="1:15" s="40" customFormat="1" ht="13.5" thickTop="1">
      <c r="A6" s="693" t="s">
        <v>431</v>
      </c>
      <c r="B6" s="694"/>
      <c r="C6" s="694"/>
      <c r="D6" s="695"/>
      <c r="E6" s="625" t="s">
        <v>197</v>
      </c>
      <c r="F6" s="613" t="s">
        <v>432</v>
      </c>
      <c r="G6" s="73" t="s">
        <v>433</v>
      </c>
      <c r="H6" s="74"/>
      <c r="I6" s="74"/>
      <c r="J6" s="75"/>
      <c r="K6" s="75"/>
      <c r="L6" s="73" t="s">
        <v>351</v>
      </c>
      <c r="M6" s="74"/>
      <c r="N6" s="616" t="s">
        <v>715</v>
      </c>
      <c r="O6" s="619" t="s">
        <v>412</v>
      </c>
    </row>
    <row r="7" spans="1:15" s="40" customFormat="1" ht="12">
      <c r="A7" s="696"/>
      <c r="B7" s="708"/>
      <c r="C7" s="708"/>
      <c r="D7" s="698"/>
      <c r="E7" s="626"/>
      <c r="F7" s="614"/>
      <c r="G7" s="622" t="s">
        <v>710</v>
      </c>
      <c r="H7" s="622" t="s">
        <v>711</v>
      </c>
      <c r="I7" s="622" t="s">
        <v>712</v>
      </c>
      <c r="J7" s="622" t="s">
        <v>713</v>
      </c>
      <c r="K7" s="622" t="s">
        <v>714</v>
      </c>
      <c r="L7" s="612" t="s">
        <v>427</v>
      </c>
      <c r="M7" s="612" t="s">
        <v>408</v>
      </c>
      <c r="N7" s="617"/>
      <c r="O7" s="620"/>
    </row>
    <row r="8" spans="1:15" s="40" customFormat="1" ht="39" customHeight="1" thickBot="1">
      <c r="A8" s="699"/>
      <c r="B8" s="700"/>
      <c r="C8" s="700"/>
      <c r="D8" s="701"/>
      <c r="E8" s="627"/>
      <c r="F8" s="615"/>
      <c r="G8" s="618"/>
      <c r="H8" s="618"/>
      <c r="I8" s="618"/>
      <c r="J8" s="618"/>
      <c r="K8" s="618"/>
      <c r="L8" s="670"/>
      <c r="M8" s="670"/>
      <c r="N8" s="618"/>
      <c r="O8" s="621"/>
    </row>
    <row r="9" spans="1:15" s="40" customFormat="1" ht="12" customHeight="1" thickTop="1">
      <c r="A9" s="83" t="s">
        <v>374</v>
      </c>
      <c r="B9" s="671" t="s">
        <v>435</v>
      </c>
      <c r="C9" s="672"/>
      <c r="D9" s="117" t="s">
        <v>357</v>
      </c>
      <c r="E9" s="84">
        <v>720</v>
      </c>
      <c r="F9" s="79">
        <f>SUM(G9:O9)</f>
        <v>143660</v>
      </c>
      <c r="G9" s="80"/>
      <c r="H9" s="80"/>
      <c r="I9" s="80">
        <v>60660</v>
      </c>
      <c r="J9" s="80">
        <v>33000</v>
      </c>
      <c r="K9" s="80"/>
      <c r="L9" s="80"/>
      <c r="M9" s="81">
        <v>50000</v>
      </c>
      <c r="N9" s="79"/>
      <c r="O9" s="82"/>
    </row>
    <row r="10" spans="1:15" s="40" customFormat="1" ht="12" customHeight="1">
      <c r="A10" s="83"/>
      <c r="B10" s="176"/>
      <c r="C10" s="177"/>
      <c r="D10" s="117" t="s">
        <v>59</v>
      </c>
      <c r="E10" s="84">
        <v>720</v>
      </c>
      <c r="F10" s="79">
        <f aca="true" t="shared" si="0" ref="F10:F60">SUM(G10:O10)</f>
        <v>228660</v>
      </c>
      <c r="G10" s="80"/>
      <c r="H10" s="80"/>
      <c r="I10" s="80">
        <v>60660</v>
      </c>
      <c r="J10" s="80">
        <v>43000</v>
      </c>
      <c r="K10" s="80"/>
      <c r="L10" s="80"/>
      <c r="M10" s="81">
        <v>125000</v>
      </c>
      <c r="N10" s="79"/>
      <c r="O10" s="82"/>
    </row>
    <row r="11" spans="1:15" s="40" customFormat="1" ht="12" customHeight="1">
      <c r="A11" s="83"/>
      <c r="B11" s="176"/>
      <c r="C11" s="177"/>
      <c r="D11" s="117" t="s">
        <v>259</v>
      </c>
      <c r="E11" s="84">
        <v>720</v>
      </c>
      <c r="F11" s="79">
        <f t="shared" si="0"/>
        <v>228660</v>
      </c>
      <c r="G11" s="80"/>
      <c r="H11" s="80"/>
      <c r="I11" s="80">
        <v>60660</v>
      </c>
      <c r="J11" s="80">
        <v>43000</v>
      </c>
      <c r="K11" s="80"/>
      <c r="L11" s="80"/>
      <c r="M11" s="81">
        <v>125000</v>
      </c>
      <c r="N11" s="79"/>
      <c r="O11" s="82"/>
    </row>
    <row r="12" spans="1:15" s="40" customFormat="1" ht="12" customHeight="1">
      <c r="A12" s="85"/>
      <c r="B12" s="671" t="s">
        <v>190</v>
      </c>
      <c r="C12" s="672"/>
      <c r="D12" s="117" t="s">
        <v>357</v>
      </c>
      <c r="E12" s="78"/>
      <c r="F12" s="79">
        <f t="shared" si="0"/>
        <v>6840</v>
      </c>
      <c r="G12" s="80"/>
      <c r="H12" s="80"/>
      <c r="I12" s="80">
        <v>6840</v>
      </c>
      <c r="J12" s="80"/>
      <c r="K12" s="80"/>
      <c r="L12" s="80"/>
      <c r="M12" s="81"/>
      <c r="N12" s="79"/>
      <c r="O12" s="82"/>
    </row>
    <row r="13" spans="1:15" s="40" customFormat="1" ht="12" customHeight="1">
      <c r="A13" s="85"/>
      <c r="B13" s="176"/>
      <c r="C13" s="177"/>
      <c r="D13" s="117" t="s">
        <v>59</v>
      </c>
      <c r="E13" s="79"/>
      <c r="F13" s="79">
        <f t="shared" si="0"/>
        <v>8715</v>
      </c>
      <c r="G13" s="80"/>
      <c r="H13" s="80"/>
      <c r="I13" s="80">
        <v>6840</v>
      </c>
      <c r="J13" s="80"/>
      <c r="K13" s="80"/>
      <c r="L13" s="80">
        <v>1875</v>
      </c>
      <c r="M13" s="81"/>
      <c r="N13" s="79"/>
      <c r="O13" s="82"/>
    </row>
    <row r="14" spans="1:15" s="40" customFormat="1" ht="12" customHeight="1">
      <c r="A14" s="85"/>
      <c r="B14" s="176"/>
      <c r="C14" s="177"/>
      <c r="D14" s="117" t="s">
        <v>259</v>
      </c>
      <c r="E14" s="79"/>
      <c r="F14" s="79">
        <f t="shared" si="0"/>
        <v>8715</v>
      </c>
      <c r="G14" s="80"/>
      <c r="H14" s="80"/>
      <c r="I14" s="80">
        <v>6840</v>
      </c>
      <c r="J14" s="80"/>
      <c r="K14" s="80"/>
      <c r="L14" s="80">
        <v>1875</v>
      </c>
      <c r="M14" s="81"/>
      <c r="N14" s="79"/>
      <c r="O14" s="82"/>
    </row>
    <row r="15" spans="1:15" s="40" customFormat="1" ht="12" customHeight="1">
      <c r="A15" s="87" t="s">
        <v>229</v>
      </c>
      <c r="B15" s="671" t="s">
        <v>344</v>
      </c>
      <c r="C15" s="672"/>
      <c r="D15" s="117" t="s">
        <v>357</v>
      </c>
      <c r="E15" s="79"/>
      <c r="F15" s="79">
        <f t="shared" si="0"/>
        <v>8876</v>
      </c>
      <c r="G15" s="80"/>
      <c r="H15" s="80"/>
      <c r="I15" s="80">
        <v>8876</v>
      </c>
      <c r="J15" s="80"/>
      <c r="K15" s="80"/>
      <c r="L15" s="80"/>
      <c r="M15" s="81"/>
      <c r="N15" s="79"/>
      <c r="O15" s="82"/>
    </row>
    <row r="16" spans="1:15" s="40" customFormat="1" ht="12" customHeight="1">
      <c r="A16" s="87"/>
      <c r="B16" s="173"/>
      <c r="C16" s="177"/>
      <c r="D16" s="117" t="s">
        <v>59</v>
      </c>
      <c r="E16" s="79"/>
      <c r="F16" s="79">
        <f t="shared" si="0"/>
        <v>8251</v>
      </c>
      <c r="G16" s="80"/>
      <c r="H16" s="80"/>
      <c r="I16" s="80">
        <v>8251</v>
      </c>
      <c r="J16" s="80"/>
      <c r="K16" s="80"/>
      <c r="L16" s="80"/>
      <c r="M16" s="81"/>
      <c r="N16" s="79"/>
      <c r="O16" s="82"/>
    </row>
    <row r="17" spans="1:15" s="40" customFormat="1" ht="12" customHeight="1">
      <c r="A17" s="87"/>
      <c r="B17" s="173"/>
      <c r="C17" s="177"/>
      <c r="D17" s="117" t="s">
        <v>259</v>
      </c>
      <c r="E17" s="79"/>
      <c r="F17" s="79">
        <f t="shared" si="0"/>
        <v>8251</v>
      </c>
      <c r="G17" s="80"/>
      <c r="H17" s="80"/>
      <c r="I17" s="80">
        <v>8251</v>
      </c>
      <c r="J17" s="80"/>
      <c r="K17" s="80"/>
      <c r="L17" s="80"/>
      <c r="M17" s="81"/>
      <c r="N17" s="79"/>
      <c r="O17" s="82"/>
    </row>
    <row r="18" spans="1:15" s="40" customFormat="1" ht="12" customHeight="1">
      <c r="A18" s="87" t="s">
        <v>151</v>
      </c>
      <c r="B18" s="675" t="s">
        <v>466</v>
      </c>
      <c r="C18" s="676"/>
      <c r="D18" s="117" t="s">
        <v>357</v>
      </c>
      <c r="E18" s="79"/>
      <c r="F18" s="79">
        <f t="shared" si="0"/>
        <v>14000</v>
      </c>
      <c r="G18" s="80"/>
      <c r="H18" s="80"/>
      <c r="I18" s="80">
        <v>14000</v>
      </c>
      <c r="J18" s="80"/>
      <c r="K18" s="80"/>
      <c r="L18" s="80"/>
      <c r="M18" s="81"/>
      <c r="N18" s="79"/>
      <c r="O18" s="82"/>
    </row>
    <row r="19" spans="1:15" s="40" customFormat="1" ht="12" customHeight="1">
      <c r="A19" s="87"/>
      <c r="B19" s="173"/>
      <c r="C19" s="174"/>
      <c r="D19" s="117" t="s">
        <v>59</v>
      </c>
      <c r="E19" s="79"/>
      <c r="F19" s="79">
        <f t="shared" si="0"/>
        <v>14000</v>
      </c>
      <c r="G19" s="80"/>
      <c r="H19" s="80"/>
      <c r="I19" s="80">
        <v>14000</v>
      </c>
      <c r="J19" s="80"/>
      <c r="K19" s="80"/>
      <c r="L19" s="80"/>
      <c r="M19" s="81"/>
      <c r="N19" s="79"/>
      <c r="O19" s="82"/>
    </row>
    <row r="20" spans="1:15" s="40" customFormat="1" ht="12" customHeight="1">
      <c r="A20" s="87"/>
      <c r="B20" s="173"/>
      <c r="C20" s="174"/>
      <c r="D20" s="117" t="s">
        <v>259</v>
      </c>
      <c r="E20" s="79"/>
      <c r="F20" s="79">
        <f t="shared" si="0"/>
        <v>14000</v>
      </c>
      <c r="G20" s="80"/>
      <c r="H20" s="80"/>
      <c r="I20" s="80">
        <v>14000</v>
      </c>
      <c r="J20" s="80"/>
      <c r="K20" s="80"/>
      <c r="L20" s="80"/>
      <c r="M20" s="81"/>
      <c r="N20" s="79"/>
      <c r="O20" s="82"/>
    </row>
    <row r="21" spans="1:15" s="40" customFormat="1" ht="12" customHeight="1">
      <c r="A21" s="87" t="s">
        <v>228</v>
      </c>
      <c r="B21" s="671" t="s">
        <v>436</v>
      </c>
      <c r="C21" s="672"/>
      <c r="D21" s="117" t="s">
        <v>357</v>
      </c>
      <c r="E21" s="79">
        <v>3000</v>
      </c>
      <c r="F21" s="79">
        <f t="shared" si="0"/>
        <v>438967</v>
      </c>
      <c r="G21" s="80"/>
      <c r="H21" s="80"/>
      <c r="I21" s="80"/>
      <c r="J21" s="80">
        <v>9703</v>
      </c>
      <c r="K21" s="80"/>
      <c r="L21" s="80">
        <v>100515</v>
      </c>
      <c r="M21" s="81">
        <v>328749</v>
      </c>
      <c r="N21" s="78"/>
      <c r="O21" s="86"/>
    </row>
    <row r="22" spans="1:15" s="40" customFormat="1" ht="12" customHeight="1">
      <c r="A22" s="87"/>
      <c r="B22" s="176"/>
      <c r="C22" s="177"/>
      <c r="D22" s="117" t="s">
        <v>59</v>
      </c>
      <c r="E22" s="79">
        <v>3000</v>
      </c>
      <c r="F22" s="79">
        <f t="shared" si="0"/>
        <v>594766</v>
      </c>
      <c r="G22" s="80"/>
      <c r="H22" s="80"/>
      <c r="I22" s="80"/>
      <c r="J22" s="80">
        <v>41863</v>
      </c>
      <c r="K22" s="80"/>
      <c r="L22" s="80">
        <v>244765</v>
      </c>
      <c r="M22" s="81">
        <v>308138</v>
      </c>
      <c r="N22" s="78"/>
      <c r="O22" s="86"/>
    </row>
    <row r="23" spans="1:15" s="40" customFormat="1" ht="12" customHeight="1">
      <c r="A23" s="87"/>
      <c r="B23" s="176"/>
      <c r="C23" s="177"/>
      <c r="D23" s="117" t="s">
        <v>259</v>
      </c>
      <c r="E23" s="79">
        <v>3000</v>
      </c>
      <c r="F23" s="79">
        <f t="shared" si="0"/>
        <v>598281</v>
      </c>
      <c r="G23" s="80"/>
      <c r="H23" s="80"/>
      <c r="I23" s="80"/>
      <c r="J23" s="80">
        <v>41863</v>
      </c>
      <c r="K23" s="80"/>
      <c r="L23" s="80">
        <v>248280</v>
      </c>
      <c r="M23" s="81">
        <v>308138</v>
      </c>
      <c r="N23" s="78"/>
      <c r="O23" s="86"/>
    </row>
    <row r="24" spans="1:15" s="40" customFormat="1" ht="12" customHeight="1">
      <c r="A24" s="87" t="s">
        <v>366</v>
      </c>
      <c r="B24" s="671" t="s">
        <v>437</v>
      </c>
      <c r="C24" s="672"/>
      <c r="D24" s="117" t="s">
        <v>357</v>
      </c>
      <c r="E24" s="78">
        <v>1900</v>
      </c>
      <c r="F24" s="79">
        <f t="shared" si="0"/>
        <v>6460</v>
      </c>
      <c r="G24" s="80"/>
      <c r="H24" s="80"/>
      <c r="I24" s="80">
        <v>3480</v>
      </c>
      <c r="J24" s="80">
        <v>980</v>
      </c>
      <c r="K24" s="80"/>
      <c r="L24" s="80"/>
      <c r="M24" s="81">
        <v>2000</v>
      </c>
      <c r="N24" s="78"/>
      <c r="O24" s="86"/>
    </row>
    <row r="25" spans="1:15" s="40" customFormat="1" ht="12" customHeight="1">
      <c r="A25" s="87"/>
      <c r="B25" s="176"/>
      <c r="C25" s="177"/>
      <c r="D25" s="117" t="s">
        <v>59</v>
      </c>
      <c r="E25" s="78">
        <v>1900</v>
      </c>
      <c r="F25" s="79">
        <f t="shared" si="0"/>
        <v>6460</v>
      </c>
      <c r="G25" s="80"/>
      <c r="H25" s="80"/>
      <c r="I25" s="80">
        <v>3480</v>
      </c>
      <c r="J25" s="80">
        <v>980</v>
      </c>
      <c r="K25" s="80"/>
      <c r="L25" s="80">
        <v>2000</v>
      </c>
      <c r="M25" s="81"/>
      <c r="N25" s="78"/>
      <c r="O25" s="86"/>
    </row>
    <row r="26" spans="1:15" s="40" customFormat="1" ht="12" customHeight="1">
      <c r="A26" s="87"/>
      <c r="B26" s="176"/>
      <c r="C26" s="177"/>
      <c r="D26" s="117" t="s">
        <v>259</v>
      </c>
      <c r="E26" s="78">
        <v>1900</v>
      </c>
      <c r="F26" s="79">
        <f t="shared" si="0"/>
        <v>6460</v>
      </c>
      <c r="G26" s="80"/>
      <c r="H26" s="80"/>
      <c r="I26" s="80">
        <v>3480</v>
      </c>
      <c r="J26" s="80">
        <v>980</v>
      </c>
      <c r="K26" s="80"/>
      <c r="L26" s="80">
        <v>2000</v>
      </c>
      <c r="M26" s="81"/>
      <c r="N26" s="78"/>
      <c r="O26" s="86"/>
    </row>
    <row r="27" spans="1:15" s="40" customFormat="1" ht="12" customHeight="1">
      <c r="A27" s="87" t="s">
        <v>227</v>
      </c>
      <c r="B27" s="671" t="s">
        <v>438</v>
      </c>
      <c r="C27" s="672"/>
      <c r="D27" s="117" t="s">
        <v>357</v>
      </c>
      <c r="E27" s="78"/>
      <c r="F27" s="79">
        <f t="shared" si="0"/>
        <v>37100</v>
      </c>
      <c r="G27" s="80"/>
      <c r="H27" s="80"/>
      <c r="I27" s="80">
        <v>30500</v>
      </c>
      <c r="J27" s="80">
        <v>6600</v>
      </c>
      <c r="K27" s="88"/>
      <c r="L27" s="88"/>
      <c r="M27" s="81"/>
      <c r="N27" s="78"/>
      <c r="O27" s="86"/>
    </row>
    <row r="28" spans="1:15" s="40" customFormat="1" ht="12" customHeight="1">
      <c r="A28" s="87"/>
      <c r="B28" s="176"/>
      <c r="C28" s="177"/>
      <c r="D28" s="117" t="s">
        <v>59</v>
      </c>
      <c r="E28" s="78"/>
      <c r="F28" s="79">
        <f t="shared" si="0"/>
        <v>48765</v>
      </c>
      <c r="G28" s="80"/>
      <c r="H28" s="80"/>
      <c r="I28" s="80">
        <v>31940</v>
      </c>
      <c r="J28" s="80">
        <v>16825</v>
      </c>
      <c r="K28" s="88"/>
      <c r="L28" s="88"/>
      <c r="M28" s="81"/>
      <c r="N28" s="78"/>
      <c r="O28" s="86"/>
    </row>
    <row r="29" spans="1:15" s="40" customFormat="1" ht="12" customHeight="1">
      <c r="A29" s="87"/>
      <c r="B29" s="176"/>
      <c r="C29" s="177"/>
      <c r="D29" s="117" t="s">
        <v>259</v>
      </c>
      <c r="E29" s="78"/>
      <c r="F29" s="79">
        <f t="shared" si="0"/>
        <v>47940</v>
      </c>
      <c r="G29" s="80"/>
      <c r="H29" s="80"/>
      <c r="I29" s="80">
        <v>31115</v>
      </c>
      <c r="J29" s="80">
        <v>16825</v>
      </c>
      <c r="K29" s="88"/>
      <c r="L29" s="88"/>
      <c r="M29" s="81"/>
      <c r="N29" s="78"/>
      <c r="O29" s="86"/>
    </row>
    <row r="30" spans="1:15" s="40" customFormat="1" ht="12" customHeight="1">
      <c r="A30" s="87"/>
      <c r="B30" s="671" t="s">
        <v>72</v>
      </c>
      <c r="C30" s="660"/>
      <c r="D30" s="117" t="s">
        <v>357</v>
      </c>
      <c r="E30" s="78"/>
      <c r="F30" s="79">
        <f t="shared" si="0"/>
        <v>10000</v>
      </c>
      <c r="G30" s="80"/>
      <c r="H30" s="80"/>
      <c r="I30" s="80">
        <v>10000</v>
      </c>
      <c r="J30" s="80"/>
      <c r="K30" s="88"/>
      <c r="L30" s="88"/>
      <c r="M30" s="81"/>
      <c r="N30" s="78"/>
      <c r="O30" s="86"/>
    </row>
    <row r="31" spans="1:15" s="40" customFormat="1" ht="12" customHeight="1">
      <c r="A31" s="87"/>
      <c r="B31" s="176"/>
      <c r="C31" s="175"/>
      <c r="D31" s="117" t="s">
        <v>59</v>
      </c>
      <c r="E31" s="78"/>
      <c r="F31" s="79">
        <f t="shared" si="0"/>
        <v>10000</v>
      </c>
      <c r="G31" s="80"/>
      <c r="H31" s="80"/>
      <c r="I31" s="80">
        <v>10000</v>
      </c>
      <c r="J31" s="80"/>
      <c r="K31" s="88"/>
      <c r="L31" s="88"/>
      <c r="M31" s="81"/>
      <c r="N31" s="78"/>
      <c r="O31" s="86"/>
    </row>
    <row r="32" spans="1:15" s="40" customFormat="1" ht="12" customHeight="1">
      <c r="A32" s="87"/>
      <c r="B32" s="176"/>
      <c r="C32" s="175"/>
      <c r="D32" s="117" t="s">
        <v>259</v>
      </c>
      <c r="E32" s="78"/>
      <c r="F32" s="79">
        <f t="shared" si="0"/>
        <v>10000</v>
      </c>
      <c r="G32" s="80"/>
      <c r="H32" s="80"/>
      <c r="I32" s="80">
        <v>360</v>
      </c>
      <c r="J32" s="80"/>
      <c r="K32" s="88"/>
      <c r="L32" s="548">
        <v>7796</v>
      </c>
      <c r="M32" s="81">
        <v>1844</v>
      </c>
      <c r="N32" s="78"/>
      <c r="O32" s="86"/>
    </row>
    <row r="33" spans="1:15" s="40" customFormat="1" ht="12" customHeight="1">
      <c r="A33" s="87" t="s">
        <v>226</v>
      </c>
      <c r="B33" s="671" t="s">
        <v>152</v>
      </c>
      <c r="C33" s="672"/>
      <c r="D33" s="117" t="s">
        <v>357</v>
      </c>
      <c r="E33" s="78"/>
      <c r="F33" s="79">
        <f t="shared" si="0"/>
        <v>77500</v>
      </c>
      <c r="G33" s="80"/>
      <c r="H33" s="80"/>
      <c r="I33" s="80">
        <v>21000</v>
      </c>
      <c r="J33" s="80"/>
      <c r="K33" s="80"/>
      <c r="L33" s="80"/>
      <c r="M33" s="81">
        <v>56500</v>
      </c>
      <c r="N33" s="78"/>
      <c r="O33" s="86"/>
    </row>
    <row r="34" spans="1:15" s="40" customFormat="1" ht="12" customHeight="1">
      <c r="A34" s="87"/>
      <c r="B34" s="173"/>
      <c r="C34" s="173"/>
      <c r="D34" s="117" t="s">
        <v>59</v>
      </c>
      <c r="E34" s="78"/>
      <c r="F34" s="79">
        <f t="shared" si="0"/>
        <v>117640</v>
      </c>
      <c r="G34" s="80"/>
      <c r="H34" s="80"/>
      <c r="I34" s="80">
        <v>23000</v>
      </c>
      <c r="J34" s="80"/>
      <c r="K34" s="80"/>
      <c r="L34" s="80">
        <v>23300</v>
      </c>
      <c r="M34" s="81">
        <v>71340</v>
      </c>
      <c r="N34" s="78"/>
      <c r="O34" s="86"/>
    </row>
    <row r="35" spans="1:15" s="40" customFormat="1" ht="12" customHeight="1">
      <c r="A35" s="87"/>
      <c r="B35" s="173"/>
      <c r="C35" s="173"/>
      <c r="D35" s="117" t="s">
        <v>259</v>
      </c>
      <c r="E35" s="78"/>
      <c r="F35" s="79">
        <f t="shared" si="0"/>
        <v>338640</v>
      </c>
      <c r="G35" s="80"/>
      <c r="H35" s="80"/>
      <c r="I35" s="80">
        <v>23000</v>
      </c>
      <c r="J35" s="80"/>
      <c r="K35" s="80"/>
      <c r="L35" s="80">
        <v>23300</v>
      </c>
      <c r="M35" s="81">
        <v>292340</v>
      </c>
      <c r="N35" s="78"/>
      <c r="O35" s="86"/>
    </row>
    <row r="36" spans="1:15" s="40" customFormat="1" ht="12" customHeight="1">
      <c r="A36" s="87" t="s">
        <v>224</v>
      </c>
      <c r="B36" s="675" t="s">
        <v>153</v>
      </c>
      <c r="C36" s="675"/>
      <c r="D36" s="117" t="s">
        <v>357</v>
      </c>
      <c r="E36" s="78"/>
      <c r="F36" s="79">
        <f t="shared" si="0"/>
        <v>7700</v>
      </c>
      <c r="G36" s="80"/>
      <c r="H36" s="80"/>
      <c r="I36" s="80">
        <v>7700</v>
      </c>
      <c r="J36" s="80"/>
      <c r="K36" s="80"/>
      <c r="L36" s="80"/>
      <c r="M36" s="81"/>
      <c r="N36" s="78"/>
      <c r="O36" s="86"/>
    </row>
    <row r="37" spans="1:15" s="40" customFormat="1" ht="12" customHeight="1">
      <c r="A37" s="87"/>
      <c r="B37" s="173"/>
      <c r="C37" s="173"/>
      <c r="D37" s="117" t="s">
        <v>59</v>
      </c>
      <c r="E37" s="78"/>
      <c r="F37" s="79">
        <f t="shared" si="0"/>
        <v>5650</v>
      </c>
      <c r="G37" s="80"/>
      <c r="H37" s="80"/>
      <c r="I37" s="80">
        <v>5650</v>
      </c>
      <c r="J37" s="80"/>
      <c r="K37" s="80"/>
      <c r="L37" s="80"/>
      <c r="M37" s="81"/>
      <c r="N37" s="78"/>
      <c r="O37" s="86"/>
    </row>
    <row r="38" spans="1:15" s="40" customFormat="1" ht="12" customHeight="1">
      <c r="A38" s="87"/>
      <c r="B38" s="173"/>
      <c r="C38" s="173"/>
      <c r="D38" s="117" t="s">
        <v>259</v>
      </c>
      <c r="E38" s="78">
        <v>1100</v>
      </c>
      <c r="F38" s="79">
        <f t="shared" si="0"/>
        <v>6450</v>
      </c>
      <c r="G38" s="80">
        <v>310</v>
      </c>
      <c r="H38" s="80">
        <v>81</v>
      </c>
      <c r="I38" s="80">
        <v>5476</v>
      </c>
      <c r="J38" s="80"/>
      <c r="K38" s="80"/>
      <c r="L38" s="80"/>
      <c r="M38" s="81">
        <v>583</v>
      </c>
      <c r="N38" s="78"/>
      <c r="O38" s="86"/>
    </row>
    <row r="39" spans="1:15" s="40" customFormat="1" ht="12" customHeight="1">
      <c r="A39" s="87" t="s">
        <v>225</v>
      </c>
      <c r="B39" s="671" t="s">
        <v>439</v>
      </c>
      <c r="C39" s="672"/>
      <c r="D39" s="117" t="s">
        <v>357</v>
      </c>
      <c r="E39" s="78"/>
      <c r="F39" s="79">
        <f t="shared" si="0"/>
        <v>66455</v>
      </c>
      <c r="G39" s="80"/>
      <c r="H39" s="80"/>
      <c r="I39" s="80">
        <v>34455</v>
      </c>
      <c r="J39" s="80"/>
      <c r="K39" s="80"/>
      <c r="L39" s="80">
        <v>32000</v>
      </c>
      <c r="M39" s="81"/>
      <c r="N39" s="78"/>
      <c r="O39" s="86"/>
    </row>
    <row r="40" spans="1:15" s="40" customFormat="1" ht="12" customHeight="1">
      <c r="A40" s="87"/>
      <c r="B40" s="173"/>
      <c r="C40" s="177"/>
      <c r="D40" s="117" t="s">
        <v>59</v>
      </c>
      <c r="E40" s="78"/>
      <c r="F40" s="79">
        <f t="shared" si="0"/>
        <v>66455</v>
      </c>
      <c r="G40" s="80"/>
      <c r="H40" s="80"/>
      <c r="I40" s="80">
        <v>34455</v>
      </c>
      <c r="J40" s="80"/>
      <c r="K40" s="80"/>
      <c r="L40" s="80">
        <v>31633</v>
      </c>
      <c r="M40" s="81">
        <v>367</v>
      </c>
      <c r="N40" s="78"/>
      <c r="O40" s="86"/>
    </row>
    <row r="41" spans="1:15" s="40" customFormat="1" ht="12" customHeight="1">
      <c r="A41" s="87"/>
      <c r="B41" s="173"/>
      <c r="C41" s="177"/>
      <c r="D41" s="117" t="s">
        <v>259</v>
      </c>
      <c r="E41" s="78"/>
      <c r="F41" s="79">
        <f t="shared" si="0"/>
        <v>66455</v>
      </c>
      <c r="G41" s="80"/>
      <c r="H41" s="80"/>
      <c r="I41" s="80">
        <v>34455</v>
      </c>
      <c r="J41" s="80"/>
      <c r="K41" s="80"/>
      <c r="L41" s="80">
        <v>31633</v>
      </c>
      <c r="M41" s="81">
        <v>367</v>
      </c>
      <c r="N41" s="78"/>
      <c r="O41" s="86"/>
    </row>
    <row r="42" spans="1:15" s="40" customFormat="1" ht="12" customHeight="1">
      <c r="A42" s="87"/>
      <c r="B42" s="710" t="s">
        <v>154</v>
      </c>
      <c r="C42" s="711"/>
      <c r="D42" s="117" t="s">
        <v>357</v>
      </c>
      <c r="E42" s="78"/>
      <c r="F42" s="79">
        <f t="shared" si="0"/>
        <v>139400</v>
      </c>
      <c r="G42" s="80"/>
      <c r="H42" s="80"/>
      <c r="I42" s="80"/>
      <c r="J42" s="80">
        <v>139400</v>
      </c>
      <c r="K42" s="80"/>
      <c r="L42" s="80"/>
      <c r="M42" s="81"/>
      <c r="N42" s="78"/>
      <c r="O42" s="86"/>
    </row>
    <row r="43" spans="1:15" s="40" customFormat="1" ht="12" customHeight="1">
      <c r="A43" s="87"/>
      <c r="B43" s="179"/>
      <c r="C43" s="180"/>
      <c r="D43" s="117" t="s">
        <v>59</v>
      </c>
      <c r="E43" s="79"/>
      <c r="F43" s="79">
        <f t="shared" si="0"/>
        <v>130476</v>
      </c>
      <c r="G43" s="80"/>
      <c r="H43" s="80"/>
      <c r="I43" s="80">
        <v>14000</v>
      </c>
      <c r="J43" s="80">
        <v>116476</v>
      </c>
      <c r="K43" s="80"/>
      <c r="L43" s="80"/>
      <c r="M43" s="81"/>
      <c r="N43" s="79"/>
      <c r="O43" s="82"/>
    </row>
    <row r="44" spans="1:15" s="40" customFormat="1" ht="12" customHeight="1">
      <c r="A44" s="87"/>
      <c r="B44" s="179"/>
      <c r="C44" s="180"/>
      <c r="D44" s="117" t="s">
        <v>259</v>
      </c>
      <c r="E44" s="79"/>
      <c r="F44" s="79">
        <f t="shared" si="0"/>
        <v>130476</v>
      </c>
      <c r="G44" s="80"/>
      <c r="H44" s="80"/>
      <c r="I44" s="80">
        <v>14000</v>
      </c>
      <c r="J44" s="80">
        <v>116476</v>
      </c>
      <c r="K44" s="80"/>
      <c r="L44" s="80"/>
      <c r="M44" s="81"/>
      <c r="N44" s="79"/>
      <c r="O44" s="82"/>
    </row>
    <row r="45" spans="1:15" s="40" customFormat="1" ht="12" customHeight="1">
      <c r="A45" s="87" t="s">
        <v>224</v>
      </c>
      <c r="B45" s="671" t="s">
        <v>367</v>
      </c>
      <c r="C45" s="672"/>
      <c r="D45" s="117" t="s">
        <v>357</v>
      </c>
      <c r="E45" s="79">
        <v>376238</v>
      </c>
      <c r="F45" s="79">
        <f t="shared" si="0"/>
        <v>779148</v>
      </c>
      <c r="G45" s="80">
        <v>414270</v>
      </c>
      <c r="H45" s="80">
        <v>122896</v>
      </c>
      <c r="I45" s="80">
        <v>181532</v>
      </c>
      <c r="J45" s="80">
        <v>8450</v>
      </c>
      <c r="K45" s="80"/>
      <c r="L45" s="80">
        <v>5000</v>
      </c>
      <c r="M45" s="81">
        <v>47000</v>
      </c>
      <c r="N45" s="79"/>
      <c r="O45" s="82"/>
    </row>
    <row r="46" spans="1:15" s="40" customFormat="1" ht="12" customHeight="1">
      <c r="A46" s="83"/>
      <c r="B46" s="176"/>
      <c r="C46" s="177"/>
      <c r="D46" s="117" t="s">
        <v>59</v>
      </c>
      <c r="E46" s="79">
        <v>376238</v>
      </c>
      <c r="F46" s="79">
        <f t="shared" si="0"/>
        <v>850619</v>
      </c>
      <c r="G46" s="80">
        <v>441065</v>
      </c>
      <c r="H46" s="80">
        <v>130433</v>
      </c>
      <c r="I46" s="80">
        <v>201001</v>
      </c>
      <c r="J46" s="80">
        <v>10947</v>
      </c>
      <c r="K46" s="80"/>
      <c r="L46" s="80">
        <v>5000</v>
      </c>
      <c r="M46" s="81">
        <v>62173</v>
      </c>
      <c r="N46" s="79"/>
      <c r="O46" s="82"/>
    </row>
    <row r="47" spans="1:15" s="40" customFormat="1" ht="12" customHeight="1">
      <c r="A47" s="83"/>
      <c r="B47" s="176"/>
      <c r="C47" s="177"/>
      <c r="D47" s="117" t="s">
        <v>259</v>
      </c>
      <c r="E47" s="79">
        <v>311188</v>
      </c>
      <c r="F47" s="79">
        <f t="shared" si="0"/>
        <v>896571</v>
      </c>
      <c r="G47" s="80">
        <v>446357</v>
      </c>
      <c r="H47" s="80">
        <v>130811</v>
      </c>
      <c r="I47" s="80">
        <v>238533</v>
      </c>
      <c r="J47" s="80">
        <v>13697</v>
      </c>
      <c r="K47" s="80"/>
      <c r="L47" s="80">
        <v>5000</v>
      </c>
      <c r="M47" s="81">
        <v>62173</v>
      </c>
      <c r="N47" s="79"/>
      <c r="O47" s="82"/>
    </row>
    <row r="48" spans="1:15" s="40" customFormat="1" ht="12" customHeight="1">
      <c r="A48" s="83"/>
      <c r="B48" s="671" t="s">
        <v>462</v>
      </c>
      <c r="C48" s="672"/>
      <c r="D48" s="117" t="s">
        <v>357</v>
      </c>
      <c r="E48" s="79">
        <v>11000</v>
      </c>
      <c r="F48" s="79">
        <f t="shared" si="0"/>
        <v>9500</v>
      </c>
      <c r="G48" s="80"/>
      <c r="H48" s="80"/>
      <c r="I48" s="80"/>
      <c r="J48" s="80">
        <v>1000</v>
      </c>
      <c r="K48" s="80"/>
      <c r="L48" s="80"/>
      <c r="M48" s="81"/>
      <c r="N48" s="79">
        <v>8500</v>
      </c>
      <c r="O48" s="82"/>
    </row>
    <row r="49" spans="1:15" s="40" customFormat="1" ht="12" customHeight="1">
      <c r="A49" s="83"/>
      <c r="B49" s="176"/>
      <c r="C49" s="177"/>
      <c r="D49" s="117" t="s">
        <v>59</v>
      </c>
      <c r="E49" s="79">
        <v>11000</v>
      </c>
      <c r="F49" s="79">
        <f t="shared" si="0"/>
        <v>9500</v>
      </c>
      <c r="G49" s="80"/>
      <c r="H49" s="80"/>
      <c r="I49" s="80"/>
      <c r="J49" s="80">
        <v>1000</v>
      </c>
      <c r="K49" s="80"/>
      <c r="L49" s="80"/>
      <c r="M49" s="81"/>
      <c r="N49" s="79">
        <v>8500</v>
      </c>
      <c r="O49" s="82"/>
    </row>
    <row r="50" spans="1:15" s="40" customFormat="1" ht="12" customHeight="1">
      <c r="A50" s="83"/>
      <c r="B50" s="176"/>
      <c r="C50" s="177"/>
      <c r="D50" s="117" t="s">
        <v>259</v>
      </c>
      <c r="E50" s="79">
        <v>11000</v>
      </c>
      <c r="F50" s="79">
        <f t="shared" si="0"/>
        <v>9500</v>
      </c>
      <c r="G50" s="80"/>
      <c r="H50" s="80"/>
      <c r="I50" s="80"/>
      <c r="J50" s="80">
        <v>1000</v>
      </c>
      <c r="K50" s="80"/>
      <c r="L50" s="80"/>
      <c r="M50" s="81"/>
      <c r="N50" s="79">
        <v>8500</v>
      </c>
      <c r="O50" s="82"/>
    </row>
    <row r="51" spans="1:15" s="40" customFormat="1" ht="12" customHeight="1">
      <c r="A51" s="87" t="s">
        <v>224</v>
      </c>
      <c r="B51" s="671" t="s">
        <v>452</v>
      </c>
      <c r="C51" s="660"/>
      <c r="D51" s="117" t="s">
        <v>357</v>
      </c>
      <c r="E51" s="78"/>
      <c r="F51" s="79">
        <f t="shared" si="0"/>
        <v>9000</v>
      </c>
      <c r="G51" s="80">
        <v>700</v>
      </c>
      <c r="H51" s="80">
        <v>300</v>
      </c>
      <c r="I51" s="80">
        <v>8000</v>
      </c>
      <c r="J51" s="80"/>
      <c r="K51" s="80"/>
      <c r="L51" s="80"/>
      <c r="M51" s="81"/>
      <c r="N51" s="79"/>
      <c r="O51" s="82"/>
    </row>
    <row r="52" spans="1:15" s="40" customFormat="1" ht="12" customHeight="1">
      <c r="A52" s="87"/>
      <c r="B52" s="176"/>
      <c r="C52" s="175"/>
      <c r="D52" s="117" t="s">
        <v>59</v>
      </c>
      <c r="E52" s="79"/>
      <c r="F52" s="79">
        <f t="shared" si="0"/>
        <v>9000</v>
      </c>
      <c r="G52" s="80">
        <v>700</v>
      </c>
      <c r="H52" s="80">
        <v>300</v>
      </c>
      <c r="I52" s="80">
        <v>8000</v>
      </c>
      <c r="J52" s="80"/>
      <c r="K52" s="80"/>
      <c r="L52" s="80"/>
      <c r="M52" s="81"/>
      <c r="N52" s="79"/>
      <c r="O52" s="82"/>
    </row>
    <row r="53" spans="1:15" s="40" customFormat="1" ht="12" customHeight="1">
      <c r="A53" s="87"/>
      <c r="B53" s="176"/>
      <c r="C53" s="175"/>
      <c r="D53" s="117" t="s">
        <v>259</v>
      </c>
      <c r="E53" s="79">
        <v>1425</v>
      </c>
      <c r="F53" s="79">
        <f t="shared" si="0"/>
        <v>10425</v>
      </c>
      <c r="G53" s="80">
        <v>700</v>
      </c>
      <c r="H53" s="80">
        <v>300</v>
      </c>
      <c r="I53" s="80">
        <v>9425</v>
      </c>
      <c r="J53" s="80"/>
      <c r="K53" s="80"/>
      <c r="L53" s="80"/>
      <c r="M53" s="81"/>
      <c r="N53" s="79"/>
      <c r="O53" s="82"/>
    </row>
    <row r="54" spans="1:15" s="40" customFormat="1" ht="12" customHeight="1">
      <c r="A54" s="87" t="s">
        <v>224</v>
      </c>
      <c r="B54" s="671" t="s">
        <v>467</v>
      </c>
      <c r="C54" s="660"/>
      <c r="D54" s="117" t="s">
        <v>357</v>
      </c>
      <c r="E54" s="79"/>
      <c r="F54" s="79">
        <f t="shared" si="0"/>
        <v>8000</v>
      </c>
      <c r="G54" s="80"/>
      <c r="H54" s="80"/>
      <c r="I54" s="80"/>
      <c r="J54" s="80"/>
      <c r="K54" s="80"/>
      <c r="L54" s="80"/>
      <c r="M54" s="81"/>
      <c r="N54" s="79"/>
      <c r="O54" s="82">
        <v>8000</v>
      </c>
    </row>
    <row r="55" spans="1:15" s="40" customFormat="1" ht="12" customHeight="1">
      <c r="A55" s="83"/>
      <c r="B55" s="176"/>
      <c r="C55" s="175"/>
      <c r="D55" s="117" t="s">
        <v>59</v>
      </c>
      <c r="E55" s="79"/>
      <c r="F55" s="79">
        <f t="shared" si="0"/>
        <v>22602</v>
      </c>
      <c r="G55" s="80"/>
      <c r="H55" s="80"/>
      <c r="I55" s="80"/>
      <c r="J55" s="80"/>
      <c r="K55" s="80"/>
      <c r="L55" s="80"/>
      <c r="M55" s="81"/>
      <c r="N55" s="79"/>
      <c r="O55" s="82">
        <v>22602</v>
      </c>
    </row>
    <row r="56" spans="1:15" s="40" customFormat="1" ht="12" customHeight="1">
      <c r="A56" s="83"/>
      <c r="B56" s="176"/>
      <c r="C56" s="175"/>
      <c r="D56" s="117" t="s">
        <v>259</v>
      </c>
      <c r="E56" s="79"/>
      <c r="F56" s="79">
        <f t="shared" si="0"/>
        <v>20000</v>
      </c>
      <c r="G56" s="80"/>
      <c r="H56" s="80"/>
      <c r="I56" s="80"/>
      <c r="J56" s="80"/>
      <c r="K56" s="80"/>
      <c r="L56" s="80"/>
      <c r="M56" s="81"/>
      <c r="N56" s="79"/>
      <c r="O56" s="82">
        <v>20000</v>
      </c>
    </row>
    <row r="57" spans="1:15" s="40" customFormat="1" ht="12" customHeight="1">
      <c r="A57" s="83" t="s">
        <v>224</v>
      </c>
      <c r="B57" s="671" t="s">
        <v>376</v>
      </c>
      <c r="C57" s="660"/>
      <c r="D57" s="117" t="s">
        <v>357</v>
      </c>
      <c r="E57" s="79"/>
      <c r="F57" s="79">
        <f t="shared" si="0"/>
        <v>100000</v>
      </c>
      <c r="G57" s="80"/>
      <c r="H57" s="80"/>
      <c r="I57" s="80"/>
      <c r="J57" s="80"/>
      <c r="K57" s="80"/>
      <c r="L57" s="80"/>
      <c r="M57" s="81"/>
      <c r="N57" s="79"/>
      <c r="O57" s="82">
        <v>100000</v>
      </c>
    </row>
    <row r="58" spans="1:15" s="40" customFormat="1" ht="12" customHeight="1">
      <c r="A58" s="83"/>
      <c r="B58" s="176"/>
      <c r="C58" s="175"/>
      <c r="D58" s="117" t="s">
        <v>59</v>
      </c>
      <c r="E58" s="79"/>
      <c r="F58" s="79">
        <f t="shared" si="0"/>
        <v>75653</v>
      </c>
      <c r="G58" s="80"/>
      <c r="H58" s="80"/>
      <c r="I58" s="80"/>
      <c r="J58" s="80"/>
      <c r="K58" s="80"/>
      <c r="L58" s="80"/>
      <c r="M58" s="81"/>
      <c r="N58" s="79"/>
      <c r="O58" s="82">
        <v>75653</v>
      </c>
    </row>
    <row r="59" spans="1:15" s="40" customFormat="1" ht="12" customHeight="1">
      <c r="A59" s="83"/>
      <c r="B59" s="176"/>
      <c r="C59" s="175"/>
      <c r="D59" s="117" t="s">
        <v>259</v>
      </c>
      <c r="E59" s="79"/>
      <c r="F59" s="79">
        <f t="shared" si="0"/>
        <v>36252</v>
      </c>
      <c r="G59" s="80"/>
      <c r="H59" s="80"/>
      <c r="I59" s="80"/>
      <c r="J59" s="80"/>
      <c r="K59" s="80"/>
      <c r="L59" s="80"/>
      <c r="M59" s="81"/>
      <c r="N59" s="79"/>
      <c r="O59" s="82">
        <v>36252</v>
      </c>
    </row>
    <row r="60" spans="1:15" s="40" customFormat="1" ht="12" customHeight="1">
      <c r="A60" s="83" t="s">
        <v>224</v>
      </c>
      <c r="B60" s="671" t="s">
        <v>184</v>
      </c>
      <c r="C60" s="660"/>
      <c r="D60" s="117" t="s">
        <v>357</v>
      </c>
      <c r="E60" s="78"/>
      <c r="F60" s="79">
        <f t="shared" si="0"/>
        <v>151004</v>
      </c>
      <c r="G60" s="89"/>
      <c r="H60" s="89"/>
      <c r="I60" s="89">
        <v>133031</v>
      </c>
      <c r="J60" s="89"/>
      <c r="K60" s="89"/>
      <c r="L60" s="89"/>
      <c r="M60" s="90"/>
      <c r="N60" s="78">
        <v>17973</v>
      </c>
      <c r="O60" s="86"/>
    </row>
    <row r="61" spans="1:15" s="40" customFormat="1" ht="12" customHeight="1">
      <c r="A61" s="290"/>
      <c r="B61" s="287"/>
      <c r="C61" s="292"/>
      <c r="D61" s="288" t="s">
        <v>59</v>
      </c>
      <c r="E61" s="84"/>
      <c r="F61" s="84">
        <f>SUM(G61:O61)</f>
        <v>151004</v>
      </c>
      <c r="G61" s="110"/>
      <c r="H61" s="110"/>
      <c r="I61" s="110">
        <v>133031</v>
      </c>
      <c r="J61" s="110">
        <v>3361</v>
      </c>
      <c r="K61" s="110"/>
      <c r="L61" s="110"/>
      <c r="M61" s="289"/>
      <c r="N61" s="84">
        <v>14612</v>
      </c>
      <c r="O61" s="111"/>
    </row>
    <row r="62" spans="1:15" s="40" customFormat="1" ht="12" customHeight="1" thickBot="1">
      <c r="A62" s="135"/>
      <c r="B62" s="517"/>
      <c r="C62" s="518"/>
      <c r="D62" s="453" t="s">
        <v>259</v>
      </c>
      <c r="E62" s="136"/>
      <c r="F62" s="136">
        <f>SUM(G62:O62)</f>
        <v>151004</v>
      </c>
      <c r="G62" s="136"/>
      <c r="H62" s="136"/>
      <c r="I62" s="136">
        <v>133031</v>
      </c>
      <c r="J62" s="136">
        <v>3361</v>
      </c>
      <c r="K62" s="136"/>
      <c r="L62" s="136"/>
      <c r="M62" s="136"/>
      <c r="N62" s="136">
        <v>14612</v>
      </c>
      <c r="O62" s="137"/>
    </row>
    <row r="63" spans="1:15" s="40" customFormat="1" ht="11.25" customHeight="1" thickTop="1">
      <c r="A63" s="693" t="s">
        <v>431</v>
      </c>
      <c r="B63" s="694"/>
      <c r="C63" s="694"/>
      <c r="D63" s="695"/>
      <c r="E63" s="625" t="s">
        <v>197</v>
      </c>
      <c r="F63" s="613" t="s">
        <v>432</v>
      </c>
      <c r="G63" s="73" t="s">
        <v>433</v>
      </c>
      <c r="H63" s="74"/>
      <c r="I63" s="74"/>
      <c r="J63" s="75"/>
      <c r="K63" s="75"/>
      <c r="L63" s="73" t="s">
        <v>351</v>
      </c>
      <c r="M63" s="74"/>
      <c r="N63" s="616" t="s">
        <v>715</v>
      </c>
      <c r="O63" s="619" t="s">
        <v>412</v>
      </c>
    </row>
    <row r="64" spans="1:15" s="40" customFormat="1" ht="11.25" customHeight="1">
      <c r="A64" s="696"/>
      <c r="B64" s="697"/>
      <c r="C64" s="697"/>
      <c r="D64" s="698"/>
      <c r="E64" s="626"/>
      <c r="F64" s="614"/>
      <c r="G64" s="622" t="s">
        <v>710</v>
      </c>
      <c r="H64" s="622" t="s">
        <v>711</v>
      </c>
      <c r="I64" s="622" t="s">
        <v>712</v>
      </c>
      <c r="J64" s="622" t="s">
        <v>713</v>
      </c>
      <c r="K64" s="622" t="s">
        <v>714</v>
      </c>
      <c r="L64" s="612" t="s">
        <v>427</v>
      </c>
      <c r="M64" s="612" t="s">
        <v>408</v>
      </c>
      <c r="N64" s="617"/>
      <c r="O64" s="620"/>
    </row>
    <row r="65" spans="1:15" s="40" customFormat="1" ht="38.25" customHeight="1" thickBot="1">
      <c r="A65" s="699"/>
      <c r="B65" s="700"/>
      <c r="C65" s="700"/>
      <c r="D65" s="701"/>
      <c r="E65" s="627"/>
      <c r="F65" s="615"/>
      <c r="G65" s="618"/>
      <c r="H65" s="618"/>
      <c r="I65" s="618"/>
      <c r="J65" s="618"/>
      <c r="K65" s="618"/>
      <c r="L65" s="670"/>
      <c r="M65" s="670"/>
      <c r="N65" s="618"/>
      <c r="O65" s="621"/>
    </row>
    <row r="66" spans="1:15" s="40" customFormat="1" ht="12" customHeight="1" thickTop="1">
      <c r="A66" s="96">
        <v>751153</v>
      </c>
      <c r="B66" s="675" t="s">
        <v>453</v>
      </c>
      <c r="C66" s="675"/>
      <c r="D66" s="117" t="s">
        <v>357</v>
      </c>
      <c r="E66" s="78"/>
      <c r="F66" s="78">
        <f aca="true" t="shared" si="1" ref="F66:F71">SUM(G66:O66)</f>
        <v>53601</v>
      </c>
      <c r="G66" s="80"/>
      <c r="H66" s="80"/>
      <c r="I66" s="80">
        <v>53601</v>
      </c>
      <c r="J66" s="80"/>
      <c r="K66" s="80"/>
      <c r="L66" s="80"/>
      <c r="M66" s="81"/>
      <c r="N66" s="78"/>
      <c r="O66" s="86"/>
    </row>
    <row r="67" spans="1:15" s="40" customFormat="1" ht="12" customHeight="1">
      <c r="A67" s="96"/>
      <c r="B67" s="173"/>
      <c r="C67" s="173"/>
      <c r="D67" s="117" t="s">
        <v>59</v>
      </c>
      <c r="E67" s="78"/>
      <c r="F67" s="78">
        <f t="shared" si="1"/>
        <v>53601</v>
      </c>
      <c r="G67" s="80"/>
      <c r="H67" s="80"/>
      <c r="I67" s="80">
        <v>53601</v>
      </c>
      <c r="J67" s="80"/>
      <c r="K67" s="80"/>
      <c r="L67" s="80"/>
      <c r="M67" s="81"/>
      <c r="N67" s="78"/>
      <c r="O67" s="86"/>
    </row>
    <row r="68" spans="1:15" s="40" customFormat="1" ht="12" customHeight="1">
      <c r="A68" s="96"/>
      <c r="B68" s="173"/>
      <c r="C68" s="173"/>
      <c r="D68" s="117" t="s">
        <v>259</v>
      </c>
      <c r="E68" s="78"/>
      <c r="F68" s="78">
        <f t="shared" si="1"/>
        <v>53601</v>
      </c>
      <c r="G68" s="80"/>
      <c r="H68" s="80"/>
      <c r="I68" s="80">
        <v>53601</v>
      </c>
      <c r="J68" s="80"/>
      <c r="K68" s="80"/>
      <c r="L68" s="80"/>
      <c r="M68" s="81"/>
      <c r="N68" s="78"/>
      <c r="O68" s="86"/>
    </row>
    <row r="69" spans="1:15" s="40" customFormat="1" ht="12" customHeight="1">
      <c r="A69" s="96">
        <v>751153</v>
      </c>
      <c r="B69" s="173" t="s">
        <v>274</v>
      </c>
      <c r="C69" s="173"/>
      <c r="D69" s="117" t="s">
        <v>357</v>
      </c>
      <c r="E69" s="78"/>
      <c r="F69" s="78">
        <f t="shared" si="1"/>
        <v>0</v>
      </c>
      <c r="G69" s="80"/>
      <c r="H69" s="80"/>
      <c r="I69" s="80"/>
      <c r="J69" s="80"/>
      <c r="K69" s="80"/>
      <c r="L69" s="80"/>
      <c r="M69" s="81"/>
      <c r="N69" s="78"/>
      <c r="O69" s="86"/>
    </row>
    <row r="70" spans="1:15" s="40" customFormat="1" ht="12" customHeight="1">
      <c r="A70" s="96"/>
      <c r="B70" s="173"/>
      <c r="C70" s="173"/>
      <c r="D70" s="117" t="s">
        <v>59</v>
      </c>
      <c r="E70" s="78"/>
      <c r="F70" s="78">
        <f t="shared" si="1"/>
        <v>0</v>
      </c>
      <c r="G70" s="80"/>
      <c r="H70" s="80"/>
      <c r="I70" s="80"/>
      <c r="J70" s="80"/>
      <c r="K70" s="80"/>
      <c r="L70" s="80"/>
      <c r="M70" s="81"/>
      <c r="N70" s="78"/>
      <c r="O70" s="86"/>
    </row>
    <row r="71" spans="1:15" s="40" customFormat="1" ht="12" customHeight="1">
      <c r="A71" s="96"/>
      <c r="B71" s="173"/>
      <c r="C71" s="173"/>
      <c r="D71" s="117" t="s">
        <v>259</v>
      </c>
      <c r="E71" s="78"/>
      <c r="F71" s="78">
        <f t="shared" si="1"/>
        <v>12675</v>
      </c>
      <c r="G71" s="80"/>
      <c r="H71" s="80"/>
      <c r="I71" s="80">
        <v>12675</v>
      </c>
      <c r="J71" s="80"/>
      <c r="K71" s="80"/>
      <c r="L71" s="80"/>
      <c r="M71" s="81"/>
      <c r="N71" s="78"/>
      <c r="O71" s="86"/>
    </row>
    <row r="72" spans="1:15" s="40" customFormat="1" ht="12" customHeight="1">
      <c r="A72" s="96">
        <v>751175</v>
      </c>
      <c r="B72" s="671" t="s">
        <v>49</v>
      </c>
      <c r="C72" s="672"/>
      <c r="D72" s="117" t="s">
        <v>357</v>
      </c>
      <c r="E72" s="78"/>
      <c r="F72" s="78">
        <f aca="true" t="shared" si="2" ref="F72:F132">SUM(G72:O72)</f>
        <v>0</v>
      </c>
      <c r="G72" s="80"/>
      <c r="H72" s="80"/>
      <c r="I72" s="80"/>
      <c r="J72" s="80"/>
      <c r="K72" s="80"/>
      <c r="L72" s="80"/>
      <c r="M72" s="81"/>
      <c r="N72" s="78"/>
      <c r="O72" s="86"/>
    </row>
    <row r="73" spans="1:15" s="40" customFormat="1" ht="12" customHeight="1">
      <c r="A73" s="96"/>
      <c r="B73" s="173"/>
      <c r="C73" s="173"/>
      <c r="D73" s="117" t="s">
        <v>59</v>
      </c>
      <c r="E73" s="78">
        <v>4744</v>
      </c>
      <c r="F73" s="78">
        <f t="shared" si="2"/>
        <v>4744</v>
      </c>
      <c r="G73" s="80">
        <v>2598</v>
      </c>
      <c r="H73" s="80">
        <v>704</v>
      </c>
      <c r="I73" s="80">
        <v>1427</v>
      </c>
      <c r="J73" s="80">
        <v>15</v>
      </c>
      <c r="K73" s="80"/>
      <c r="L73" s="80"/>
      <c r="M73" s="81"/>
      <c r="N73" s="78"/>
      <c r="O73" s="86"/>
    </row>
    <row r="74" spans="1:15" s="40" customFormat="1" ht="12" customHeight="1">
      <c r="A74" s="96"/>
      <c r="B74" s="173"/>
      <c r="C74" s="173"/>
      <c r="D74" s="117" t="s">
        <v>259</v>
      </c>
      <c r="E74" s="78">
        <v>4744</v>
      </c>
      <c r="F74" s="78">
        <f t="shared" si="2"/>
        <v>4744</v>
      </c>
      <c r="G74" s="80">
        <v>2598</v>
      </c>
      <c r="H74" s="80">
        <v>704</v>
      </c>
      <c r="I74" s="80">
        <v>1427</v>
      </c>
      <c r="J74" s="80">
        <v>15</v>
      </c>
      <c r="K74" s="80"/>
      <c r="L74" s="80"/>
      <c r="M74" s="81"/>
      <c r="N74" s="78"/>
      <c r="O74" s="86"/>
    </row>
    <row r="75" spans="1:15" s="40" customFormat="1" ht="12" customHeight="1">
      <c r="A75" s="87" t="s">
        <v>212</v>
      </c>
      <c r="B75" s="675" t="s">
        <v>191</v>
      </c>
      <c r="C75" s="680"/>
      <c r="D75" s="117" t="s">
        <v>357</v>
      </c>
      <c r="E75" s="78"/>
      <c r="F75" s="78">
        <f t="shared" si="2"/>
        <v>1350</v>
      </c>
      <c r="G75" s="80"/>
      <c r="H75" s="80"/>
      <c r="I75" s="80"/>
      <c r="J75" s="80">
        <v>1350</v>
      </c>
      <c r="K75" s="80"/>
      <c r="L75" s="80"/>
      <c r="M75" s="81"/>
      <c r="N75" s="78"/>
      <c r="O75" s="86"/>
    </row>
    <row r="76" spans="1:15" s="40" customFormat="1" ht="12" customHeight="1">
      <c r="A76" s="87"/>
      <c r="B76" s="173"/>
      <c r="C76" s="178"/>
      <c r="D76" s="117" t="s">
        <v>59</v>
      </c>
      <c r="E76" s="78"/>
      <c r="F76" s="78">
        <f t="shared" si="2"/>
        <v>3450</v>
      </c>
      <c r="G76" s="80"/>
      <c r="H76" s="80"/>
      <c r="I76" s="80"/>
      <c r="J76" s="80">
        <v>3450</v>
      </c>
      <c r="K76" s="80"/>
      <c r="L76" s="80"/>
      <c r="M76" s="81"/>
      <c r="N76" s="78"/>
      <c r="O76" s="86"/>
    </row>
    <row r="77" spans="1:15" s="40" customFormat="1" ht="12" customHeight="1">
      <c r="A77" s="87"/>
      <c r="B77" s="173"/>
      <c r="C77" s="178"/>
      <c r="D77" s="117" t="s">
        <v>259</v>
      </c>
      <c r="E77" s="78"/>
      <c r="F77" s="78">
        <f t="shared" si="2"/>
        <v>3450</v>
      </c>
      <c r="G77" s="80"/>
      <c r="H77" s="80"/>
      <c r="I77" s="80"/>
      <c r="J77" s="80">
        <v>3450</v>
      </c>
      <c r="K77" s="80"/>
      <c r="L77" s="80"/>
      <c r="M77" s="81"/>
      <c r="N77" s="78"/>
      <c r="O77" s="86"/>
    </row>
    <row r="78" spans="1:15" s="40" customFormat="1" ht="12" customHeight="1">
      <c r="A78" s="87" t="s">
        <v>213</v>
      </c>
      <c r="B78" s="671" t="s">
        <v>441</v>
      </c>
      <c r="C78" s="672"/>
      <c r="D78" s="117" t="s">
        <v>357</v>
      </c>
      <c r="E78" s="78"/>
      <c r="F78" s="78">
        <f t="shared" si="2"/>
        <v>250</v>
      </c>
      <c r="G78" s="80"/>
      <c r="H78" s="80"/>
      <c r="I78" s="80">
        <v>250</v>
      </c>
      <c r="J78" s="80"/>
      <c r="K78" s="80"/>
      <c r="L78" s="80"/>
      <c r="M78" s="81"/>
      <c r="N78" s="78"/>
      <c r="O78" s="86"/>
    </row>
    <row r="79" spans="1:15" s="40" customFormat="1" ht="12" customHeight="1">
      <c r="A79" s="87"/>
      <c r="B79" s="176"/>
      <c r="C79" s="177"/>
      <c r="D79" s="117" t="s">
        <v>59</v>
      </c>
      <c r="E79" s="78"/>
      <c r="F79" s="78">
        <f t="shared" si="2"/>
        <v>250</v>
      </c>
      <c r="G79" s="80"/>
      <c r="H79" s="80"/>
      <c r="I79" s="80">
        <v>250</v>
      </c>
      <c r="J79" s="80"/>
      <c r="K79" s="80"/>
      <c r="L79" s="80"/>
      <c r="M79" s="81"/>
      <c r="N79" s="78"/>
      <c r="O79" s="86"/>
    </row>
    <row r="80" spans="1:15" s="40" customFormat="1" ht="12" customHeight="1">
      <c r="A80" s="87"/>
      <c r="B80" s="176"/>
      <c r="C80" s="177"/>
      <c r="D80" s="117" t="s">
        <v>259</v>
      </c>
      <c r="E80" s="78">
        <v>1548</v>
      </c>
      <c r="F80" s="78">
        <f t="shared" si="2"/>
        <v>1798</v>
      </c>
      <c r="G80" s="80"/>
      <c r="H80" s="80"/>
      <c r="I80" s="80">
        <v>1798</v>
      </c>
      <c r="J80" s="80"/>
      <c r="K80" s="80"/>
      <c r="L80" s="80"/>
      <c r="M80" s="81"/>
      <c r="N80" s="78"/>
      <c r="O80" s="86"/>
    </row>
    <row r="81" spans="1:15" s="40" customFormat="1" ht="12" customHeight="1">
      <c r="A81" s="87" t="s">
        <v>214</v>
      </c>
      <c r="B81" s="671" t="s">
        <v>440</v>
      </c>
      <c r="C81" s="672"/>
      <c r="D81" s="117" t="s">
        <v>357</v>
      </c>
      <c r="E81" s="78">
        <v>15000</v>
      </c>
      <c r="F81" s="78">
        <f t="shared" si="2"/>
        <v>43200</v>
      </c>
      <c r="G81" s="80">
        <v>30870</v>
      </c>
      <c r="H81" s="80">
        <v>10698</v>
      </c>
      <c r="I81" s="80">
        <v>1632</v>
      </c>
      <c r="J81" s="80"/>
      <c r="K81" s="80"/>
      <c r="L81" s="80"/>
      <c r="M81" s="81"/>
      <c r="N81" s="78"/>
      <c r="O81" s="86"/>
    </row>
    <row r="82" spans="1:15" s="40" customFormat="1" ht="12" customHeight="1">
      <c r="A82" s="87"/>
      <c r="B82" s="176"/>
      <c r="C82" s="177"/>
      <c r="D82" s="117" t="s">
        <v>59</v>
      </c>
      <c r="E82" s="78">
        <v>15000</v>
      </c>
      <c r="F82" s="78">
        <f t="shared" si="2"/>
        <v>43200</v>
      </c>
      <c r="G82" s="80">
        <v>30870</v>
      </c>
      <c r="H82" s="80">
        <v>10698</v>
      </c>
      <c r="I82" s="80">
        <v>1632</v>
      </c>
      <c r="J82" s="80"/>
      <c r="K82" s="80"/>
      <c r="L82" s="80"/>
      <c r="M82" s="81"/>
      <c r="N82" s="78"/>
      <c r="O82" s="86"/>
    </row>
    <row r="83" spans="1:15" s="40" customFormat="1" ht="12" customHeight="1">
      <c r="A83" s="87"/>
      <c r="B83" s="176"/>
      <c r="C83" s="177"/>
      <c r="D83" s="117" t="s">
        <v>259</v>
      </c>
      <c r="E83" s="78">
        <v>9000</v>
      </c>
      <c r="F83" s="78">
        <f t="shared" si="2"/>
        <v>77200</v>
      </c>
      <c r="G83" s="80">
        <v>59870</v>
      </c>
      <c r="H83" s="80">
        <v>15698</v>
      </c>
      <c r="I83" s="80">
        <v>1632</v>
      </c>
      <c r="J83" s="80"/>
      <c r="K83" s="80"/>
      <c r="L83" s="80"/>
      <c r="M83" s="81"/>
      <c r="N83" s="78"/>
      <c r="O83" s="86"/>
    </row>
    <row r="84" spans="1:15" s="40" customFormat="1" ht="12" customHeight="1">
      <c r="A84" s="87" t="s">
        <v>215</v>
      </c>
      <c r="B84" s="671" t="s">
        <v>442</v>
      </c>
      <c r="C84" s="672"/>
      <c r="D84" s="117" t="s">
        <v>357</v>
      </c>
      <c r="E84" s="78"/>
      <c r="F84" s="78">
        <f t="shared" si="2"/>
        <v>17500</v>
      </c>
      <c r="G84" s="80"/>
      <c r="H84" s="80"/>
      <c r="I84" s="80">
        <v>1600</v>
      </c>
      <c r="J84" s="80"/>
      <c r="K84" s="80"/>
      <c r="L84" s="80">
        <v>15900</v>
      </c>
      <c r="M84" s="81"/>
      <c r="N84" s="78"/>
      <c r="O84" s="86"/>
    </row>
    <row r="85" spans="1:15" s="40" customFormat="1" ht="12" customHeight="1">
      <c r="A85" s="87"/>
      <c r="B85" s="176"/>
      <c r="C85" s="177"/>
      <c r="D85" s="117" t="s">
        <v>59</v>
      </c>
      <c r="E85" s="79"/>
      <c r="F85" s="78">
        <f t="shared" si="2"/>
        <v>27349</v>
      </c>
      <c r="G85" s="80"/>
      <c r="H85" s="80"/>
      <c r="I85" s="80">
        <v>1600</v>
      </c>
      <c r="J85" s="80"/>
      <c r="K85" s="80"/>
      <c r="L85" s="80">
        <v>25749</v>
      </c>
      <c r="M85" s="81"/>
      <c r="N85" s="79"/>
      <c r="O85" s="82"/>
    </row>
    <row r="86" spans="1:15" s="40" customFormat="1" ht="12" customHeight="1">
      <c r="A86" s="87"/>
      <c r="B86" s="176"/>
      <c r="C86" s="177"/>
      <c r="D86" s="117" t="s">
        <v>259</v>
      </c>
      <c r="E86" s="79"/>
      <c r="F86" s="78">
        <f t="shared" si="2"/>
        <v>27349</v>
      </c>
      <c r="G86" s="80"/>
      <c r="H86" s="80"/>
      <c r="I86" s="80">
        <v>2500</v>
      </c>
      <c r="J86" s="80"/>
      <c r="K86" s="80"/>
      <c r="L86" s="80">
        <v>24849</v>
      </c>
      <c r="M86" s="81"/>
      <c r="N86" s="79"/>
      <c r="O86" s="82"/>
    </row>
    <row r="87" spans="1:15" s="40" customFormat="1" ht="12" customHeight="1">
      <c r="A87" s="87" t="s">
        <v>216</v>
      </c>
      <c r="B87" s="671" t="s">
        <v>443</v>
      </c>
      <c r="C87" s="672"/>
      <c r="D87" s="117" t="s">
        <v>357</v>
      </c>
      <c r="E87" s="79"/>
      <c r="F87" s="78">
        <f t="shared" si="2"/>
        <v>31640</v>
      </c>
      <c r="G87" s="80"/>
      <c r="H87" s="80"/>
      <c r="I87" s="80">
        <v>14040</v>
      </c>
      <c r="J87" s="80">
        <v>8000</v>
      </c>
      <c r="K87" s="80"/>
      <c r="L87" s="80"/>
      <c r="M87" s="81">
        <v>9600</v>
      </c>
      <c r="N87" s="79"/>
      <c r="O87" s="82"/>
    </row>
    <row r="88" spans="1:15" s="40" customFormat="1" ht="12" customHeight="1">
      <c r="A88" s="87"/>
      <c r="B88" s="176"/>
      <c r="C88" s="177"/>
      <c r="D88" s="117" t="s">
        <v>59</v>
      </c>
      <c r="E88" s="79"/>
      <c r="F88" s="78">
        <f t="shared" si="2"/>
        <v>30390</v>
      </c>
      <c r="G88" s="80"/>
      <c r="H88" s="80"/>
      <c r="I88" s="80">
        <v>14040</v>
      </c>
      <c r="J88" s="80">
        <v>6750</v>
      </c>
      <c r="K88" s="80"/>
      <c r="L88" s="80"/>
      <c r="M88" s="81">
        <v>9600</v>
      </c>
      <c r="N88" s="79"/>
      <c r="O88" s="82"/>
    </row>
    <row r="89" spans="1:15" s="40" customFormat="1" ht="12" customHeight="1">
      <c r="A89" s="87"/>
      <c r="B89" s="176"/>
      <c r="C89" s="177"/>
      <c r="D89" s="117" t="s">
        <v>259</v>
      </c>
      <c r="E89" s="79"/>
      <c r="F89" s="78">
        <f t="shared" si="2"/>
        <v>30390</v>
      </c>
      <c r="G89" s="80"/>
      <c r="H89" s="80"/>
      <c r="I89" s="80">
        <v>14040</v>
      </c>
      <c r="J89" s="80">
        <v>6750</v>
      </c>
      <c r="K89" s="80"/>
      <c r="L89" s="80"/>
      <c r="M89" s="81">
        <v>9600</v>
      </c>
      <c r="N89" s="79"/>
      <c r="O89" s="82"/>
    </row>
    <row r="90" spans="1:15" s="40" customFormat="1" ht="12" customHeight="1">
      <c r="A90" s="87"/>
      <c r="B90" s="671" t="s">
        <v>444</v>
      </c>
      <c r="C90" s="672"/>
      <c r="D90" s="117" t="s">
        <v>357</v>
      </c>
      <c r="E90" s="78">
        <v>136825</v>
      </c>
      <c r="F90" s="78">
        <f t="shared" si="2"/>
        <v>408118</v>
      </c>
      <c r="G90" s="89"/>
      <c r="H90" s="89"/>
      <c r="I90" s="89">
        <v>13080</v>
      </c>
      <c r="J90" s="89">
        <v>43290</v>
      </c>
      <c r="K90" s="89"/>
      <c r="L90" s="89">
        <v>4800</v>
      </c>
      <c r="M90" s="90">
        <v>346948</v>
      </c>
      <c r="N90" s="78"/>
      <c r="O90" s="86"/>
    </row>
    <row r="91" spans="1:15" s="40" customFormat="1" ht="12" customHeight="1">
      <c r="A91" s="83"/>
      <c r="B91" s="133"/>
      <c r="C91" s="170"/>
      <c r="D91" s="117" t="s">
        <v>59</v>
      </c>
      <c r="E91" s="79">
        <v>79567</v>
      </c>
      <c r="F91" s="78">
        <f t="shared" si="2"/>
        <v>357671</v>
      </c>
      <c r="G91" s="80"/>
      <c r="H91" s="80"/>
      <c r="I91" s="80">
        <v>13080</v>
      </c>
      <c r="J91" s="80">
        <v>63290</v>
      </c>
      <c r="K91" s="80"/>
      <c r="L91" s="80">
        <v>4800</v>
      </c>
      <c r="M91" s="81">
        <v>251501</v>
      </c>
      <c r="N91" s="79">
        <v>25000</v>
      </c>
      <c r="O91" s="82"/>
    </row>
    <row r="92" spans="1:15" s="40" customFormat="1" ht="12" customHeight="1">
      <c r="A92" s="83"/>
      <c r="B92" s="133"/>
      <c r="C92" s="170"/>
      <c r="D92" s="117" t="s">
        <v>259</v>
      </c>
      <c r="E92" s="79">
        <v>564292</v>
      </c>
      <c r="F92" s="78">
        <f t="shared" si="2"/>
        <v>861766</v>
      </c>
      <c r="G92" s="80"/>
      <c r="H92" s="80"/>
      <c r="I92" s="80">
        <v>13080</v>
      </c>
      <c r="J92" s="80">
        <v>78660</v>
      </c>
      <c r="K92" s="80"/>
      <c r="L92" s="80">
        <v>4800</v>
      </c>
      <c r="M92" s="81">
        <v>740226</v>
      </c>
      <c r="N92" s="79">
        <v>25000</v>
      </c>
      <c r="O92" s="82"/>
    </row>
    <row r="93" spans="1:15" s="41" customFormat="1" ht="12" customHeight="1">
      <c r="A93" s="83"/>
      <c r="B93" s="691" t="s">
        <v>445</v>
      </c>
      <c r="C93" s="705"/>
      <c r="D93" s="118" t="s">
        <v>357</v>
      </c>
      <c r="E93" s="79"/>
      <c r="F93" s="78">
        <f t="shared" si="2"/>
        <v>37300</v>
      </c>
      <c r="G93" s="80"/>
      <c r="H93" s="80"/>
      <c r="I93" s="80">
        <v>31300</v>
      </c>
      <c r="J93" s="80">
        <v>6000</v>
      </c>
      <c r="K93" s="80"/>
      <c r="L93" s="80"/>
      <c r="M93" s="81"/>
      <c r="N93" s="79"/>
      <c r="O93" s="82"/>
    </row>
    <row r="94" spans="1:15" s="41" customFormat="1" ht="12" customHeight="1">
      <c r="A94" s="83"/>
      <c r="B94" s="133"/>
      <c r="C94" s="170"/>
      <c r="D94" s="117" t="s">
        <v>59</v>
      </c>
      <c r="E94" s="79"/>
      <c r="F94" s="78">
        <f t="shared" si="2"/>
        <v>37300</v>
      </c>
      <c r="G94" s="80"/>
      <c r="H94" s="80"/>
      <c r="I94" s="80">
        <v>31300</v>
      </c>
      <c r="J94" s="80">
        <v>6000</v>
      </c>
      <c r="K94" s="80"/>
      <c r="L94" s="80"/>
      <c r="M94" s="81"/>
      <c r="N94" s="79"/>
      <c r="O94" s="82"/>
    </row>
    <row r="95" spans="1:15" s="41" customFormat="1" ht="12" customHeight="1">
      <c r="A95" s="83"/>
      <c r="B95" s="133"/>
      <c r="C95" s="170"/>
      <c r="D95" s="117" t="s">
        <v>259</v>
      </c>
      <c r="E95" s="79"/>
      <c r="F95" s="78">
        <f t="shared" si="2"/>
        <v>37300</v>
      </c>
      <c r="G95" s="80"/>
      <c r="H95" s="80"/>
      <c r="I95" s="80">
        <v>29800</v>
      </c>
      <c r="J95" s="80">
        <v>7500</v>
      </c>
      <c r="K95" s="80"/>
      <c r="L95" s="80"/>
      <c r="M95" s="81"/>
      <c r="N95" s="79"/>
      <c r="O95" s="82"/>
    </row>
    <row r="96" spans="1:15" s="40" customFormat="1" ht="12" customHeight="1">
      <c r="A96" s="83"/>
      <c r="B96" s="691" t="s">
        <v>248</v>
      </c>
      <c r="C96" s="705"/>
      <c r="D96" s="118" t="s">
        <v>357</v>
      </c>
      <c r="E96" s="79"/>
      <c r="F96" s="78">
        <f t="shared" si="2"/>
        <v>9000</v>
      </c>
      <c r="G96" s="80"/>
      <c r="H96" s="80"/>
      <c r="I96" s="80"/>
      <c r="J96" s="80">
        <v>9000</v>
      </c>
      <c r="K96" s="80"/>
      <c r="L96" s="80"/>
      <c r="M96" s="81"/>
      <c r="N96" s="79"/>
      <c r="O96" s="82"/>
    </row>
    <row r="97" spans="1:15" s="40" customFormat="1" ht="12" customHeight="1">
      <c r="A97" s="87"/>
      <c r="B97" s="176"/>
      <c r="C97" s="177"/>
      <c r="D97" s="117" t="s">
        <v>59</v>
      </c>
      <c r="E97" s="78"/>
      <c r="F97" s="78">
        <f t="shared" si="2"/>
        <v>30500</v>
      </c>
      <c r="G97" s="80"/>
      <c r="H97" s="80"/>
      <c r="I97" s="80">
        <v>9300</v>
      </c>
      <c r="J97" s="80">
        <v>14000</v>
      </c>
      <c r="K97" s="80"/>
      <c r="L97" s="80"/>
      <c r="M97" s="81">
        <v>7200</v>
      </c>
      <c r="N97" s="78"/>
      <c r="O97" s="86"/>
    </row>
    <row r="98" spans="1:15" s="40" customFormat="1" ht="12" customHeight="1">
      <c r="A98" s="87"/>
      <c r="B98" s="176"/>
      <c r="C98" s="177"/>
      <c r="D98" s="117" t="s">
        <v>259</v>
      </c>
      <c r="E98" s="78"/>
      <c r="F98" s="78">
        <f t="shared" si="2"/>
        <v>30500</v>
      </c>
      <c r="G98" s="80"/>
      <c r="H98" s="80"/>
      <c r="I98" s="80">
        <v>9300</v>
      </c>
      <c r="J98" s="80">
        <v>14000</v>
      </c>
      <c r="K98" s="80"/>
      <c r="L98" s="80"/>
      <c r="M98" s="81">
        <v>7200</v>
      </c>
      <c r="N98" s="78"/>
      <c r="O98" s="86"/>
    </row>
    <row r="99" spans="1:15" s="40" customFormat="1" ht="12" customHeight="1">
      <c r="A99" s="87" t="s">
        <v>211</v>
      </c>
      <c r="B99" s="671" t="s">
        <v>446</v>
      </c>
      <c r="C99" s="672"/>
      <c r="D99" s="117" t="s">
        <v>357</v>
      </c>
      <c r="E99" s="78">
        <v>5020</v>
      </c>
      <c r="F99" s="78">
        <f t="shared" si="2"/>
        <v>5250</v>
      </c>
      <c r="G99" s="97"/>
      <c r="H99" s="97"/>
      <c r="I99" s="92">
        <v>850</v>
      </c>
      <c r="J99" s="92"/>
      <c r="K99" s="98"/>
      <c r="L99" s="92">
        <v>2400</v>
      </c>
      <c r="M99" s="90">
        <v>2000</v>
      </c>
      <c r="N99" s="78"/>
      <c r="O99" s="86"/>
    </row>
    <row r="100" spans="1:15" s="40" customFormat="1" ht="12" customHeight="1">
      <c r="A100" s="87"/>
      <c r="B100" s="176"/>
      <c r="C100" s="177"/>
      <c r="D100" s="117" t="s">
        <v>59</v>
      </c>
      <c r="E100" s="78">
        <v>5020</v>
      </c>
      <c r="F100" s="78">
        <f t="shared" si="2"/>
        <v>37250</v>
      </c>
      <c r="G100" s="186"/>
      <c r="H100" s="186"/>
      <c r="I100" s="91">
        <v>850</v>
      </c>
      <c r="J100" s="91"/>
      <c r="K100" s="187"/>
      <c r="L100" s="91">
        <v>2400</v>
      </c>
      <c r="M100" s="81">
        <v>34000</v>
      </c>
      <c r="N100" s="78"/>
      <c r="O100" s="86"/>
    </row>
    <row r="101" spans="1:15" s="40" customFormat="1" ht="12" customHeight="1">
      <c r="A101" s="87"/>
      <c r="B101" s="176"/>
      <c r="C101" s="177"/>
      <c r="D101" s="117" t="s">
        <v>259</v>
      </c>
      <c r="E101" s="78">
        <v>5020</v>
      </c>
      <c r="F101" s="78">
        <f t="shared" si="2"/>
        <v>37250</v>
      </c>
      <c r="G101" s="186"/>
      <c r="H101" s="186"/>
      <c r="I101" s="91">
        <v>850</v>
      </c>
      <c r="J101" s="91"/>
      <c r="K101" s="187"/>
      <c r="L101" s="91">
        <v>2400</v>
      </c>
      <c r="M101" s="81">
        <v>34000</v>
      </c>
      <c r="N101" s="78"/>
      <c r="O101" s="86"/>
    </row>
    <row r="102" spans="1:15" s="40" customFormat="1" ht="12" customHeight="1">
      <c r="A102" s="87" t="s">
        <v>345</v>
      </c>
      <c r="B102" s="671" t="s">
        <v>233</v>
      </c>
      <c r="C102" s="672"/>
      <c r="D102" s="117" t="s">
        <v>357</v>
      </c>
      <c r="E102" s="78">
        <v>6200</v>
      </c>
      <c r="F102" s="78">
        <f t="shared" si="2"/>
        <v>10700</v>
      </c>
      <c r="G102" s="80"/>
      <c r="H102" s="80"/>
      <c r="I102" s="80">
        <v>10700</v>
      </c>
      <c r="J102" s="80"/>
      <c r="K102" s="80"/>
      <c r="L102" s="80"/>
      <c r="M102" s="81"/>
      <c r="N102" s="77"/>
      <c r="O102" s="86"/>
    </row>
    <row r="103" spans="1:15" s="40" customFormat="1" ht="12" customHeight="1">
      <c r="A103" s="87"/>
      <c r="B103" s="176"/>
      <c r="C103" s="177"/>
      <c r="D103" s="117" t="s">
        <v>59</v>
      </c>
      <c r="E103" s="79">
        <v>6200</v>
      </c>
      <c r="F103" s="78">
        <f t="shared" si="2"/>
        <v>10700</v>
      </c>
      <c r="G103" s="80"/>
      <c r="H103" s="80"/>
      <c r="I103" s="80">
        <v>10700</v>
      </c>
      <c r="J103" s="80"/>
      <c r="K103" s="80"/>
      <c r="L103" s="80"/>
      <c r="M103" s="81"/>
      <c r="N103" s="99"/>
      <c r="O103" s="82"/>
    </row>
    <row r="104" spans="1:15" s="40" customFormat="1" ht="12" customHeight="1">
      <c r="A104" s="87"/>
      <c r="B104" s="176"/>
      <c r="C104" s="177"/>
      <c r="D104" s="117" t="s">
        <v>259</v>
      </c>
      <c r="E104" s="79">
        <v>6200</v>
      </c>
      <c r="F104" s="78">
        <f t="shared" si="2"/>
        <v>10700</v>
      </c>
      <c r="G104" s="80"/>
      <c r="H104" s="80"/>
      <c r="I104" s="80">
        <v>10700</v>
      </c>
      <c r="J104" s="80"/>
      <c r="K104" s="80"/>
      <c r="L104" s="80"/>
      <c r="M104" s="81"/>
      <c r="N104" s="99"/>
      <c r="O104" s="82"/>
    </row>
    <row r="105" spans="1:15" s="40" customFormat="1" ht="12" customHeight="1">
      <c r="A105" s="87" t="s">
        <v>368</v>
      </c>
      <c r="B105" s="671" t="s">
        <v>447</v>
      </c>
      <c r="C105" s="672"/>
      <c r="D105" s="117" t="s">
        <v>357</v>
      </c>
      <c r="E105" s="79"/>
      <c r="F105" s="78">
        <f t="shared" si="2"/>
        <v>97552</v>
      </c>
      <c r="G105" s="80"/>
      <c r="H105" s="80"/>
      <c r="I105" s="80">
        <v>76052</v>
      </c>
      <c r="J105" s="80"/>
      <c r="K105" s="80"/>
      <c r="L105" s="80"/>
      <c r="M105" s="81">
        <v>21500</v>
      </c>
      <c r="N105" s="99"/>
      <c r="O105" s="82"/>
    </row>
    <row r="106" spans="1:15" s="40" customFormat="1" ht="12" customHeight="1">
      <c r="A106" s="83"/>
      <c r="B106" s="173"/>
      <c r="C106" s="177"/>
      <c r="D106" s="117" t="s">
        <v>59</v>
      </c>
      <c r="E106" s="79"/>
      <c r="F106" s="78">
        <f t="shared" si="2"/>
        <v>98332</v>
      </c>
      <c r="G106" s="80"/>
      <c r="H106" s="80"/>
      <c r="I106" s="80">
        <v>76052</v>
      </c>
      <c r="J106" s="80"/>
      <c r="K106" s="80"/>
      <c r="L106" s="80"/>
      <c r="M106" s="81">
        <v>22280</v>
      </c>
      <c r="N106" s="99"/>
      <c r="O106" s="82"/>
    </row>
    <row r="107" spans="1:15" s="40" customFormat="1" ht="12" customHeight="1">
      <c r="A107" s="83"/>
      <c r="B107" s="173"/>
      <c r="C107" s="177"/>
      <c r="D107" s="117" t="s">
        <v>259</v>
      </c>
      <c r="E107" s="79"/>
      <c r="F107" s="78">
        <f t="shared" si="2"/>
        <v>98332</v>
      </c>
      <c r="G107" s="80"/>
      <c r="H107" s="80"/>
      <c r="I107" s="80">
        <v>76052</v>
      </c>
      <c r="J107" s="80"/>
      <c r="K107" s="80"/>
      <c r="L107" s="80"/>
      <c r="M107" s="81">
        <v>22280</v>
      </c>
      <c r="N107" s="99"/>
      <c r="O107" s="82"/>
    </row>
    <row r="108" spans="1:15" s="40" customFormat="1" ht="12" customHeight="1">
      <c r="A108" s="83" t="s">
        <v>183</v>
      </c>
      <c r="B108" s="675" t="s">
        <v>200</v>
      </c>
      <c r="C108" s="676"/>
      <c r="D108" s="117" t="s">
        <v>357</v>
      </c>
      <c r="E108" s="79">
        <v>56000</v>
      </c>
      <c r="F108" s="78">
        <f t="shared" si="2"/>
        <v>5400</v>
      </c>
      <c r="G108" s="80"/>
      <c r="H108" s="80"/>
      <c r="I108" s="80">
        <v>5400</v>
      </c>
      <c r="J108" s="80"/>
      <c r="K108" s="80"/>
      <c r="L108" s="80"/>
      <c r="M108" s="81"/>
      <c r="N108" s="99"/>
      <c r="O108" s="82"/>
    </row>
    <row r="109" spans="1:15" s="40" customFormat="1" ht="12" customHeight="1">
      <c r="A109" s="83"/>
      <c r="B109" s="171"/>
      <c r="C109" s="188"/>
      <c r="D109" s="117" t="s">
        <v>59</v>
      </c>
      <c r="E109" s="79">
        <v>56000</v>
      </c>
      <c r="F109" s="78">
        <f t="shared" si="2"/>
        <v>18400</v>
      </c>
      <c r="G109" s="80"/>
      <c r="H109" s="80"/>
      <c r="I109" s="80">
        <v>5400</v>
      </c>
      <c r="J109" s="80">
        <v>13000</v>
      </c>
      <c r="K109" s="80"/>
      <c r="L109" s="80"/>
      <c r="M109" s="81"/>
      <c r="N109" s="99"/>
      <c r="O109" s="82"/>
    </row>
    <row r="110" spans="1:15" s="40" customFormat="1" ht="12" customHeight="1">
      <c r="A110" s="83"/>
      <c r="B110" s="171"/>
      <c r="C110" s="188"/>
      <c r="D110" s="117" t="s">
        <v>259</v>
      </c>
      <c r="E110" s="79">
        <v>56000</v>
      </c>
      <c r="F110" s="78">
        <f t="shared" si="2"/>
        <v>18400</v>
      </c>
      <c r="G110" s="80"/>
      <c r="H110" s="80"/>
      <c r="I110" s="80">
        <v>5400</v>
      </c>
      <c r="J110" s="80">
        <v>13000</v>
      </c>
      <c r="K110" s="80"/>
      <c r="L110" s="80"/>
      <c r="M110" s="81"/>
      <c r="N110" s="99"/>
      <c r="O110" s="82"/>
    </row>
    <row r="111" spans="1:15" s="40" customFormat="1" ht="12" customHeight="1">
      <c r="A111" s="100"/>
      <c r="B111" s="704" t="s">
        <v>155</v>
      </c>
      <c r="C111" s="704"/>
      <c r="D111" s="117" t="s">
        <v>357</v>
      </c>
      <c r="E111" s="78"/>
      <c r="F111" s="78">
        <f t="shared" si="2"/>
        <v>38556</v>
      </c>
      <c r="G111" s="101"/>
      <c r="H111" s="101"/>
      <c r="I111" s="91"/>
      <c r="J111" s="101"/>
      <c r="K111" s="101"/>
      <c r="L111" s="102"/>
      <c r="M111" s="76"/>
      <c r="N111" s="77"/>
      <c r="O111" s="95">
        <v>38556</v>
      </c>
    </row>
    <row r="112" spans="1:15" s="40" customFormat="1" ht="12" customHeight="1">
      <c r="A112" s="100"/>
      <c r="B112" s="181"/>
      <c r="C112" s="181"/>
      <c r="D112" s="117" t="s">
        <v>59</v>
      </c>
      <c r="E112" s="78"/>
      <c r="F112" s="78">
        <f t="shared" si="2"/>
        <v>0</v>
      </c>
      <c r="G112" s="101"/>
      <c r="H112" s="101"/>
      <c r="I112" s="91"/>
      <c r="J112" s="101"/>
      <c r="K112" s="101"/>
      <c r="L112" s="102"/>
      <c r="M112" s="76"/>
      <c r="N112" s="77"/>
      <c r="O112" s="95"/>
    </row>
    <row r="113" spans="1:15" s="40" customFormat="1" ht="12" customHeight="1">
      <c r="A113" s="100"/>
      <c r="B113" s="181"/>
      <c r="C113" s="181"/>
      <c r="D113" s="117" t="s">
        <v>259</v>
      </c>
      <c r="E113" s="78"/>
      <c r="F113" s="78">
        <f t="shared" si="2"/>
        <v>0</v>
      </c>
      <c r="G113" s="101"/>
      <c r="H113" s="101"/>
      <c r="I113" s="91"/>
      <c r="J113" s="101"/>
      <c r="K113" s="101"/>
      <c r="L113" s="102"/>
      <c r="M113" s="76"/>
      <c r="N113" s="77"/>
      <c r="O113" s="95"/>
    </row>
    <row r="114" spans="1:15" s="40" customFormat="1" ht="12" customHeight="1">
      <c r="A114" s="87" t="s">
        <v>207</v>
      </c>
      <c r="B114" s="671" t="s">
        <v>182</v>
      </c>
      <c r="C114" s="672"/>
      <c r="D114" s="117" t="s">
        <v>357</v>
      </c>
      <c r="E114" s="78">
        <v>3109197</v>
      </c>
      <c r="F114" s="78">
        <f t="shared" si="2"/>
        <v>0</v>
      </c>
      <c r="G114" s="80"/>
      <c r="H114" s="80"/>
      <c r="I114" s="80"/>
      <c r="J114" s="80"/>
      <c r="K114" s="80"/>
      <c r="L114" s="80"/>
      <c r="M114" s="81"/>
      <c r="N114" s="77"/>
      <c r="O114" s="86"/>
    </row>
    <row r="115" spans="1:15" s="40" customFormat="1" ht="12" customHeight="1">
      <c r="A115" s="87"/>
      <c r="B115" s="176"/>
      <c r="C115" s="177"/>
      <c r="D115" s="117" t="s">
        <v>59</v>
      </c>
      <c r="E115" s="78">
        <v>3170700</v>
      </c>
      <c r="F115" s="78">
        <f t="shared" si="2"/>
        <v>0</v>
      </c>
      <c r="G115" s="80"/>
      <c r="H115" s="80"/>
      <c r="I115" s="80"/>
      <c r="J115" s="80"/>
      <c r="K115" s="80"/>
      <c r="L115" s="80"/>
      <c r="M115" s="81"/>
      <c r="N115" s="77"/>
      <c r="O115" s="86"/>
    </row>
    <row r="116" spans="1:15" s="40" customFormat="1" ht="12" customHeight="1">
      <c r="A116" s="87"/>
      <c r="B116" s="176"/>
      <c r="C116" s="177"/>
      <c r="D116" s="117" t="s">
        <v>259</v>
      </c>
      <c r="E116" s="78">
        <v>3216224</v>
      </c>
      <c r="F116" s="78">
        <f t="shared" si="2"/>
        <v>0</v>
      </c>
      <c r="G116" s="80"/>
      <c r="H116" s="80"/>
      <c r="I116" s="80"/>
      <c r="J116" s="80"/>
      <c r="K116" s="80"/>
      <c r="L116" s="80"/>
      <c r="M116" s="81"/>
      <c r="N116" s="77"/>
      <c r="O116" s="86"/>
    </row>
    <row r="117" spans="1:15" s="40" customFormat="1" ht="12" customHeight="1">
      <c r="A117" s="87" t="s">
        <v>208</v>
      </c>
      <c r="B117" s="671" t="s">
        <v>156</v>
      </c>
      <c r="C117" s="660"/>
      <c r="D117" s="117" t="s">
        <v>357</v>
      </c>
      <c r="E117" s="78"/>
      <c r="F117" s="78">
        <f t="shared" si="2"/>
        <v>103252</v>
      </c>
      <c r="G117" s="80"/>
      <c r="H117" s="80"/>
      <c r="I117" s="80"/>
      <c r="J117" s="80">
        <v>11000</v>
      </c>
      <c r="K117" s="80"/>
      <c r="L117" s="80"/>
      <c r="M117" s="81">
        <v>92252</v>
      </c>
      <c r="N117" s="77"/>
      <c r="O117" s="86"/>
    </row>
    <row r="118" spans="1:15" s="40" customFormat="1" ht="12" customHeight="1">
      <c r="A118" s="83"/>
      <c r="B118" s="133"/>
      <c r="C118" s="134"/>
      <c r="D118" s="117" t="s">
        <v>59</v>
      </c>
      <c r="E118" s="79"/>
      <c r="F118" s="78">
        <f t="shared" si="2"/>
        <v>222611</v>
      </c>
      <c r="G118" s="80"/>
      <c r="H118" s="80"/>
      <c r="I118" s="80"/>
      <c r="J118" s="80">
        <v>11480</v>
      </c>
      <c r="K118" s="80"/>
      <c r="L118" s="80"/>
      <c r="M118" s="81">
        <v>211131</v>
      </c>
      <c r="N118" s="99"/>
      <c r="O118" s="82"/>
    </row>
    <row r="119" spans="1:15" s="40" customFormat="1" ht="12" customHeight="1">
      <c r="A119" s="83"/>
      <c r="B119" s="133"/>
      <c r="C119" s="134"/>
      <c r="D119" s="117" t="s">
        <v>259</v>
      </c>
      <c r="E119" s="79">
        <v>49909</v>
      </c>
      <c r="F119" s="78">
        <f t="shared" si="2"/>
        <v>222611</v>
      </c>
      <c r="G119" s="80"/>
      <c r="H119" s="80"/>
      <c r="I119" s="80"/>
      <c r="J119" s="80">
        <v>11480</v>
      </c>
      <c r="K119" s="80"/>
      <c r="L119" s="80"/>
      <c r="M119" s="81">
        <v>211131</v>
      </c>
      <c r="N119" s="99"/>
      <c r="O119" s="82"/>
    </row>
    <row r="120" spans="1:15" s="40" customFormat="1" ht="12" customHeight="1">
      <c r="A120" s="83" t="s">
        <v>209</v>
      </c>
      <c r="B120" s="691" t="s">
        <v>160</v>
      </c>
      <c r="C120" s="692"/>
      <c r="D120" s="118" t="s">
        <v>357</v>
      </c>
      <c r="E120" s="79">
        <v>1200</v>
      </c>
      <c r="F120" s="78">
        <f t="shared" si="2"/>
        <v>28900</v>
      </c>
      <c r="G120" s="80"/>
      <c r="H120" s="80"/>
      <c r="I120" s="80">
        <v>4000</v>
      </c>
      <c r="J120" s="80">
        <v>9900</v>
      </c>
      <c r="K120" s="80"/>
      <c r="L120" s="80">
        <v>15000</v>
      </c>
      <c r="M120" s="81"/>
      <c r="N120" s="99"/>
      <c r="O120" s="82"/>
    </row>
    <row r="121" spans="1:15" s="40" customFormat="1" ht="12" customHeight="1">
      <c r="A121" s="83"/>
      <c r="B121" s="133"/>
      <c r="C121" s="134"/>
      <c r="D121" s="117" t="s">
        <v>59</v>
      </c>
      <c r="E121" s="79">
        <v>8000</v>
      </c>
      <c r="F121" s="78">
        <f t="shared" si="2"/>
        <v>28300</v>
      </c>
      <c r="G121" s="80"/>
      <c r="H121" s="80"/>
      <c r="I121" s="80">
        <v>4000</v>
      </c>
      <c r="J121" s="80">
        <v>9300</v>
      </c>
      <c r="K121" s="80"/>
      <c r="L121" s="80">
        <v>15000</v>
      </c>
      <c r="M121" s="81"/>
      <c r="N121" s="99"/>
      <c r="O121" s="82"/>
    </row>
    <row r="122" spans="1:15" s="40" customFormat="1" ht="12" customHeight="1">
      <c r="A122" s="83"/>
      <c r="B122" s="133"/>
      <c r="C122" s="134"/>
      <c r="D122" s="117" t="s">
        <v>259</v>
      </c>
      <c r="E122" s="79">
        <v>8553</v>
      </c>
      <c r="F122" s="78">
        <f t="shared" si="2"/>
        <v>30357</v>
      </c>
      <c r="G122" s="80"/>
      <c r="H122" s="80"/>
      <c r="I122" s="80">
        <v>6057</v>
      </c>
      <c r="J122" s="80">
        <v>9300</v>
      </c>
      <c r="K122" s="80"/>
      <c r="L122" s="80">
        <v>15000</v>
      </c>
      <c r="M122" s="81"/>
      <c r="N122" s="99"/>
      <c r="O122" s="82"/>
    </row>
    <row r="123" spans="1:15" s="40" customFormat="1" ht="12" customHeight="1">
      <c r="A123" s="83"/>
      <c r="B123" s="133" t="s">
        <v>163</v>
      </c>
      <c r="C123" s="134"/>
      <c r="D123" s="118" t="s">
        <v>357</v>
      </c>
      <c r="E123" s="79"/>
      <c r="F123" s="78">
        <f t="shared" si="2"/>
        <v>102750</v>
      </c>
      <c r="G123" s="80"/>
      <c r="H123" s="80"/>
      <c r="I123" s="80"/>
      <c r="J123" s="80"/>
      <c r="K123" s="80"/>
      <c r="L123" s="80"/>
      <c r="M123" s="81">
        <v>102750</v>
      </c>
      <c r="N123" s="99"/>
      <c r="O123" s="82"/>
    </row>
    <row r="124" spans="1:15" s="40" customFormat="1" ht="12" customHeight="1">
      <c r="A124" s="83"/>
      <c r="B124" s="133"/>
      <c r="C124" s="134"/>
      <c r="D124" s="117" t="s">
        <v>59</v>
      </c>
      <c r="E124" s="79"/>
      <c r="F124" s="78">
        <f t="shared" si="2"/>
        <v>117660</v>
      </c>
      <c r="G124" s="80"/>
      <c r="H124" s="80"/>
      <c r="I124" s="80"/>
      <c r="J124" s="80">
        <v>14910</v>
      </c>
      <c r="K124" s="80"/>
      <c r="L124" s="80"/>
      <c r="M124" s="81">
        <v>102750</v>
      </c>
      <c r="N124" s="99"/>
      <c r="O124" s="82"/>
    </row>
    <row r="125" spans="1:15" s="40" customFormat="1" ht="12" customHeight="1" thickBot="1">
      <c r="A125" s="135"/>
      <c r="B125" s="519"/>
      <c r="C125" s="182"/>
      <c r="D125" s="453" t="s">
        <v>259</v>
      </c>
      <c r="E125" s="136">
        <v>83466</v>
      </c>
      <c r="F125" s="136">
        <f t="shared" si="2"/>
        <v>114358</v>
      </c>
      <c r="G125" s="583"/>
      <c r="H125" s="583"/>
      <c r="I125" s="583"/>
      <c r="J125" s="583">
        <v>14910</v>
      </c>
      <c r="K125" s="583"/>
      <c r="L125" s="583"/>
      <c r="M125" s="584">
        <v>99448</v>
      </c>
      <c r="N125" s="196"/>
      <c r="O125" s="137"/>
    </row>
    <row r="126" spans="1:15" s="40" customFormat="1" ht="12" customHeight="1" thickTop="1">
      <c r="A126" s="693" t="s">
        <v>431</v>
      </c>
      <c r="B126" s="694"/>
      <c r="C126" s="694"/>
      <c r="D126" s="695"/>
      <c r="E126" s="625" t="s">
        <v>197</v>
      </c>
      <c r="F126" s="613" t="s">
        <v>432</v>
      </c>
      <c r="G126" s="73" t="s">
        <v>433</v>
      </c>
      <c r="H126" s="74"/>
      <c r="I126" s="74"/>
      <c r="J126" s="75"/>
      <c r="K126" s="75"/>
      <c r="L126" s="73" t="s">
        <v>351</v>
      </c>
      <c r="M126" s="74"/>
      <c r="N126" s="616" t="s">
        <v>715</v>
      </c>
      <c r="O126" s="619" t="s">
        <v>412</v>
      </c>
    </row>
    <row r="127" spans="1:15" s="40" customFormat="1" ht="12" customHeight="1">
      <c r="A127" s="696"/>
      <c r="B127" s="697"/>
      <c r="C127" s="697"/>
      <c r="D127" s="698"/>
      <c r="E127" s="626"/>
      <c r="F127" s="614"/>
      <c r="G127" s="622" t="s">
        <v>710</v>
      </c>
      <c r="H127" s="622" t="s">
        <v>711</v>
      </c>
      <c r="I127" s="622" t="s">
        <v>712</v>
      </c>
      <c r="J127" s="622" t="s">
        <v>713</v>
      </c>
      <c r="K127" s="622" t="s">
        <v>714</v>
      </c>
      <c r="L127" s="612" t="s">
        <v>427</v>
      </c>
      <c r="M127" s="612" t="s">
        <v>408</v>
      </c>
      <c r="N127" s="617"/>
      <c r="O127" s="620"/>
    </row>
    <row r="128" spans="1:15" s="40" customFormat="1" ht="38.25" customHeight="1" thickBot="1">
      <c r="A128" s="699"/>
      <c r="B128" s="700"/>
      <c r="C128" s="700"/>
      <c r="D128" s="701"/>
      <c r="E128" s="627"/>
      <c r="F128" s="615"/>
      <c r="G128" s="618"/>
      <c r="H128" s="618"/>
      <c r="I128" s="618"/>
      <c r="J128" s="618"/>
      <c r="K128" s="618"/>
      <c r="L128" s="670"/>
      <c r="M128" s="670"/>
      <c r="N128" s="618"/>
      <c r="O128" s="621"/>
    </row>
    <row r="129" spans="1:15" s="40" customFormat="1" ht="12" customHeight="1" thickTop="1">
      <c r="A129" s="83" t="s">
        <v>161</v>
      </c>
      <c r="B129" s="691" t="s">
        <v>339</v>
      </c>
      <c r="C129" s="705"/>
      <c r="D129" s="118" t="s">
        <v>357</v>
      </c>
      <c r="E129" s="79"/>
      <c r="F129" s="78">
        <f t="shared" si="2"/>
        <v>5000</v>
      </c>
      <c r="G129" s="80"/>
      <c r="H129" s="80"/>
      <c r="I129" s="80"/>
      <c r="J129" s="80"/>
      <c r="K129" s="80"/>
      <c r="L129" s="80"/>
      <c r="M129" s="81">
        <v>5000</v>
      </c>
      <c r="N129" s="99"/>
      <c r="O129" s="82"/>
    </row>
    <row r="130" spans="1:15" s="40" customFormat="1" ht="12" customHeight="1">
      <c r="A130" s="290"/>
      <c r="B130" s="287"/>
      <c r="C130" s="291"/>
      <c r="D130" s="288" t="s">
        <v>59</v>
      </c>
      <c r="E130" s="84"/>
      <c r="F130" s="84">
        <f t="shared" si="2"/>
        <v>5000</v>
      </c>
      <c r="G130" s="110"/>
      <c r="H130" s="110"/>
      <c r="I130" s="110"/>
      <c r="J130" s="110"/>
      <c r="K130" s="110"/>
      <c r="L130" s="110"/>
      <c r="M130" s="289">
        <v>5000</v>
      </c>
      <c r="N130" s="256"/>
      <c r="O130" s="111"/>
    </row>
    <row r="131" spans="1:15" s="40" customFormat="1" ht="12" customHeight="1">
      <c r="A131" s="87"/>
      <c r="B131" s="424"/>
      <c r="C131" s="424"/>
      <c r="D131" s="117" t="s">
        <v>259</v>
      </c>
      <c r="E131" s="78"/>
      <c r="F131" s="78">
        <f>SUM(G131:O131)</f>
        <v>5000</v>
      </c>
      <c r="G131" s="78"/>
      <c r="H131" s="78"/>
      <c r="I131" s="78"/>
      <c r="J131" s="78"/>
      <c r="K131" s="78"/>
      <c r="L131" s="78"/>
      <c r="M131" s="78">
        <v>5000</v>
      </c>
      <c r="N131" s="77"/>
      <c r="O131" s="86"/>
    </row>
    <row r="132" spans="1:15" s="40" customFormat="1" ht="12" customHeight="1">
      <c r="A132" s="83" t="s">
        <v>50</v>
      </c>
      <c r="B132" s="582" t="s">
        <v>51</v>
      </c>
      <c r="C132" s="582"/>
      <c r="D132" s="118" t="s">
        <v>357</v>
      </c>
      <c r="E132" s="79"/>
      <c r="F132" s="79">
        <f t="shared" si="2"/>
        <v>0</v>
      </c>
      <c r="G132" s="79"/>
      <c r="H132" s="79"/>
      <c r="I132" s="79"/>
      <c r="J132" s="79"/>
      <c r="K132" s="79"/>
      <c r="L132" s="79"/>
      <c r="M132" s="79"/>
      <c r="N132" s="99"/>
      <c r="O132" s="82"/>
    </row>
    <row r="133" spans="1:15" s="40" customFormat="1" ht="12" customHeight="1">
      <c r="A133" s="87"/>
      <c r="B133" s="176"/>
      <c r="C133" s="177"/>
      <c r="D133" s="117" t="s">
        <v>59</v>
      </c>
      <c r="E133" s="78"/>
      <c r="F133" s="78">
        <f>SUM(G133:O133)</f>
        <v>0</v>
      </c>
      <c r="G133" s="78"/>
      <c r="H133" s="78"/>
      <c r="I133" s="78"/>
      <c r="J133" s="78"/>
      <c r="K133" s="78"/>
      <c r="L133" s="78"/>
      <c r="M133" s="78"/>
      <c r="N133" s="77"/>
      <c r="O133" s="86"/>
    </row>
    <row r="134" spans="1:15" s="40" customFormat="1" ht="12" customHeight="1">
      <c r="A134" s="83"/>
      <c r="B134" s="133"/>
      <c r="C134" s="170"/>
      <c r="D134" s="118" t="s">
        <v>259</v>
      </c>
      <c r="E134" s="79"/>
      <c r="F134" s="78">
        <f>SUM(G134:O134)</f>
        <v>0</v>
      </c>
      <c r="G134" s="80"/>
      <c r="H134" s="80"/>
      <c r="I134" s="80"/>
      <c r="J134" s="80"/>
      <c r="K134" s="80"/>
      <c r="L134" s="80"/>
      <c r="M134" s="81"/>
      <c r="N134" s="99"/>
      <c r="O134" s="82"/>
    </row>
    <row r="135" spans="1:15" s="40" customFormat="1" ht="12" customHeight="1">
      <c r="A135" s="83" t="s">
        <v>209</v>
      </c>
      <c r="B135" s="133" t="s">
        <v>162</v>
      </c>
      <c r="C135" s="170"/>
      <c r="D135" s="118" t="s">
        <v>357</v>
      </c>
      <c r="E135" s="79"/>
      <c r="F135" s="79">
        <f>SUM(G135:O135)</f>
        <v>500</v>
      </c>
      <c r="G135" s="80"/>
      <c r="H135" s="80"/>
      <c r="I135" s="80">
        <v>500</v>
      </c>
      <c r="J135" s="80"/>
      <c r="K135" s="80"/>
      <c r="L135" s="80"/>
      <c r="M135" s="81"/>
      <c r="N135" s="99"/>
      <c r="O135" s="82"/>
    </row>
    <row r="136" spans="1:15" s="40" customFormat="1" ht="12" customHeight="1">
      <c r="A136" s="83"/>
      <c r="B136" s="133"/>
      <c r="C136" s="170"/>
      <c r="D136" s="117" t="s">
        <v>59</v>
      </c>
      <c r="E136" s="79"/>
      <c r="F136" s="79">
        <f>SUM(G136:O136)</f>
        <v>500</v>
      </c>
      <c r="G136" s="80"/>
      <c r="H136" s="80"/>
      <c r="I136" s="80">
        <v>500</v>
      </c>
      <c r="J136" s="80"/>
      <c r="K136" s="80"/>
      <c r="L136" s="80"/>
      <c r="M136" s="81"/>
      <c r="N136" s="99"/>
      <c r="O136" s="82"/>
    </row>
    <row r="137" spans="1:15" s="40" customFormat="1" ht="12" customHeight="1">
      <c r="A137" s="83"/>
      <c r="B137" s="133"/>
      <c r="C137" s="170"/>
      <c r="D137" s="118" t="s">
        <v>259</v>
      </c>
      <c r="E137" s="79"/>
      <c r="F137" s="79">
        <f>SUM(G137:O137)</f>
        <v>500</v>
      </c>
      <c r="G137" s="80"/>
      <c r="H137" s="80"/>
      <c r="I137" s="80">
        <v>500</v>
      </c>
      <c r="J137" s="80"/>
      <c r="K137" s="80"/>
      <c r="L137" s="80"/>
      <c r="M137" s="81"/>
      <c r="N137" s="99"/>
      <c r="O137" s="82"/>
    </row>
    <row r="138" spans="1:15" s="40" customFormat="1" ht="12" customHeight="1">
      <c r="A138" s="83" t="s">
        <v>209</v>
      </c>
      <c r="B138" s="133" t="s">
        <v>465</v>
      </c>
      <c r="C138" s="170"/>
      <c r="D138" s="118" t="s">
        <v>357</v>
      </c>
      <c r="E138" s="79">
        <v>9000</v>
      </c>
      <c r="F138" s="79">
        <f aca="true" t="shared" si="3" ref="F138:F192">SUM(G138:O138)</f>
        <v>33000</v>
      </c>
      <c r="G138" s="80"/>
      <c r="H138" s="80"/>
      <c r="I138" s="80">
        <v>33000</v>
      </c>
      <c r="J138" s="80"/>
      <c r="K138" s="80"/>
      <c r="L138" s="80"/>
      <c r="M138" s="81"/>
      <c r="N138" s="99"/>
      <c r="O138" s="82"/>
    </row>
    <row r="139" spans="1:15" s="40" customFormat="1" ht="12" customHeight="1">
      <c r="A139" s="83"/>
      <c r="B139" s="133"/>
      <c r="C139" s="170"/>
      <c r="D139" s="117" t="s">
        <v>59</v>
      </c>
      <c r="E139" s="79">
        <v>9000</v>
      </c>
      <c r="F139" s="79">
        <f t="shared" si="3"/>
        <v>33000</v>
      </c>
      <c r="G139" s="80"/>
      <c r="H139" s="80"/>
      <c r="I139" s="80">
        <v>33000</v>
      </c>
      <c r="J139" s="80"/>
      <c r="K139" s="80"/>
      <c r="L139" s="80"/>
      <c r="M139" s="81"/>
      <c r="N139" s="99"/>
      <c r="O139" s="82"/>
    </row>
    <row r="140" spans="1:15" s="40" customFormat="1" ht="12" customHeight="1">
      <c r="A140" s="83"/>
      <c r="B140" s="133"/>
      <c r="C140" s="170"/>
      <c r="D140" s="118" t="s">
        <v>259</v>
      </c>
      <c r="E140" s="79">
        <v>9000</v>
      </c>
      <c r="F140" s="79">
        <f t="shared" si="3"/>
        <v>33000</v>
      </c>
      <c r="G140" s="80"/>
      <c r="H140" s="80"/>
      <c r="I140" s="80">
        <v>33000</v>
      </c>
      <c r="J140" s="80"/>
      <c r="K140" s="80"/>
      <c r="L140" s="80"/>
      <c r="M140" s="81"/>
      <c r="N140" s="99"/>
      <c r="O140" s="82"/>
    </row>
    <row r="141" spans="1:15" s="40" customFormat="1" ht="12" customHeight="1">
      <c r="A141" s="87" t="s">
        <v>161</v>
      </c>
      <c r="B141" s="671" t="s">
        <v>194</v>
      </c>
      <c r="C141" s="672"/>
      <c r="D141" s="117" t="s">
        <v>357</v>
      </c>
      <c r="E141" s="78">
        <v>25000</v>
      </c>
      <c r="F141" s="79">
        <f t="shared" si="3"/>
        <v>15000</v>
      </c>
      <c r="G141" s="80"/>
      <c r="H141" s="80"/>
      <c r="I141" s="80"/>
      <c r="J141" s="80">
        <v>15000</v>
      </c>
      <c r="K141" s="80"/>
      <c r="L141" s="80"/>
      <c r="M141" s="81"/>
      <c r="N141" s="77"/>
      <c r="O141" s="86"/>
    </row>
    <row r="142" spans="1:15" s="40" customFormat="1" ht="12" customHeight="1">
      <c r="A142" s="87"/>
      <c r="B142" s="176"/>
      <c r="C142" s="177"/>
      <c r="D142" s="117" t="s">
        <v>59</v>
      </c>
      <c r="E142" s="78">
        <v>25000</v>
      </c>
      <c r="F142" s="79">
        <f t="shared" si="3"/>
        <v>18500</v>
      </c>
      <c r="G142" s="80"/>
      <c r="H142" s="80"/>
      <c r="I142" s="80"/>
      <c r="J142" s="80">
        <v>18500</v>
      </c>
      <c r="K142" s="80"/>
      <c r="L142" s="80"/>
      <c r="M142" s="81"/>
      <c r="N142" s="77"/>
      <c r="O142" s="86"/>
    </row>
    <row r="143" spans="1:15" s="40" customFormat="1" ht="12" customHeight="1">
      <c r="A143" s="87"/>
      <c r="B143" s="176"/>
      <c r="C143" s="177"/>
      <c r="D143" s="118" t="s">
        <v>259</v>
      </c>
      <c r="E143" s="78">
        <v>25450</v>
      </c>
      <c r="F143" s="79">
        <f t="shared" si="3"/>
        <v>30685</v>
      </c>
      <c r="G143" s="80"/>
      <c r="H143" s="80"/>
      <c r="I143" s="80">
        <v>450</v>
      </c>
      <c r="J143" s="80">
        <v>18500</v>
      </c>
      <c r="K143" s="80"/>
      <c r="L143" s="80"/>
      <c r="M143" s="81">
        <v>11735</v>
      </c>
      <c r="N143" s="77"/>
      <c r="O143" s="86"/>
    </row>
    <row r="144" spans="1:15" s="40" customFormat="1" ht="12" customHeight="1">
      <c r="A144" s="87" t="s">
        <v>210</v>
      </c>
      <c r="B144" s="671" t="s">
        <v>192</v>
      </c>
      <c r="C144" s="660"/>
      <c r="D144" s="117" t="s">
        <v>357</v>
      </c>
      <c r="E144" s="78"/>
      <c r="F144" s="79">
        <f t="shared" si="3"/>
        <v>5250</v>
      </c>
      <c r="G144" s="80"/>
      <c r="H144" s="80"/>
      <c r="I144" s="80"/>
      <c r="J144" s="80">
        <v>5250</v>
      </c>
      <c r="K144" s="80"/>
      <c r="L144" s="80"/>
      <c r="M144" s="81"/>
      <c r="N144" s="77"/>
      <c r="O144" s="86"/>
    </row>
    <row r="145" spans="1:15" s="40" customFormat="1" ht="12" customHeight="1">
      <c r="A145" s="83"/>
      <c r="B145" s="176"/>
      <c r="C145" s="175"/>
      <c r="D145" s="117" t="s">
        <v>59</v>
      </c>
      <c r="E145" s="78"/>
      <c r="F145" s="79">
        <f t="shared" si="3"/>
        <v>5250</v>
      </c>
      <c r="G145" s="80"/>
      <c r="H145" s="80"/>
      <c r="I145" s="80"/>
      <c r="J145" s="80">
        <v>5250</v>
      </c>
      <c r="K145" s="80"/>
      <c r="L145" s="80"/>
      <c r="M145" s="81"/>
      <c r="N145" s="77"/>
      <c r="O145" s="86"/>
    </row>
    <row r="146" spans="1:15" s="40" customFormat="1" ht="12" customHeight="1">
      <c r="A146" s="83"/>
      <c r="B146" s="176"/>
      <c r="C146" s="175"/>
      <c r="D146" s="118" t="s">
        <v>259</v>
      </c>
      <c r="E146" s="78"/>
      <c r="F146" s="79">
        <f t="shared" si="3"/>
        <v>6375</v>
      </c>
      <c r="G146" s="80"/>
      <c r="H146" s="80"/>
      <c r="I146" s="80">
        <v>1125</v>
      </c>
      <c r="J146" s="80">
        <v>5250</v>
      </c>
      <c r="K146" s="80"/>
      <c r="L146" s="80"/>
      <c r="M146" s="81"/>
      <c r="N146" s="77"/>
      <c r="O146" s="86"/>
    </row>
    <row r="147" spans="1:15" s="40" customFormat="1" ht="12" customHeight="1">
      <c r="A147" s="83" t="s">
        <v>217</v>
      </c>
      <c r="B147" s="671" t="s">
        <v>369</v>
      </c>
      <c r="C147" s="672"/>
      <c r="D147" s="117" t="s">
        <v>357</v>
      </c>
      <c r="E147" s="78"/>
      <c r="F147" s="79">
        <f t="shared" si="3"/>
        <v>3600</v>
      </c>
      <c r="G147" s="80"/>
      <c r="H147" s="80"/>
      <c r="I147" s="80">
        <v>3600</v>
      </c>
      <c r="J147" s="80"/>
      <c r="K147" s="80"/>
      <c r="L147" s="80"/>
      <c r="M147" s="81"/>
      <c r="N147" s="77"/>
      <c r="O147" s="86"/>
    </row>
    <row r="148" spans="1:15" s="40" customFormat="1" ht="12" customHeight="1">
      <c r="A148" s="83"/>
      <c r="B148" s="176"/>
      <c r="C148" s="177"/>
      <c r="D148" s="117" t="s">
        <v>59</v>
      </c>
      <c r="E148" s="78"/>
      <c r="F148" s="79">
        <f t="shared" si="3"/>
        <v>3600</v>
      </c>
      <c r="G148" s="80"/>
      <c r="H148" s="80"/>
      <c r="I148" s="80">
        <v>3600</v>
      </c>
      <c r="J148" s="80"/>
      <c r="K148" s="80"/>
      <c r="L148" s="80"/>
      <c r="M148" s="81"/>
      <c r="N148" s="77"/>
      <c r="O148" s="86"/>
    </row>
    <row r="149" spans="1:15" s="40" customFormat="1" ht="12" customHeight="1">
      <c r="A149" s="83"/>
      <c r="B149" s="176"/>
      <c r="C149" s="177"/>
      <c r="D149" s="118" t="s">
        <v>259</v>
      </c>
      <c r="E149" s="78"/>
      <c r="F149" s="79">
        <f t="shared" si="3"/>
        <v>3600</v>
      </c>
      <c r="G149" s="80"/>
      <c r="H149" s="80"/>
      <c r="I149" s="80">
        <v>3600</v>
      </c>
      <c r="J149" s="80"/>
      <c r="K149" s="80"/>
      <c r="L149" s="80"/>
      <c r="M149" s="81"/>
      <c r="N149" s="77"/>
      <c r="O149" s="86"/>
    </row>
    <row r="150" spans="1:15" s="40" customFormat="1" ht="12" customHeight="1">
      <c r="A150" s="87" t="s">
        <v>218</v>
      </c>
      <c r="B150" s="671" t="s">
        <v>199</v>
      </c>
      <c r="C150" s="660"/>
      <c r="D150" s="117" t="s">
        <v>357</v>
      </c>
      <c r="E150" s="78"/>
      <c r="F150" s="79">
        <f t="shared" si="3"/>
        <v>73500</v>
      </c>
      <c r="G150" s="80"/>
      <c r="H150" s="80">
        <v>7200</v>
      </c>
      <c r="I150" s="80"/>
      <c r="J150" s="80"/>
      <c r="K150" s="80">
        <v>66300</v>
      </c>
      <c r="L150" s="80"/>
      <c r="M150" s="81"/>
      <c r="N150" s="77"/>
      <c r="O150" s="86"/>
    </row>
    <row r="151" spans="1:15" s="40" customFormat="1" ht="12" customHeight="1">
      <c r="A151" s="87"/>
      <c r="B151" s="173"/>
      <c r="C151" s="175"/>
      <c r="D151" s="117" t="s">
        <v>59</v>
      </c>
      <c r="E151" s="78"/>
      <c r="F151" s="79">
        <f t="shared" si="3"/>
        <v>68500</v>
      </c>
      <c r="G151" s="80"/>
      <c r="H151" s="80">
        <v>7200</v>
      </c>
      <c r="I151" s="80"/>
      <c r="J151" s="80"/>
      <c r="K151" s="80">
        <v>61300</v>
      </c>
      <c r="L151" s="80"/>
      <c r="M151" s="81"/>
      <c r="N151" s="77"/>
      <c r="O151" s="86"/>
    </row>
    <row r="152" spans="1:15" s="40" customFormat="1" ht="12" customHeight="1">
      <c r="A152" s="87"/>
      <c r="B152" s="173"/>
      <c r="C152" s="175"/>
      <c r="D152" s="118" t="s">
        <v>259</v>
      </c>
      <c r="E152" s="78"/>
      <c r="F152" s="79">
        <f t="shared" si="3"/>
        <v>68500</v>
      </c>
      <c r="G152" s="80"/>
      <c r="H152" s="80">
        <v>7200</v>
      </c>
      <c r="I152" s="80"/>
      <c r="J152" s="80"/>
      <c r="K152" s="80">
        <v>61300</v>
      </c>
      <c r="L152" s="80"/>
      <c r="M152" s="81"/>
      <c r="N152" s="77"/>
      <c r="O152" s="86"/>
    </row>
    <row r="153" spans="1:15" s="40" customFormat="1" ht="12" customHeight="1">
      <c r="A153" s="104">
        <v>853322</v>
      </c>
      <c r="B153" s="675" t="s">
        <v>198</v>
      </c>
      <c r="C153" s="676"/>
      <c r="D153" s="117" t="s">
        <v>357</v>
      </c>
      <c r="E153" s="78"/>
      <c r="F153" s="79">
        <f t="shared" si="3"/>
        <v>5500</v>
      </c>
      <c r="G153" s="80"/>
      <c r="H153" s="80"/>
      <c r="I153" s="80"/>
      <c r="J153" s="80"/>
      <c r="K153" s="80">
        <v>5500</v>
      </c>
      <c r="L153" s="80"/>
      <c r="M153" s="81"/>
      <c r="N153" s="78"/>
      <c r="O153" s="86"/>
    </row>
    <row r="154" spans="1:15" s="40" customFormat="1" ht="12" customHeight="1">
      <c r="A154" s="104"/>
      <c r="B154" s="173"/>
      <c r="C154" s="174"/>
      <c r="D154" s="117" t="s">
        <v>59</v>
      </c>
      <c r="E154" s="78"/>
      <c r="F154" s="79">
        <f t="shared" si="3"/>
        <v>5500</v>
      </c>
      <c r="G154" s="80"/>
      <c r="H154" s="80"/>
      <c r="I154" s="80"/>
      <c r="J154" s="80"/>
      <c r="K154" s="80">
        <v>5500</v>
      </c>
      <c r="L154" s="80"/>
      <c r="M154" s="81"/>
      <c r="N154" s="78"/>
      <c r="O154" s="86"/>
    </row>
    <row r="155" spans="1:15" s="40" customFormat="1" ht="12" customHeight="1">
      <c r="A155" s="104"/>
      <c r="B155" s="173"/>
      <c r="C155" s="174"/>
      <c r="D155" s="118" t="s">
        <v>259</v>
      </c>
      <c r="E155" s="78"/>
      <c r="F155" s="79">
        <f t="shared" si="3"/>
        <v>5500</v>
      </c>
      <c r="G155" s="80"/>
      <c r="H155" s="80"/>
      <c r="I155" s="80"/>
      <c r="J155" s="80"/>
      <c r="K155" s="80">
        <v>5500</v>
      </c>
      <c r="L155" s="80"/>
      <c r="M155" s="81"/>
      <c r="N155" s="78"/>
      <c r="O155" s="86"/>
    </row>
    <row r="156" spans="1:15" s="40" customFormat="1" ht="12" customHeight="1">
      <c r="A156" s="104">
        <v>853333</v>
      </c>
      <c r="B156" s="675" t="s">
        <v>202</v>
      </c>
      <c r="C156" s="676"/>
      <c r="D156" s="117" t="s">
        <v>357</v>
      </c>
      <c r="E156" s="78"/>
      <c r="F156" s="79">
        <f t="shared" si="3"/>
        <v>29000</v>
      </c>
      <c r="G156" s="80"/>
      <c r="H156" s="80"/>
      <c r="I156" s="80"/>
      <c r="J156" s="80"/>
      <c r="K156" s="80">
        <v>29000</v>
      </c>
      <c r="L156" s="80"/>
      <c r="M156" s="81"/>
      <c r="N156" s="78"/>
      <c r="O156" s="86"/>
    </row>
    <row r="157" spans="1:15" s="40" customFormat="1" ht="12" customHeight="1">
      <c r="A157" s="104"/>
      <c r="B157" s="173"/>
      <c r="C157" s="174"/>
      <c r="D157" s="117" t="s">
        <v>59</v>
      </c>
      <c r="E157" s="78"/>
      <c r="F157" s="79">
        <f t="shared" si="3"/>
        <v>29000</v>
      </c>
      <c r="G157" s="80"/>
      <c r="H157" s="80"/>
      <c r="I157" s="80"/>
      <c r="J157" s="80"/>
      <c r="K157" s="80">
        <v>29000</v>
      </c>
      <c r="L157" s="80"/>
      <c r="M157" s="81"/>
      <c r="N157" s="78"/>
      <c r="O157" s="86"/>
    </row>
    <row r="158" spans="1:15" s="40" customFormat="1" ht="12" customHeight="1">
      <c r="A158" s="104"/>
      <c r="B158" s="173"/>
      <c r="C158" s="174"/>
      <c r="D158" s="118" t="s">
        <v>259</v>
      </c>
      <c r="E158" s="78"/>
      <c r="F158" s="79">
        <f t="shared" si="3"/>
        <v>29000</v>
      </c>
      <c r="G158" s="80"/>
      <c r="H158" s="80"/>
      <c r="I158" s="80"/>
      <c r="J158" s="80"/>
      <c r="K158" s="80">
        <v>29000</v>
      </c>
      <c r="L158" s="80"/>
      <c r="M158" s="81"/>
      <c r="N158" s="78"/>
      <c r="O158" s="86"/>
    </row>
    <row r="159" spans="1:15" s="40" customFormat="1" ht="12" customHeight="1">
      <c r="A159" s="87" t="s">
        <v>219</v>
      </c>
      <c r="B159" s="671" t="s">
        <v>201</v>
      </c>
      <c r="C159" s="672"/>
      <c r="D159" s="117" t="s">
        <v>357</v>
      </c>
      <c r="E159" s="78">
        <v>2500</v>
      </c>
      <c r="F159" s="79">
        <f t="shared" si="3"/>
        <v>29500</v>
      </c>
      <c r="G159" s="80"/>
      <c r="H159" s="80"/>
      <c r="I159" s="80"/>
      <c r="J159" s="80"/>
      <c r="K159" s="80">
        <v>29500</v>
      </c>
      <c r="L159" s="80"/>
      <c r="M159" s="81"/>
      <c r="N159" s="78"/>
      <c r="O159" s="86"/>
    </row>
    <row r="160" spans="1:15" s="40" customFormat="1" ht="12" customHeight="1">
      <c r="A160" s="87"/>
      <c r="B160" s="176"/>
      <c r="C160" s="177"/>
      <c r="D160" s="117" t="s">
        <v>59</v>
      </c>
      <c r="E160" s="78">
        <v>2500</v>
      </c>
      <c r="F160" s="79">
        <f t="shared" si="3"/>
        <v>31500</v>
      </c>
      <c r="G160" s="80"/>
      <c r="H160" s="80"/>
      <c r="I160" s="80"/>
      <c r="J160" s="80"/>
      <c r="K160" s="80">
        <v>31500</v>
      </c>
      <c r="L160" s="80"/>
      <c r="M160" s="81"/>
      <c r="N160" s="78"/>
      <c r="O160" s="86"/>
    </row>
    <row r="161" spans="1:15" s="40" customFormat="1" ht="12" customHeight="1">
      <c r="A161" s="87"/>
      <c r="B161" s="176"/>
      <c r="C161" s="177"/>
      <c r="D161" s="118" t="s">
        <v>259</v>
      </c>
      <c r="E161" s="78">
        <v>5753</v>
      </c>
      <c r="F161" s="79">
        <f t="shared" si="3"/>
        <v>34753</v>
      </c>
      <c r="G161" s="80"/>
      <c r="H161" s="80"/>
      <c r="I161" s="80"/>
      <c r="J161" s="80"/>
      <c r="K161" s="80">
        <v>34753</v>
      </c>
      <c r="L161" s="80"/>
      <c r="M161" s="81"/>
      <c r="N161" s="78"/>
      <c r="O161" s="86"/>
    </row>
    <row r="162" spans="1:15" s="40" customFormat="1" ht="12" customHeight="1">
      <c r="A162" s="87" t="s">
        <v>219</v>
      </c>
      <c r="B162" s="671" t="s">
        <v>193</v>
      </c>
      <c r="C162" s="660"/>
      <c r="D162" s="117" t="s">
        <v>357</v>
      </c>
      <c r="E162" s="78"/>
      <c r="F162" s="79">
        <f t="shared" si="3"/>
        <v>3844</v>
      </c>
      <c r="G162" s="78">
        <v>2464</v>
      </c>
      <c r="H162" s="78">
        <v>680</v>
      </c>
      <c r="I162" s="78">
        <v>700</v>
      </c>
      <c r="J162" s="78"/>
      <c r="K162" s="78"/>
      <c r="L162" s="78"/>
      <c r="M162" s="78"/>
      <c r="N162" s="78"/>
      <c r="O162" s="86"/>
    </row>
    <row r="163" spans="1:15" s="40" customFormat="1" ht="12" customHeight="1">
      <c r="A163" s="87"/>
      <c r="B163" s="171"/>
      <c r="C163" s="134"/>
      <c r="D163" s="117" t="s">
        <v>59</v>
      </c>
      <c r="E163" s="78"/>
      <c r="F163" s="79">
        <f t="shared" si="3"/>
        <v>3844</v>
      </c>
      <c r="G163" s="89">
        <v>2464</v>
      </c>
      <c r="H163" s="89">
        <v>680</v>
      </c>
      <c r="I163" s="89">
        <v>700</v>
      </c>
      <c r="J163" s="89"/>
      <c r="K163" s="89"/>
      <c r="L163" s="89"/>
      <c r="M163" s="90"/>
      <c r="N163" s="78"/>
      <c r="O163" s="86"/>
    </row>
    <row r="164" spans="1:15" s="40" customFormat="1" ht="12" customHeight="1">
      <c r="A164" s="87"/>
      <c r="B164" s="171"/>
      <c r="C164" s="134"/>
      <c r="D164" s="118" t="s">
        <v>259</v>
      </c>
      <c r="E164" s="78"/>
      <c r="F164" s="79">
        <f t="shared" si="3"/>
        <v>3844</v>
      </c>
      <c r="G164" s="89">
        <v>2464</v>
      </c>
      <c r="H164" s="89">
        <v>680</v>
      </c>
      <c r="I164" s="89">
        <v>700</v>
      </c>
      <c r="J164" s="89"/>
      <c r="K164" s="89"/>
      <c r="L164" s="89"/>
      <c r="M164" s="90"/>
      <c r="N164" s="78"/>
      <c r="O164" s="86"/>
    </row>
    <row r="165" spans="1:15" s="40" customFormat="1" ht="12" customHeight="1">
      <c r="A165" s="104">
        <v>853355</v>
      </c>
      <c r="B165" s="673" t="s">
        <v>203</v>
      </c>
      <c r="C165" s="674"/>
      <c r="D165" s="117" t="s">
        <v>357</v>
      </c>
      <c r="E165" s="78"/>
      <c r="F165" s="79">
        <f t="shared" si="3"/>
        <v>28700</v>
      </c>
      <c r="G165" s="89"/>
      <c r="H165" s="89"/>
      <c r="I165" s="89"/>
      <c r="J165" s="89"/>
      <c r="K165" s="89">
        <v>28700</v>
      </c>
      <c r="L165" s="89"/>
      <c r="M165" s="90"/>
      <c r="N165" s="78"/>
      <c r="O165" s="86"/>
    </row>
    <row r="166" spans="1:15" s="40" customFormat="1" ht="12" customHeight="1">
      <c r="A166" s="104"/>
      <c r="B166" s="171"/>
      <c r="C166" s="172"/>
      <c r="D166" s="117" t="s">
        <v>59</v>
      </c>
      <c r="E166" s="78"/>
      <c r="F166" s="79">
        <f t="shared" si="3"/>
        <v>33073</v>
      </c>
      <c r="G166" s="89"/>
      <c r="H166" s="89"/>
      <c r="I166" s="89"/>
      <c r="J166" s="89"/>
      <c r="K166" s="89">
        <v>33073</v>
      </c>
      <c r="L166" s="89"/>
      <c r="M166" s="90"/>
      <c r="N166" s="78"/>
      <c r="O166" s="86"/>
    </row>
    <row r="167" spans="1:15" s="40" customFormat="1" ht="12" customHeight="1">
      <c r="A167" s="104"/>
      <c r="B167" s="171"/>
      <c r="C167" s="172"/>
      <c r="D167" s="118" t="s">
        <v>259</v>
      </c>
      <c r="E167" s="78"/>
      <c r="F167" s="79">
        <f t="shared" si="3"/>
        <v>33073</v>
      </c>
      <c r="G167" s="89"/>
      <c r="H167" s="89"/>
      <c r="I167" s="89"/>
      <c r="J167" s="89"/>
      <c r="K167" s="89">
        <v>33073</v>
      </c>
      <c r="L167" s="89"/>
      <c r="M167" s="90"/>
      <c r="N167" s="78"/>
      <c r="O167" s="86"/>
    </row>
    <row r="168" spans="1:15" s="40" customFormat="1" ht="12" customHeight="1">
      <c r="A168" s="87" t="s">
        <v>220</v>
      </c>
      <c r="B168" s="671" t="s">
        <v>448</v>
      </c>
      <c r="C168" s="660"/>
      <c r="D168" s="117" t="s">
        <v>357</v>
      </c>
      <c r="E168" s="78"/>
      <c r="F168" s="79">
        <f t="shared" si="3"/>
        <v>6500</v>
      </c>
      <c r="G168" s="89"/>
      <c r="H168" s="89"/>
      <c r="I168" s="89">
        <v>4200</v>
      </c>
      <c r="J168" s="89">
        <v>2300</v>
      </c>
      <c r="K168" s="89"/>
      <c r="L168" s="89"/>
      <c r="M168" s="90"/>
      <c r="N168" s="78"/>
      <c r="O168" s="86"/>
    </row>
    <row r="169" spans="1:15" s="40" customFormat="1" ht="12" customHeight="1">
      <c r="A169" s="87"/>
      <c r="B169" s="176"/>
      <c r="C169" s="175"/>
      <c r="D169" s="117" t="s">
        <v>59</v>
      </c>
      <c r="E169" s="78"/>
      <c r="F169" s="79">
        <f t="shared" si="3"/>
        <v>18300</v>
      </c>
      <c r="G169" s="89"/>
      <c r="H169" s="89"/>
      <c r="I169" s="89">
        <v>4200</v>
      </c>
      <c r="J169" s="89">
        <v>2300</v>
      </c>
      <c r="K169" s="89"/>
      <c r="L169" s="89">
        <v>4000</v>
      </c>
      <c r="M169" s="90">
        <v>7800</v>
      </c>
      <c r="N169" s="78"/>
      <c r="O169" s="86"/>
    </row>
    <row r="170" spans="1:15" s="40" customFormat="1" ht="12" customHeight="1">
      <c r="A170" s="87"/>
      <c r="B170" s="176"/>
      <c r="C170" s="175"/>
      <c r="D170" s="118" t="s">
        <v>259</v>
      </c>
      <c r="E170" s="78"/>
      <c r="F170" s="79">
        <f t="shared" si="3"/>
        <v>18300</v>
      </c>
      <c r="G170" s="89"/>
      <c r="H170" s="89"/>
      <c r="I170" s="89">
        <v>4200</v>
      </c>
      <c r="J170" s="89">
        <v>2300</v>
      </c>
      <c r="K170" s="89"/>
      <c r="L170" s="89">
        <v>4000</v>
      </c>
      <c r="M170" s="90">
        <v>7800</v>
      </c>
      <c r="N170" s="78"/>
      <c r="O170" s="86"/>
    </row>
    <row r="171" spans="1:15" s="40" customFormat="1" ht="12" customHeight="1">
      <c r="A171" s="100">
        <v>901116</v>
      </c>
      <c r="B171" s="702" t="s">
        <v>334</v>
      </c>
      <c r="C171" s="703"/>
      <c r="D171" s="117" t="s">
        <v>357</v>
      </c>
      <c r="E171" s="78">
        <v>14257</v>
      </c>
      <c r="F171" s="79">
        <f t="shared" si="3"/>
        <v>5791</v>
      </c>
      <c r="G171" s="92"/>
      <c r="H171" s="92"/>
      <c r="I171" s="92"/>
      <c r="J171" s="92"/>
      <c r="K171" s="92"/>
      <c r="L171" s="92">
        <v>5791</v>
      </c>
      <c r="M171" s="93"/>
      <c r="N171" s="94"/>
      <c r="O171" s="95"/>
    </row>
    <row r="172" spans="1:15" s="40" customFormat="1" ht="12" customHeight="1">
      <c r="A172" s="189"/>
      <c r="B172" s="181"/>
      <c r="C172" s="190"/>
      <c r="D172" s="117" t="s">
        <v>59</v>
      </c>
      <c r="E172" s="79">
        <v>14257</v>
      </c>
      <c r="F172" s="79">
        <f t="shared" si="3"/>
        <v>7201</v>
      </c>
      <c r="G172" s="91"/>
      <c r="H172" s="91"/>
      <c r="I172" s="91"/>
      <c r="J172" s="91"/>
      <c r="K172" s="91"/>
      <c r="L172" s="91">
        <v>7201</v>
      </c>
      <c r="M172" s="191"/>
      <c r="N172" s="192"/>
      <c r="O172" s="193"/>
    </row>
    <row r="173" spans="1:15" s="40" customFormat="1" ht="12" customHeight="1">
      <c r="A173" s="189"/>
      <c r="B173" s="181"/>
      <c r="C173" s="190"/>
      <c r="D173" s="118" t="s">
        <v>259</v>
      </c>
      <c r="E173" s="79">
        <v>14257</v>
      </c>
      <c r="F173" s="79">
        <f t="shared" si="3"/>
        <v>7201</v>
      </c>
      <c r="G173" s="91"/>
      <c r="H173" s="91"/>
      <c r="I173" s="91"/>
      <c r="J173" s="91"/>
      <c r="K173" s="91"/>
      <c r="L173" s="91">
        <v>7201</v>
      </c>
      <c r="M173" s="191"/>
      <c r="N173" s="192"/>
      <c r="O173" s="193"/>
    </row>
    <row r="174" spans="1:15" s="40" customFormat="1" ht="12" customHeight="1">
      <c r="A174" s="83" t="s">
        <v>221</v>
      </c>
      <c r="B174" s="673" t="s">
        <v>361</v>
      </c>
      <c r="C174" s="674"/>
      <c r="D174" s="118" t="s">
        <v>357</v>
      </c>
      <c r="E174" s="79"/>
      <c r="F174" s="79">
        <f t="shared" si="3"/>
        <v>41690</v>
      </c>
      <c r="G174" s="80"/>
      <c r="H174" s="80"/>
      <c r="I174" s="80">
        <v>29640</v>
      </c>
      <c r="J174" s="80">
        <v>12050</v>
      </c>
      <c r="K174" s="80"/>
      <c r="L174" s="80"/>
      <c r="M174" s="81"/>
      <c r="N174" s="79"/>
      <c r="O174" s="82"/>
    </row>
    <row r="175" spans="1:15" s="40" customFormat="1" ht="12" customHeight="1">
      <c r="A175" s="83"/>
      <c r="B175" s="171"/>
      <c r="C175" s="172"/>
      <c r="D175" s="117" t="s">
        <v>59</v>
      </c>
      <c r="E175" s="79"/>
      <c r="F175" s="79">
        <f t="shared" si="3"/>
        <v>41690</v>
      </c>
      <c r="G175" s="80"/>
      <c r="H175" s="80"/>
      <c r="I175" s="80">
        <v>29640</v>
      </c>
      <c r="J175" s="80">
        <v>12050</v>
      </c>
      <c r="K175" s="80"/>
      <c r="L175" s="80"/>
      <c r="M175" s="81"/>
      <c r="N175" s="79"/>
      <c r="O175" s="82"/>
    </row>
    <row r="176" spans="1:15" s="40" customFormat="1" ht="12" customHeight="1">
      <c r="A176" s="83"/>
      <c r="B176" s="171"/>
      <c r="C176" s="172"/>
      <c r="D176" s="118" t="s">
        <v>259</v>
      </c>
      <c r="E176" s="79"/>
      <c r="F176" s="79">
        <f t="shared" si="3"/>
        <v>41690</v>
      </c>
      <c r="G176" s="80"/>
      <c r="H176" s="80"/>
      <c r="I176" s="80">
        <v>29640</v>
      </c>
      <c r="J176" s="80">
        <v>12050</v>
      </c>
      <c r="K176" s="80"/>
      <c r="L176" s="80"/>
      <c r="M176" s="81"/>
      <c r="N176" s="79"/>
      <c r="O176" s="82"/>
    </row>
    <row r="177" spans="1:15" s="40" customFormat="1" ht="12" customHeight="1">
      <c r="A177" s="83" t="s">
        <v>222</v>
      </c>
      <c r="B177" s="671" t="s">
        <v>449</v>
      </c>
      <c r="C177" s="660"/>
      <c r="D177" s="117" t="s">
        <v>357</v>
      </c>
      <c r="E177" s="79">
        <v>1200</v>
      </c>
      <c r="F177" s="79">
        <f t="shared" si="3"/>
        <v>32000</v>
      </c>
      <c r="G177" s="80"/>
      <c r="H177" s="80"/>
      <c r="I177" s="80">
        <v>6700</v>
      </c>
      <c r="J177" s="80">
        <v>20500</v>
      </c>
      <c r="K177" s="80"/>
      <c r="L177" s="80"/>
      <c r="M177" s="81"/>
      <c r="N177" s="79"/>
      <c r="O177" s="82">
        <v>4800</v>
      </c>
    </row>
    <row r="178" spans="1:15" s="40" customFormat="1" ht="12" customHeight="1">
      <c r="A178" s="83"/>
      <c r="B178" s="176"/>
      <c r="C178" s="175"/>
      <c r="D178" s="117" t="s">
        <v>59</v>
      </c>
      <c r="E178" s="79">
        <v>1200</v>
      </c>
      <c r="F178" s="79">
        <f t="shared" si="3"/>
        <v>30450</v>
      </c>
      <c r="G178" s="80"/>
      <c r="H178" s="80"/>
      <c r="I178" s="80">
        <v>6700</v>
      </c>
      <c r="J178" s="80">
        <v>23750</v>
      </c>
      <c r="K178" s="80"/>
      <c r="L178" s="80"/>
      <c r="M178" s="81"/>
      <c r="N178" s="79"/>
      <c r="O178" s="82"/>
    </row>
    <row r="179" spans="1:15" s="40" customFormat="1" ht="12" customHeight="1">
      <c r="A179" s="83"/>
      <c r="B179" s="176"/>
      <c r="C179" s="175"/>
      <c r="D179" s="118" t="s">
        <v>259</v>
      </c>
      <c r="E179" s="79">
        <v>2700</v>
      </c>
      <c r="F179" s="79">
        <f t="shared" si="3"/>
        <v>31950</v>
      </c>
      <c r="G179" s="80"/>
      <c r="H179" s="80"/>
      <c r="I179" s="80">
        <v>8200</v>
      </c>
      <c r="J179" s="80">
        <v>23750</v>
      </c>
      <c r="K179" s="80"/>
      <c r="L179" s="80"/>
      <c r="M179" s="81"/>
      <c r="N179" s="79"/>
      <c r="O179" s="82"/>
    </row>
    <row r="180" spans="1:15" s="40" customFormat="1" ht="12" customHeight="1">
      <c r="A180" s="87" t="s">
        <v>223</v>
      </c>
      <c r="B180" s="671" t="s">
        <v>195</v>
      </c>
      <c r="C180" s="660"/>
      <c r="D180" s="117" t="s">
        <v>357</v>
      </c>
      <c r="E180" s="78"/>
      <c r="F180" s="79">
        <f t="shared" si="3"/>
        <v>32600</v>
      </c>
      <c r="G180" s="89"/>
      <c r="H180" s="89"/>
      <c r="I180" s="89">
        <v>10000</v>
      </c>
      <c r="J180" s="89">
        <v>11600</v>
      </c>
      <c r="K180" s="89"/>
      <c r="L180" s="89"/>
      <c r="M180" s="90">
        <v>11000</v>
      </c>
      <c r="N180" s="78"/>
      <c r="O180" s="86"/>
    </row>
    <row r="181" spans="1:15" s="40" customFormat="1" ht="12" customHeight="1">
      <c r="A181" s="83"/>
      <c r="B181" s="133"/>
      <c r="C181" s="134"/>
      <c r="D181" s="117" t="s">
        <v>59</v>
      </c>
      <c r="E181" s="79">
        <v>2000</v>
      </c>
      <c r="F181" s="79">
        <f t="shared" si="3"/>
        <v>61500</v>
      </c>
      <c r="G181" s="80"/>
      <c r="H181" s="80"/>
      <c r="I181" s="80">
        <v>10000</v>
      </c>
      <c r="J181" s="80">
        <v>38500</v>
      </c>
      <c r="K181" s="80"/>
      <c r="L181" s="80"/>
      <c r="M181" s="81">
        <v>11000</v>
      </c>
      <c r="N181" s="79">
        <v>2000</v>
      </c>
      <c r="O181" s="82"/>
    </row>
    <row r="182" spans="1:15" s="40" customFormat="1" ht="12" customHeight="1">
      <c r="A182" s="83"/>
      <c r="B182" s="133"/>
      <c r="C182" s="134"/>
      <c r="D182" s="118" t="s">
        <v>259</v>
      </c>
      <c r="E182" s="79">
        <v>2000</v>
      </c>
      <c r="F182" s="79">
        <f t="shared" si="3"/>
        <v>77500</v>
      </c>
      <c r="G182" s="80"/>
      <c r="H182" s="80"/>
      <c r="I182" s="80">
        <v>10000</v>
      </c>
      <c r="J182" s="80">
        <v>38500</v>
      </c>
      <c r="K182" s="80"/>
      <c r="L182" s="80">
        <v>16000</v>
      </c>
      <c r="M182" s="81">
        <v>11000</v>
      </c>
      <c r="N182" s="79">
        <v>2000</v>
      </c>
      <c r="O182" s="82"/>
    </row>
    <row r="183" spans="1:15" s="40" customFormat="1" ht="12" customHeight="1">
      <c r="A183" s="83" t="s">
        <v>223</v>
      </c>
      <c r="B183" s="691" t="s">
        <v>196</v>
      </c>
      <c r="C183" s="692"/>
      <c r="D183" s="118" t="s">
        <v>357</v>
      </c>
      <c r="E183" s="79"/>
      <c r="F183" s="79">
        <f t="shared" si="3"/>
        <v>36000</v>
      </c>
      <c r="G183" s="80"/>
      <c r="H183" s="80"/>
      <c r="I183" s="80"/>
      <c r="J183" s="80">
        <v>36000</v>
      </c>
      <c r="K183" s="80"/>
      <c r="L183" s="80"/>
      <c r="M183" s="81"/>
      <c r="N183" s="79"/>
      <c r="O183" s="82"/>
    </row>
    <row r="184" spans="1:15" s="40" customFormat="1" ht="12" customHeight="1">
      <c r="A184" s="83"/>
      <c r="B184" s="133"/>
      <c r="C184" s="134"/>
      <c r="D184" s="117" t="s">
        <v>59</v>
      </c>
      <c r="E184" s="79"/>
      <c r="F184" s="79">
        <f t="shared" si="3"/>
        <v>39400</v>
      </c>
      <c r="G184" s="80"/>
      <c r="H184" s="80"/>
      <c r="I184" s="80"/>
      <c r="J184" s="80">
        <v>39400</v>
      </c>
      <c r="K184" s="80"/>
      <c r="L184" s="80"/>
      <c r="M184" s="81"/>
      <c r="N184" s="79"/>
      <c r="O184" s="82"/>
    </row>
    <row r="185" spans="1:15" s="40" customFormat="1" ht="12" customHeight="1">
      <c r="A185" s="83"/>
      <c r="B185" s="133"/>
      <c r="C185" s="134"/>
      <c r="D185" s="118" t="s">
        <v>259</v>
      </c>
      <c r="E185" s="79"/>
      <c r="F185" s="79">
        <f t="shared" si="3"/>
        <v>39400</v>
      </c>
      <c r="G185" s="80"/>
      <c r="H185" s="80"/>
      <c r="I185" s="80"/>
      <c r="J185" s="80">
        <v>39400</v>
      </c>
      <c r="K185" s="80"/>
      <c r="L185" s="80"/>
      <c r="M185" s="81"/>
      <c r="N185" s="79"/>
      <c r="O185" s="82"/>
    </row>
    <row r="186" spans="1:15" s="40" customFormat="1" ht="12" customHeight="1">
      <c r="A186" s="83" t="s">
        <v>223</v>
      </c>
      <c r="B186" s="691" t="s">
        <v>464</v>
      </c>
      <c r="C186" s="692"/>
      <c r="D186" s="118" t="s">
        <v>357</v>
      </c>
      <c r="E186" s="79"/>
      <c r="F186" s="79">
        <f t="shared" si="3"/>
        <v>25000</v>
      </c>
      <c r="G186" s="80"/>
      <c r="H186" s="80"/>
      <c r="I186" s="80"/>
      <c r="J186" s="80">
        <v>25000</v>
      </c>
      <c r="K186" s="80"/>
      <c r="L186" s="80"/>
      <c r="M186" s="81"/>
      <c r="N186" s="79"/>
      <c r="O186" s="82"/>
    </row>
    <row r="187" spans="1:15" s="40" customFormat="1" ht="12" customHeight="1">
      <c r="A187" s="83"/>
      <c r="B187" s="133"/>
      <c r="C187" s="134"/>
      <c r="D187" s="117" t="s">
        <v>59</v>
      </c>
      <c r="E187" s="79"/>
      <c r="F187" s="79">
        <f t="shared" si="3"/>
        <v>61655</v>
      </c>
      <c r="G187" s="80"/>
      <c r="H187" s="80"/>
      <c r="I187" s="80"/>
      <c r="J187" s="80">
        <v>61655</v>
      </c>
      <c r="K187" s="80"/>
      <c r="L187" s="80"/>
      <c r="M187" s="81"/>
      <c r="N187" s="79"/>
      <c r="O187" s="82"/>
    </row>
    <row r="188" spans="1:15" s="40" customFormat="1" ht="12" customHeight="1" thickBot="1">
      <c r="A188" s="135"/>
      <c r="B188" s="519"/>
      <c r="C188" s="182"/>
      <c r="D188" s="453" t="s">
        <v>259</v>
      </c>
      <c r="E188" s="136"/>
      <c r="F188" s="136">
        <f t="shared" si="3"/>
        <v>76555</v>
      </c>
      <c r="G188" s="583"/>
      <c r="H188" s="583"/>
      <c r="I188" s="583"/>
      <c r="J188" s="583">
        <v>76555</v>
      </c>
      <c r="K188" s="583"/>
      <c r="L188" s="583"/>
      <c r="M188" s="584"/>
      <c r="N188" s="136"/>
      <c r="O188" s="137"/>
    </row>
    <row r="189" spans="1:15" s="40" customFormat="1" ht="12" customHeight="1" thickTop="1">
      <c r="A189" s="693" t="s">
        <v>431</v>
      </c>
      <c r="B189" s="694"/>
      <c r="C189" s="694"/>
      <c r="D189" s="695"/>
      <c r="E189" s="625" t="s">
        <v>197</v>
      </c>
      <c r="F189" s="613" t="s">
        <v>432</v>
      </c>
      <c r="G189" s="73" t="s">
        <v>433</v>
      </c>
      <c r="H189" s="74"/>
      <c r="I189" s="74"/>
      <c r="J189" s="75"/>
      <c r="K189" s="75"/>
      <c r="L189" s="73" t="s">
        <v>351</v>
      </c>
      <c r="M189" s="74"/>
      <c r="N189" s="616" t="s">
        <v>716</v>
      </c>
      <c r="O189" s="619" t="s">
        <v>412</v>
      </c>
    </row>
    <row r="190" spans="1:15" s="40" customFormat="1" ht="12" customHeight="1">
      <c r="A190" s="696"/>
      <c r="B190" s="697"/>
      <c r="C190" s="697"/>
      <c r="D190" s="698"/>
      <c r="E190" s="626"/>
      <c r="F190" s="614"/>
      <c r="G190" s="622" t="s">
        <v>710</v>
      </c>
      <c r="H190" s="622" t="s">
        <v>711</v>
      </c>
      <c r="I190" s="622" t="s">
        <v>712</v>
      </c>
      <c r="J190" s="622" t="s">
        <v>713</v>
      </c>
      <c r="K190" s="622" t="s">
        <v>714</v>
      </c>
      <c r="L190" s="612" t="s">
        <v>427</v>
      </c>
      <c r="M190" s="612" t="s">
        <v>408</v>
      </c>
      <c r="N190" s="617"/>
      <c r="O190" s="620"/>
    </row>
    <row r="191" spans="1:15" s="40" customFormat="1" ht="37.5" customHeight="1" thickBot="1">
      <c r="A191" s="699"/>
      <c r="B191" s="700"/>
      <c r="C191" s="700"/>
      <c r="D191" s="701"/>
      <c r="E191" s="627"/>
      <c r="F191" s="615"/>
      <c r="G191" s="618"/>
      <c r="H191" s="618"/>
      <c r="I191" s="618"/>
      <c r="J191" s="618"/>
      <c r="K191" s="618"/>
      <c r="L191" s="670"/>
      <c r="M191" s="670"/>
      <c r="N191" s="618"/>
      <c r="O191" s="621"/>
    </row>
    <row r="192" spans="1:15" s="40" customFormat="1" ht="12" customHeight="1" thickTop="1">
      <c r="A192" s="83" t="s">
        <v>230</v>
      </c>
      <c r="B192" s="691" t="s">
        <v>450</v>
      </c>
      <c r="C192" s="692"/>
      <c r="D192" s="118" t="s">
        <v>357</v>
      </c>
      <c r="E192" s="79"/>
      <c r="F192" s="79">
        <f t="shared" si="3"/>
        <v>2350</v>
      </c>
      <c r="G192" s="80"/>
      <c r="H192" s="80"/>
      <c r="I192" s="80">
        <v>850</v>
      </c>
      <c r="J192" s="80"/>
      <c r="K192" s="80"/>
      <c r="L192" s="80">
        <v>1500</v>
      </c>
      <c r="M192" s="81"/>
      <c r="N192" s="79"/>
      <c r="O192" s="82"/>
    </row>
    <row r="193" spans="1:15" s="40" customFormat="1" ht="12" customHeight="1">
      <c r="A193" s="290"/>
      <c r="B193" s="287"/>
      <c r="C193" s="292"/>
      <c r="D193" s="288" t="s">
        <v>59</v>
      </c>
      <c r="E193" s="84">
        <v>5000</v>
      </c>
      <c r="F193" s="84">
        <f>SUM(G193:O193)</f>
        <v>56225</v>
      </c>
      <c r="G193" s="110"/>
      <c r="H193" s="110"/>
      <c r="I193" s="110">
        <v>5850</v>
      </c>
      <c r="J193" s="110"/>
      <c r="K193" s="110"/>
      <c r="L193" s="110">
        <v>1500</v>
      </c>
      <c r="M193" s="289">
        <v>43875</v>
      </c>
      <c r="N193" s="84">
        <v>5000</v>
      </c>
      <c r="O193" s="111"/>
    </row>
    <row r="194" spans="1:15" s="40" customFormat="1" ht="12" customHeight="1">
      <c r="A194" s="87"/>
      <c r="B194" s="176"/>
      <c r="C194" s="175"/>
      <c r="D194" s="117" t="s">
        <v>259</v>
      </c>
      <c r="E194" s="78"/>
      <c r="F194" s="78">
        <f>SUM(G194:O194)</f>
        <v>56225</v>
      </c>
      <c r="G194" s="78"/>
      <c r="H194" s="78"/>
      <c r="I194" s="78">
        <v>5850</v>
      </c>
      <c r="J194" s="78"/>
      <c r="K194" s="78"/>
      <c r="L194" s="78">
        <v>1500</v>
      </c>
      <c r="M194" s="78">
        <v>43875</v>
      </c>
      <c r="N194" s="78">
        <v>5000</v>
      </c>
      <c r="O194" s="86"/>
    </row>
    <row r="195" spans="1:15" s="40" customFormat="1" ht="12" customHeight="1">
      <c r="A195" s="83" t="s">
        <v>231</v>
      </c>
      <c r="B195" s="691" t="s">
        <v>451</v>
      </c>
      <c r="C195" s="692"/>
      <c r="D195" s="118" t="s">
        <v>357</v>
      </c>
      <c r="E195" s="79">
        <v>3000</v>
      </c>
      <c r="F195" s="79">
        <f>SUM(G195:O195)</f>
        <v>3000</v>
      </c>
      <c r="G195" s="80">
        <v>1600</v>
      </c>
      <c r="H195" s="80">
        <v>425</v>
      </c>
      <c r="I195" s="80">
        <v>975</v>
      </c>
      <c r="J195" s="80"/>
      <c r="K195" s="80"/>
      <c r="L195" s="80"/>
      <c r="M195" s="81"/>
      <c r="N195" s="79"/>
      <c r="O195" s="82"/>
    </row>
    <row r="196" spans="1:15" s="40" customFormat="1" ht="12" customHeight="1">
      <c r="A196" s="87"/>
      <c r="B196" s="176"/>
      <c r="C196" s="175"/>
      <c r="D196" s="117" t="s">
        <v>59</v>
      </c>
      <c r="E196" s="78">
        <v>3000</v>
      </c>
      <c r="F196" s="78">
        <f>SUM(G196:O196)</f>
        <v>3000</v>
      </c>
      <c r="G196" s="80">
        <v>1600</v>
      </c>
      <c r="H196" s="80">
        <v>425</v>
      </c>
      <c r="I196" s="80">
        <v>975</v>
      </c>
      <c r="J196" s="80"/>
      <c r="K196" s="80"/>
      <c r="L196" s="80"/>
      <c r="M196" s="81"/>
      <c r="N196" s="79"/>
      <c r="O196" s="82"/>
    </row>
    <row r="197" spans="1:15" s="40" customFormat="1" ht="12" customHeight="1">
      <c r="A197" s="87"/>
      <c r="B197" s="176"/>
      <c r="C197" s="175"/>
      <c r="D197" s="117" t="s">
        <v>259</v>
      </c>
      <c r="E197" s="78">
        <v>3000</v>
      </c>
      <c r="F197" s="78">
        <f>SUM(G197:O197)</f>
        <v>3000</v>
      </c>
      <c r="G197" s="80">
        <v>1600</v>
      </c>
      <c r="H197" s="80">
        <v>425</v>
      </c>
      <c r="I197" s="80">
        <v>975</v>
      </c>
      <c r="J197" s="80"/>
      <c r="K197" s="80"/>
      <c r="L197" s="80"/>
      <c r="M197" s="81"/>
      <c r="N197" s="79"/>
      <c r="O197" s="82"/>
    </row>
    <row r="198" spans="1:15" s="40" customFormat="1" ht="12" customHeight="1">
      <c r="A198" s="87"/>
      <c r="B198" s="671" t="s">
        <v>416</v>
      </c>
      <c r="C198" s="660"/>
      <c r="D198" s="117" t="s">
        <v>357</v>
      </c>
      <c r="E198" s="78">
        <v>100000</v>
      </c>
      <c r="F198" s="78">
        <f aca="true" t="shared" si="4" ref="F198:F218">SUM(G198:O198)</f>
        <v>0</v>
      </c>
      <c r="G198" s="80"/>
      <c r="H198" s="80"/>
      <c r="I198" s="80"/>
      <c r="J198" s="80"/>
      <c r="K198" s="80"/>
      <c r="L198" s="80"/>
      <c r="M198" s="81"/>
      <c r="N198" s="79"/>
      <c r="O198" s="82"/>
    </row>
    <row r="199" spans="1:15" s="40" customFormat="1" ht="12" customHeight="1">
      <c r="A199" s="87"/>
      <c r="B199" s="176"/>
      <c r="C199" s="175"/>
      <c r="D199" s="117" t="s">
        <v>59</v>
      </c>
      <c r="E199" s="78">
        <v>112861</v>
      </c>
      <c r="F199" s="78">
        <f t="shared" si="4"/>
        <v>0</v>
      </c>
      <c r="G199" s="80"/>
      <c r="H199" s="80"/>
      <c r="I199" s="80"/>
      <c r="J199" s="80"/>
      <c r="K199" s="80"/>
      <c r="L199" s="80"/>
      <c r="M199" s="81"/>
      <c r="N199" s="79"/>
      <c r="O199" s="82"/>
    </row>
    <row r="200" spans="1:15" s="40" customFormat="1" ht="12" customHeight="1">
      <c r="A200" s="87"/>
      <c r="B200" s="176"/>
      <c r="C200" s="175"/>
      <c r="D200" s="117" t="s">
        <v>259</v>
      </c>
      <c r="E200" s="78">
        <v>112861</v>
      </c>
      <c r="F200" s="78">
        <f t="shared" si="4"/>
        <v>0</v>
      </c>
      <c r="G200" s="80"/>
      <c r="H200" s="80"/>
      <c r="I200" s="80"/>
      <c r="J200" s="80"/>
      <c r="K200" s="80"/>
      <c r="L200" s="80"/>
      <c r="M200" s="81"/>
      <c r="N200" s="79"/>
      <c r="O200" s="82"/>
    </row>
    <row r="201" spans="1:15" s="40" customFormat="1" ht="12" customHeight="1">
      <c r="A201" s="87"/>
      <c r="B201" s="671" t="s">
        <v>463</v>
      </c>
      <c r="C201" s="660"/>
      <c r="D201" s="117" t="s">
        <v>357</v>
      </c>
      <c r="E201" s="78">
        <v>140000</v>
      </c>
      <c r="F201" s="78">
        <f t="shared" si="4"/>
        <v>0</v>
      </c>
      <c r="G201" s="80"/>
      <c r="H201" s="80"/>
      <c r="I201" s="80"/>
      <c r="J201" s="80"/>
      <c r="K201" s="80"/>
      <c r="L201" s="80"/>
      <c r="M201" s="81"/>
      <c r="N201" s="79"/>
      <c r="O201" s="82"/>
    </row>
    <row r="202" spans="1:15" s="40" customFormat="1" ht="12" customHeight="1">
      <c r="A202" s="87"/>
      <c r="B202" s="176"/>
      <c r="C202" s="175"/>
      <c r="D202" s="117" t="s">
        <v>59</v>
      </c>
      <c r="E202" s="78">
        <v>300000</v>
      </c>
      <c r="F202" s="78">
        <f t="shared" si="4"/>
        <v>0</v>
      </c>
      <c r="G202" s="80"/>
      <c r="H202" s="80"/>
      <c r="I202" s="80"/>
      <c r="J202" s="80"/>
      <c r="K202" s="80"/>
      <c r="L202" s="80"/>
      <c r="M202" s="81"/>
      <c r="N202" s="79"/>
      <c r="O202" s="82"/>
    </row>
    <row r="203" spans="1:15" s="40" customFormat="1" ht="12" customHeight="1">
      <c r="A203" s="87"/>
      <c r="B203" s="176"/>
      <c r="C203" s="175"/>
      <c r="D203" s="117" t="s">
        <v>259</v>
      </c>
      <c r="E203" s="78">
        <v>300000</v>
      </c>
      <c r="F203" s="78">
        <f t="shared" si="4"/>
        <v>0</v>
      </c>
      <c r="G203" s="80"/>
      <c r="H203" s="80"/>
      <c r="I203" s="80"/>
      <c r="J203" s="80"/>
      <c r="K203" s="80"/>
      <c r="L203" s="80"/>
      <c r="M203" s="81"/>
      <c r="N203" s="79"/>
      <c r="O203" s="82"/>
    </row>
    <row r="204" spans="1:15" s="40" customFormat="1" ht="12" customHeight="1">
      <c r="A204" s="87"/>
      <c r="B204" s="671" t="s">
        <v>362</v>
      </c>
      <c r="C204" s="660"/>
      <c r="D204" s="117" t="s">
        <v>357</v>
      </c>
      <c r="E204" s="78"/>
      <c r="F204" s="78">
        <f t="shared" si="4"/>
        <v>0</v>
      </c>
      <c r="G204" s="80"/>
      <c r="H204" s="80"/>
      <c r="I204" s="80"/>
      <c r="J204" s="80"/>
      <c r="K204" s="80"/>
      <c r="L204" s="80"/>
      <c r="M204" s="81"/>
      <c r="N204" s="79"/>
      <c r="O204" s="82"/>
    </row>
    <row r="205" spans="1:15" s="40" customFormat="1" ht="12" customHeight="1">
      <c r="A205" s="87"/>
      <c r="B205" s="176"/>
      <c r="C205" s="175"/>
      <c r="D205" s="117" t="s">
        <v>59</v>
      </c>
      <c r="E205" s="78"/>
      <c r="F205" s="78">
        <f t="shared" si="4"/>
        <v>0</v>
      </c>
      <c r="G205" s="80"/>
      <c r="H205" s="80"/>
      <c r="I205" s="80"/>
      <c r="J205" s="80"/>
      <c r="K205" s="80"/>
      <c r="L205" s="80"/>
      <c r="M205" s="81"/>
      <c r="N205" s="79"/>
      <c r="O205" s="82"/>
    </row>
    <row r="206" spans="1:15" s="40" customFormat="1" ht="12" customHeight="1">
      <c r="A206" s="87"/>
      <c r="B206" s="176"/>
      <c r="C206" s="175"/>
      <c r="D206" s="117" t="s">
        <v>259</v>
      </c>
      <c r="E206" s="78"/>
      <c r="F206" s="78">
        <f t="shared" si="4"/>
        <v>0</v>
      </c>
      <c r="G206" s="80"/>
      <c r="H206" s="80"/>
      <c r="I206" s="80"/>
      <c r="J206" s="80"/>
      <c r="K206" s="80"/>
      <c r="L206" s="80"/>
      <c r="M206" s="81"/>
      <c r="N206" s="79"/>
      <c r="O206" s="82"/>
    </row>
    <row r="207" spans="1:15" s="40" customFormat="1" ht="12" customHeight="1">
      <c r="A207" s="87"/>
      <c r="B207" s="671" t="s">
        <v>363</v>
      </c>
      <c r="C207" s="660"/>
      <c r="D207" s="117" t="s">
        <v>357</v>
      </c>
      <c r="E207" s="78"/>
      <c r="F207" s="78">
        <f t="shared" si="4"/>
        <v>0</v>
      </c>
      <c r="G207" s="80"/>
      <c r="H207" s="80"/>
      <c r="I207" s="80"/>
      <c r="J207" s="80"/>
      <c r="K207" s="80"/>
      <c r="L207" s="80"/>
      <c r="M207" s="81"/>
      <c r="N207" s="79"/>
      <c r="O207" s="82"/>
    </row>
    <row r="208" spans="1:15" s="40" customFormat="1" ht="12" customHeight="1">
      <c r="A208" s="87"/>
      <c r="B208" s="176"/>
      <c r="C208" s="175"/>
      <c r="D208" s="117" t="s">
        <v>59</v>
      </c>
      <c r="E208" s="78"/>
      <c r="F208" s="78">
        <f t="shared" si="4"/>
        <v>0</v>
      </c>
      <c r="G208" s="80"/>
      <c r="H208" s="80"/>
      <c r="I208" s="80"/>
      <c r="J208" s="80"/>
      <c r="K208" s="80"/>
      <c r="L208" s="80"/>
      <c r="M208" s="81"/>
      <c r="N208" s="79"/>
      <c r="O208" s="82"/>
    </row>
    <row r="209" spans="1:15" s="40" customFormat="1" ht="12" customHeight="1">
      <c r="A209" s="87"/>
      <c r="B209" s="176"/>
      <c r="C209" s="175"/>
      <c r="D209" s="117" t="s">
        <v>259</v>
      </c>
      <c r="E209" s="78"/>
      <c r="F209" s="78">
        <f t="shared" si="4"/>
        <v>0</v>
      </c>
      <c r="G209" s="80"/>
      <c r="H209" s="80"/>
      <c r="I209" s="80"/>
      <c r="J209" s="80"/>
      <c r="K209" s="80"/>
      <c r="L209" s="80"/>
      <c r="M209" s="81"/>
      <c r="N209" s="79"/>
      <c r="O209" s="82"/>
    </row>
    <row r="210" spans="1:15" s="40" customFormat="1" ht="12" customHeight="1">
      <c r="A210" s="87"/>
      <c r="B210" s="671" t="s">
        <v>365</v>
      </c>
      <c r="C210" s="660"/>
      <c r="D210" s="117" t="s">
        <v>357</v>
      </c>
      <c r="E210" s="78">
        <v>2200000</v>
      </c>
      <c r="F210" s="78">
        <f t="shared" si="4"/>
        <v>0</v>
      </c>
      <c r="G210" s="80"/>
      <c r="H210" s="80"/>
      <c r="I210" s="80"/>
      <c r="J210" s="80"/>
      <c r="K210" s="80"/>
      <c r="L210" s="80"/>
      <c r="M210" s="81"/>
      <c r="N210" s="79"/>
      <c r="O210" s="82"/>
    </row>
    <row r="211" spans="1:15" s="40" customFormat="1" ht="12" customHeight="1">
      <c r="A211" s="87"/>
      <c r="B211" s="176"/>
      <c r="C211" s="175"/>
      <c r="D211" s="117" t="s">
        <v>59</v>
      </c>
      <c r="E211" s="78">
        <v>2200000</v>
      </c>
      <c r="F211" s="78">
        <f t="shared" si="4"/>
        <v>0</v>
      </c>
      <c r="G211" s="80"/>
      <c r="H211" s="80"/>
      <c r="I211" s="80"/>
      <c r="J211" s="80"/>
      <c r="K211" s="80"/>
      <c r="L211" s="80"/>
      <c r="M211" s="81"/>
      <c r="N211" s="79"/>
      <c r="O211" s="82"/>
    </row>
    <row r="212" spans="1:15" s="40" customFormat="1" ht="12" customHeight="1">
      <c r="A212" s="87"/>
      <c r="B212" s="176"/>
      <c r="C212" s="175"/>
      <c r="D212" s="117" t="s">
        <v>259</v>
      </c>
      <c r="E212" s="78">
        <v>2300000</v>
      </c>
      <c r="F212" s="78">
        <f t="shared" si="4"/>
        <v>0</v>
      </c>
      <c r="G212" s="80"/>
      <c r="H212" s="80"/>
      <c r="I212" s="80"/>
      <c r="J212" s="80"/>
      <c r="K212" s="80"/>
      <c r="L212" s="80"/>
      <c r="M212" s="81"/>
      <c r="N212" s="79"/>
      <c r="O212" s="82"/>
    </row>
    <row r="213" spans="1:15" s="40" customFormat="1" ht="12" customHeight="1">
      <c r="A213" s="87"/>
      <c r="B213" s="671" t="s">
        <v>373</v>
      </c>
      <c r="C213" s="660"/>
      <c r="D213" s="117" t="s">
        <v>357</v>
      </c>
      <c r="E213" s="78"/>
      <c r="F213" s="78">
        <f t="shared" si="4"/>
        <v>1200000</v>
      </c>
      <c r="G213" s="80"/>
      <c r="H213" s="80"/>
      <c r="I213" s="80"/>
      <c r="J213" s="80"/>
      <c r="K213" s="80"/>
      <c r="L213" s="80"/>
      <c r="M213" s="81"/>
      <c r="N213" s="79"/>
      <c r="O213" s="82">
        <v>1200000</v>
      </c>
    </row>
    <row r="214" spans="1:15" s="40" customFormat="1" ht="12" customHeight="1">
      <c r="A214" s="103"/>
      <c r="B214" s="176"/>
      <c r="C214" s="175"/>
      <c r="D214" s="117" t="s">
        <v>59</v>
      </c>
      <c r="E214" s="78"/>
      <c r="F214" s="78">
        <f t="shared" si="4"/>
        <v>793991</v>
      </c>
      <c r="G214" s="80"/>
      <c r="H214" s="80"/>
      <c r="I214" s="80"/>
      <c r="J214" s="80"/>
      <c r="K214" s="80"/>
      <c r="L214" s="80"/>
      <c r="M214" s="81"/>
      <c r="N214" s="79"/>
      <c r="O214" s="82">
        <v>793991</v>
      </c>
    </row>
    <row r="215" spans="1:15" s="40" customFormat="1" ht="12" customHeight="1">
      <c r="A215" s="103"/>
      <c r="B215" s="176"/>
      <c r="C215" s="175"/>
      <c r="D215" s="117" t="s">
        <v>259</v>
      </c>
      <c r="E215" s="78"/>
      <c r="F215" s="78">
        <f t="shared" si="4"/>
        <v>635061</v>
      </c>
      <c r="G215" s="80"/>
      <c r="H215" s="80"/>
      <c r="I215" s="80"/>
      <c r="J215" s="80"/>
      <c r="K215" s="80"/>
      <c r="L215" s="80"/>
      <c r="M215" s="81"/>
      <c r="N215" s="79"/>
      <c r="O215" s="82">
        <v>635061</v>
      </c>
    </row>
    <row r="216" spans="1:15" s="40" customFormat="1" ht="12" customHeight="1">
      <c r="A216" s="103"/>
      <c r="B216" s="671" t="s">
        <v>378</v>
      </c>
      <c r="C216" s="660"/>
      <c r="D216" s="117" t="s">
        <v>357</v>
      </c>
      <c r="E216" s="78"/>
      <c r="F216" s="78">
        <f t="shared" si="4"/>
        <v>119575</v>
      </c>
      <c r="G216" s="80"/>
      <c r="H216" s="80"/>
      <c r="I216" s="80"/>
      <c r="J216" s="80"/>
      <c r="K216" s="80"/>
      <c r="L216" s="80"/>
      <c r="M216" s="81"/>
      <c r="N216" s="79"/>
      <c r="O216" s="82">
        <v>119575</v>
      </c>
    </row>
    <row r="217" spans="1:15" s="40" customFormat="1" ht="12" customHeight="1">
      <c r="A217" s="87"/>
      <c r="B217" s="173"/>
      <c r="C217" s="175"/>
      <c r="D217" s="117" t="s">
        <v>59</v>
      </c>
      <c r="E217" s="78"/>
      <c r="F217" s="78">
        <f t="shared" si="4"/>
        <v>15089</v>
      </c>
      <c r="G217" s="80"/>
      <c r="H217" s="80"/>
      <c r="I217" s="80"/>
      <c r="J217" s="80"/>
      <c r="K217" s="80"/>
      <c r="L217" s="80"/>
      <c r="M217" s="81"/>
      <c r="N217" s="79"/>
      <c r="O217" s="82">
        <v>15089</v>
      </c>
    </row>
    <row r="218" spans="1:15" s="40" customFormat="1" ht="12" customHeight="1">
      <c r="A218" s="103"/>
      <c r="B218" s="173"/>
      <c r="C218" s="175"/>
      <c r="D218" s="117" t="s">
        <v>259</v>
      </c>
      <c r="E218" s="78"/>
      <c r="F218" s="78">
        <f t="shared" si="4"/>
        <v>28892</v>
      </c>
      <c r="G218" s="80"/>
      <c r="H218" s="80"/>
      <c r="I218" s="80"/>
      <c r="J218" s="80"/>
      <c r="K218" s="80"/>
      <c r="L218" s="80"/>
      <c r="M218" s="81"/>
      <c r="N218" s="79"/>
      <c r="O218" s="82">
        <v>28892</v>
      </c>
    </row>
    <row r="219" spans="1:15" s="40" customFormat="1" ht="12" customHeight="1">
      <c r="A219" s="681" t="s">
        <v>185</v>
      </c>
      <c r="B219" s="682"/>
      <c r="C219" s="683"/>
      <c r="D219" s="119" t="s">
        <v>357</v>
      </c>
      <c r="E219" s="105">
        <f aca="true" t="shared" si="5" ref="E219:O219">SUM(E9+E12+E15+E18+E21+E24+E27+E30+E33+E36+E39+E42+E45+E48+E51+E54+E57+E60+E66+E69+E72+E75+E78+E81+E84+E87+E90+E93+E96+E99+E102+E105+E108+E111+E114+E117+E120+E123+E129+E132+E135+E138+E141+E144+E147+E150+E153+E156+E159+E162+E165+E168+E171+E174+E177+E180+E183+E186+E192+E195+E198+E201+E204+E207+E210+E213+E216)</f>
        <v>6217257</v>
      </c>
      <c r="F219" s="105">
        <f t="shared" si="5"/>
        <v>4744829</v>
      </c>
      <c r="G219" s="105">
        <f t="shared" si="5"/>
        <v>449904</v>
      </c>
      <c r="H219" s="105">
        <f t="shared" si="5"/>
        <v>142199</v>
      </c>
      <c r="I219" s="105">
        <f t="shared" si="5"/>
        <v>822744</v>
      </c>
      <c r="J219" s="105">
        <f t="shared" si="5"/>
        <v>415373</v>
      </c>
      <c r="K219" s="105">
        <f t="shared" si="5"/>
        <v>159000</v>
      </c>
      <c r="L219" s="105">
        <f t="shared" si="5"/>
        <v>182906</v>
      </c>
      <c r="M219" s="105">
        <f t="shared" si="5"/>
        <v>1075299</v>
      </c>
      <c r="N219" s="105">
        <f t="shared" si="5"/>
        <v>26473</v>
      </c>
      <c r="O219" s="106">
        <f t="shared" si="5"/>
        <v>1470931</v>
      </c>
    </row>
    <row r="220" spans="1:17" s="42" customFormat="1" ht="12" customHeight="1">
      <c r="A220" s="72"/>
      <c r="B220" s="107"/>
      <c r="C220" s="107"/>
      <c r="D220" s="119" t="s">
        <v>59</v>
      </c>
      <c r="E220" s="105">
        <f aca="true" t="shared" si="6" ref="E220:O220">SUM(E10+E13+E16+E19+E22+E25+E28+E31+E34+E37+E40+E43+E46+E49+E52+E55+E58+E61+E67+E70+E73+E76+E79+E82+E85+E88+E91+E94+E97+E100+E103+E106+E109+E112+E115+E118+E121+E124+E130+E133+E136+E139+E142+E145+E148+E151+E154+E157+E160+E163+E166+E169+E172+E175+E178+E181+E184+E187+E193+E196+E199+E202+E205+E208+E211+E214+E217)</f>
        <v>6412907</v>
      </c>
      <c r="F220" s="105">
        <f t="shared" si="6"/>
        <v>4845692</v>
      </c>
      <c r="G220" s="105">
        <f t="shared" si="6"/>
        <v>479297</v>
      </c>
      <c r="H220" s="105">
        <f t="shared" si="6"/>
        <v>150440</v>
      </c>
      <c r="I220" s="105">
        <f t="shared" si="6"/>
        <v>872705</v>
      </c>
      <c r="J220" s="105">
        <f t="shared" si="6"/>
        <v>578052</v>
      </c>
      <c r="K220" s="105">
        <f t="shared" si="6"/>
        <v>160373</v>
      </c>
      <c r="L220" s="105">
        <f t="shared" si="6"/>
        <v>369223</v>
      </c>
      <c r="M220" s="105">
        <f t="shared" si="6"/>
        <v>1273155</v>
      </c>
      <c r="N220" s="105">
        <f t="shared" si="6"/>
        <v>55112</v>
      </c>
      <c r="O220" s="106">
        <f t="shared" si="6"/>
        <v>907335</v>
      </c>
      <c r="P220" s="108"/>
      <c r="Q220" s="108"/>
    </row>
    <row r="221" spans="1:17" s="42" customFormat="1" ht="12" customHeight="1">
      <c r="A221" s="72"/>
      <c r="B221" s="107"/>
      <c r="C221" s="107"/>
      <c r="D221" s="119" t="s">
        <v>259</v>
      </c>
      <c r="E221" s="105">
        <f aca="true" t="shared" si="7" ref="E221:O221">SUM(E11+E14+E17+E20+E23+E26+E29+E32+E35+E38+E41+E44+E47+E50+E53+E56+E59+E62+E68+E71+E74+E77+E80+E83+E86+E89+E92+E95+E98+E101+E104+E107+E110+E113+E116+E119+E122+E125+E131+E134+E137+E140+E143+E146+E149+E152+E155+E158+E161+E164+E167+E170+E173+E176+E179+E182+E185+E188+E194+E197+E200+E203+E206+E209+E212+E215+E218)</f>
        <v>7110310</v>
      </c>
      <c r="F221" s="105">
        <f t="shared" si="7"/>
        <v>5530465</v>
      </c>
      <c r="G221" s="105">
        <f t="shared" si="7"/>
        <v>513899</v>
      </c>
      <c r="H221" s="105">
        <f t="shared" si="7"/>
        <v>155899</v>
      </c>
      <c r="I221" s="105">
        <f t="shared" si="7"/>
        <v>919778</v>
      </c>
      <c r="J221" s="105">
        <f t="shared" si="7"/>
        <v>612572</v>
      </c>
      <c r="K221" s="105">
        <f t="shared" si="7"/>
        <v>163626</v>
      </c>
      <c r="L221" s="105">
        <f t="shared" si="7"/>
        <v>395634</v>
      </c>
      <c r="M221" s="105">
        <f t="shared" si="7"/>
        <v>1993740</v>
      </c>
      <c r="N221" s="105">
        <f t="shared" si="7"/>
        <v>55112</v>
      </c>
      <c r="O221" s="106">
        <f t="shared" si="7"/>
        <v>720205</v>
      </c>
      <c r="P221" s="108"/>
      <c r="Q221" s="108"/>
    </row>
    <row r="222" spans="1:17" s="42" customFormat="1" ht="12" customHeight="1">
      <c r="A222" s="72"/>
      <c r="B222" s="107"/>
      <c r="C222" s="107"/>
      <c r="D222" s="120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6"/>
      <c r="P222" s="108"/>
      <c r="Q222" s="108"/>
    </row>
    <row r="223" spans="1:15" s="42" customFormat="1" ht="12" customHeight="1">
      <c r="A223" s="681" t="s">
        <v>364</v>
      </c>
      <c r="B223" s="684"/>
      <c r="C223" s="685"/>
      <c r="D223" s="119" t="s">
        <v>357</v>
      </c>
      <c r="E223" s="105">
        <v>2500</v>
      </c>
      <c r="F223" s="105">
        <f>SUM(G223:O223)</f>
        <v>19384</v>
      </c>
      <c r="G223" s="109">
        <v>9000</v>
      </c>
      <c r="H223" s="109">
        <v>2594</v>
      </c>
      <c r="I223" s="109">
        <v>5630</v>
      </c>
      <c r="J223" s="109">
        <v>600</v>
      </c>
      <c r="K223" s="109"/>
      <c r="L223" s="109"/>
      <c r="M223" s="109">
        <v>1560</v>
      </c>
      <c r="N223" s="105"/>
      <c r="O223" s="106"/>
    </row>
    <row r="224" spans="1:15" s="42" customFormat="1" ht="12" customHeight="1">
      <c r="A224" s="72"/>
      <c r="B224" s="183"/>
      <c r="C224" s="183"/>
      <c r="D224" s="119" t="s">
        <v>59</v>
      </c>
      <c r="E224" s="105">
        <v>2500</v>
      </c>
      <c r="F224" s="105">
        <f>SUM(G224:O224)</f>
        <v>19384</v>
      </c>
      <c r="G224" s="109">
        <v>9000</v>
      </c>
      <c r="H224" s="109">
        <v>2594</v>
      </c>
      <c r="I224" s="109">
        <v>5630</v>
      </c>
      <c r="J224" s="109">
        <v>600</v>
      </c>
      <c r="K224" s="109"/>
      <c r="L224" s="109"/>
      <c r="M224" s="109">
        <v>1560</v>
      </c>
      <c r="N224" s="105"/>
      <c r="O224" s="106"/>
    </row>
    <row r="225" spans="1:15" s="42" customFormat="1" ht="12" customHeight="1">
      <c r="A225" s="72"/>
      <c r="B225" s="183"/>
      <c r="C225" s="183"/>
      <c r="D225" s="119" t="s">
        <v>259</v>
      </c>
      <c r="E225" s="105">
        <v>3016</v>
      </c>
      <c r="F225" s="105">
        <f>SUM(G225:O225)</f>
        <v>20032</v>
      </c>
      <c r="G225" s="109">
        <v>9200</v>
      </c>
      <c r="H225" s="109">
        <v>2526</v>
      </c>
      <c r="I225" s="109">
        <v>6146</v>
      </c>
      <c r="J225" s="109">
        <v>600</v>
      </c>
      <c r="K225" s="109"/>
      <c r="L225" s="109"/>
      <c r="M225" s="109">
        <v>1560</v>
      </c>
      <c r="N225" s="105"/>
      <c r="O225" s="106"/>
    </row>
    <row r="226" spans="1:15" s="42" customFormat="1" ht="12" customHeight="1">
      <c r="A226" s="72"/>
      <c r="B226" s="107"/>
      <c r="C226" s="107"/>
      <c r="D226" s="120"/>
      <c r="E226" s="105"/>
      <c r="F226" s="105"/>
      <c r="G226" s="105"/>
      <c r="H226" s="105"/>
      <c r="I226" s="105"/>
      <c r="J226" s="109"/>
      <c r="K226" s="109"/>
      <c r="L226" s="109"/>
      <c r="M226" s="109"/>
      <c r="N226" s="105"/>
      <c r="O226" s="106"/>
    </row>
    <row r="227" spans="1:15" s="42" customFormat="1" ht="12" customHeight="1">
      <c r="A227" s="677" t="s">
        <v>454</v>
      </c>
      <c r="B227" s="678"/>
      <c r="C227" s="679"/>
      <c r="D227" s="118"/>
      <c r="E227" s="105"/>
      <c r="F227" s="78"/>
      <c r="G227" s="78"/>
      <c r="H227" s="78"/>
      <c r="I227" s="78"/>
      <c r="J227" s="78"/>
      <c r="K227" s="78"/>
      <c r="L227" s="78"/>
      <c r="M227" s="78"/>
      <c r="N227" s="78"/>
      <c r="O227" s="86"/>
    </row>
    <row r="228" spans="1:15" s="42" customFormat="1" ht="12" customHeight="1">
      <c r="A228" s="87" t="s">
        <v>370</v>
      </c>
      <c r="B228" s="675" t="s">
        <v>186</v>
      </c>
      <c r="C228" s="680"/>
      <c r="D228" s="117" t="s">
        <v>357</v>
      </c>
      <c r="E228" s="78">
        <v>571</v>
      </c>
      <c r="F228" s="78">
        <f>SUM(G228:O228)</f>
        <v>571</v>
      </c>
      <c r="G228" s="110"/>
      <c r="H228" s="110"/>
      <c r="I228" s="110">
        <v>571</v>
      </c>
      <c r="J228" s="110"/>
      <c r="K228" s="110"/>
      <c r="L228" s="110"/>
      <c r="M228" s="110"/>
      <c r="N228" s="110"/>
      <c r="O228" s="111"/>
    </row>
    <row r="229" spans="1:15" s="42" customFormat="1" ht="12" customHeight="1">
      <c r="A229" s="87"/>
      <c r="B229" s="173"/>
      <c r="C229" s="178"/>
      <c r="D229" s="117" t="s">
        <v>59</v>
      </c>
      <c r="E229" s="110">
        <v>1300</v>
      </c>
      <c r="F229" s="78">
        <f>SUM(G229:O229)</f>
        <v>1300</v>
      </c>
      <c r="G229" s="110"/>
      <c r="H229" s="110"/>
      <c r="I229" s="110">
        <v>1300</v>
      </c>
      <c r="J229" s="110"/>
      <c r="K229" s="110"/>
      <c r="L229" s="110"/>
      <c r="M229" s="110"/>
      <c r="N229" s="110"/>
      <c r="O229" s="111"/>
    </row>
    <row r="230" spans="1:15" s="42" customFormat="1" ht="12" customHeight="1">
      <c r="A230" s="87"/>
      <c r="B230" s="173"/>
      <c r="C230" s="178"/>
      <c r="D230" s="117" t="s">
        <v>259</v>
      </c>
      <c r="E230" s="110">
        <v>1300</v>
      </c>
      <c r="F230" s="78">
        <v>1300</v>
      </c>
      <c r="G230" s="110"/>
      <c r="H230" s="110"/>
      <c r="I230" s="110">
        <v>1300</v>
      </c>
      <c r="J230" s="110"/>
      <c r="K230" s="110"/>
      <c r="L230" s="110"/>
      <c r="M230" s="110"/>
      <c r="N230" s="110"/>
      <c r="O230" s="111"/>
    </row>
    <row r="231" spans="1:15" s="40" customFormat="1" ht="12" customHeight="1">
      <c r="A231" s="87"/>
      <c r="B231" s="675" t="s">
        <v>187</v>
      </c>
      <c r="C231" s="680"/>
      <c r="D231" s="117" t="s">
        <v>357</v>
      </c>
      <c r="E231" s="110">
        <v>571</v>
      </c>
      <c r="F231" s="78">
        <f aca="true" t="shared" si="8" ref="F231:F236">SUM(G231:O231)</f>
        <v>571</v>
      </c>
      <c r="G231" s="110"/>
      <c r="H231" s="110"/>
      <c r="I231" s="110">
        <v>571</v>
      </c>
      <c r="J231" s="110"/>
      <c r="K231" s="110"/>
      <c r="L231" s="110"/>
      <c r="M231" s="110"/>
      <c r="N231" s="110"/>
      <c r="O231" s="111"/>
    </row>
    <row r="232" spans="1:15" s="40" customFormat="1" ht="12" customHeight="1">
      <c r="A232" s="87"/>
      <c r="B232" s="173"/>
      <c r="C232" s="178"/>
      <c r="D232" s="117" t="s">
        <v>59</v>
      </c>
      <c r="E232" s="110">
        <v>1139</v>
      </c>
      <c r="F232" s="78">
        <f t="shared" si="8"/>
        <v>1139</v>
      </c>
      <c r="G232" s="110"/>
      <c r="H232" s="110"/>
      <c r="I232" s="110">
        <v>1139</v>
      </c>
      <c r="J232" s="110"/>
      <c r="K232" s="110"/>
      <c r="L232" s="110"/>
      <c r="M232" s="110"/>
      <c r="N232" s="110"/>
      <c r="O232" s="111"/>
    </row>
    <row r="233" spans="1:15" s="40" customFormat="1" ht="12" customHeight="1">
      <c r="A233" s="87"/>
      <c r="B233" s="173"/>
      <c r="C233" s="178"/>
      <c r="D233" s="117" t="s">
        <v>259</v>
      </c>
      <c r="E233" s="110">
        <v>1139</v>
      </c>
      <c r="F233" s="78">
        <f t="shared" si="8"/>
        <v>1139</v>
      </c>
      <c r="G233" s="110"/>
      <c r="H233" s="110"/>
      <c r="I233" s="110">
        <v>1129</v>
      </c>
      <c r="J233" s="110">
        <v>10</v>
      </c>
      <c r="K233" s="110"/>
      <c r="L233" s="110"/>
      <c r="M233" s="110"/>
      <c r="N233" s="110"/>
      <c r="O233" s="111"/>
    </row>
    <row r="234" spans="1:15" s="40" customFormat="1" ht="12" customHeight="1">
      <c r="A234" s="87"/>
      <c r="B234" s="675" t="s">
        <v>188</v>
      </c>
      <c r="C234" s="676"/>
      <c r="D234" s="117" t="s">
        <v>357</v>
      </c>
      <c r="E234" s="110">
        <v>571</v>
      </c>
      <c r="F234" s="78">
        <f t="shared" si="8"/>
        <v>571</v>
      </c>
      <c r="G234" s="110"/>
      <c r="H234" s="110"/>
      <c r="I234" s="110">
        <v>571</v>
      </c>
      <c r="J234" s="110"/>
      <c r="K234" s="110"/>
      <c r="L234" s="110"/>
      <c r="M234" s="110"/>
      <c r="N234" s="110"/>
      <c r="O234" s="111"/>
    </row>
    <row r="235" spans="1:15" s="40" customFormat="1" ht="12" customHeight="1">
      <c r="A235" s="87"/>
      <c r="B235" s="173"/>
      <c r="C235" s="174"/>
      <c r="D235" s="117" t="s">
        <v>59</v>
      </c>
      <c r="E235" s="110">
        <v>730</v>
      </c>
      <c r="F235" s="78">
        <f t="shared" si="8"/>
        <v>730</v>
      </c>
      <c r="G235" s="110"/>
      <c r="H235" s="110"/>
      <c r="I235" s="110">
        <v>730</v>
      </c>
      <c r="J235" s="110"/>
      <c r="K235" s="110"/>
      <c r="L235" s="110"/>
      <c r="M235" s="110"/>
      <c r="N235" s="110"/>
      <c r="O235" s="111"/>
    </row>
    <row r="236" spans="1:15" s="40" customFormat="1" ht="12" customHeight="1">
      <c r="A236" s="103"/>
      <c r="B236" s="173"/>
      <c r="C236" s="174"/>
      <c r="D236" s="117" t="s">
        <v>259</v>
      </c>
      <c r="E236" s="110">
        <v>730</v>
      </c>
      <c r="F236" s="110">
        <f t="shared" si="8"/>
        <v>730</v>
      </c>
      <c r="G236" s="110"/>
      <c r="H236" s="110"/>
      <c r="I236" s="110">
        <v>730</v>
      </c>
      <c r="J236" s="110"/>
      <c r="K236" s="110"/>
      <c r="L236" s="110"/>
      <c r="M236" s="110"/>
      <c r="N236" s="110"/>
      <c r="O236" s="111"/>
    </row>
    <row r="237" spans="1:15" s="40" customFormat="1" ht="12" customHeight="1">
      <c r="A237" s="681" t="s">
        <v>189</v>
      </c>
      <c r="B237" s="686"/>
      <c r="C237" s="687"/>
      <c r="D237" s="119" t="s">
        <v>357</v>
      </c>
      <c r="E237" s="112">
        <f aca="true" t="shared" si="9" ref="E237:O237">SUM(E228+E231+E234)</f>
        <v>1713</v>
      </c>
      <c r="F237" s="112">
        <f t="shared" si="9"/>
        <v>1713</v>
      </c>
      <c r="G237" s="112">
        <f t="shared" si="9"/>
        <v>0</v>
      </c>
      <c r="H237" s="112">
        <f t="shared" si="9"/>
        <v>0</v>
      </c>
      <c r="I237" s="112">
        <f t="shared" si="9"/>
        <v>1713</v>
      </c>
      <c r="J237" s="112">
        <f t="shared" si="9"/>
        <v>0</v>
      </c>
      <c r="K237" s="112">
        <f t="shared" si="9"/>
        <v>0</v>
      </c>
      <c r="L237" s="112">
        <f t="shared" si="9"/>
        <v>0</v>
      </c>
      <c r="M237" s="112">
        <f t="shared" si="9"/>
        <v>0</v>
      </c>
      <c r="N237" s="112">
        <f t="shared" si="9"/>
        <v>0</v>
      </c>
      <c r="O237" s="106">
        <f t="shared" si="9"/>
        <v>0</v>
      </c>
    </row>
    <row r="238" spans="1:15" s="40" customFormat="1" ht="12" customHeight="1">
      <c r="A238" s="123"/>
      <c r="B238" s="122"/>
      <c r="C238" s="113"/>
      <c r="D238" s="119" t="s">
        <v>59</v>
      </c>
      <c r="E238" s="112">
        <f>SUM(E229,E232,E235)</f>
        <v>3169</v>
      </c>
      <c r="F238" s="112">
        <f>SUM(F229,F232,F235)</f>
        <v>3169</v>
      </c>
      <c r="G238" s="112">
        <f aca="true" t="shared" si="10" ref="G238:O238">SUM(G229+G232+G235)</f>
        <v>0</v>
      </c>
      <c r="H238" s="112">
        <f t="shared" si="10"/>
        <v>0</v>
      </c>
      <c r="I238" s="112">
        <f t="shared" si="10"/>
        <v>3169</v>
      </c>
      <c r="J238" s="112">
        <f t="shared" si="10"/>
        <v>0</v>
      </c>
      <c r="K238" s="112">
        <f t="shared" si="10"/>
        <v>0</v>
      </c>
      <c r="L238" s="112">
        <f t="shared" si="10"/>
        <v>0</v>
      </c>
      <c r="M238" s="112">
        <f t="shared" si="10"/>
        <v>0</v>
      </c>
      <c r="N238" s="112">
        <f t="shared" si="10"/>
        <v>0</v>
      </c>
      <c r="O238" s="106">
        <f t="shared" si="10"/>
        <v>0</v>
      </c>
    </row>
    <row r="239" spans="1:15" s="40" customFormat="1" ht="12" customHeight="1">
      <c r="A239" s="123"/>
      <c r="B239" s="122"/>
      <c r="C239" s="113"/>
      <c r="D239" s="119" t="s">
        <v>259</v>
      </c>
      <c r="E239" s="112">
        <f>SUM(E230+E233+E236)</f>
        <v>3169</v>
      </c>
      <c r="F239" s="112">
        <f aca="true" t="shared" si="11" ref="F239:O239">SUM(F230+F233+F236)</f>
        <v>3169</v>
      </c>
      <c r="G239" s="112">
        <f t="shared" si="11"/>
        <v>0</v>
      </c>
      <c r="H239" s="112">
        <f t="shared" si="11"/>
        <v>0</v>
      </c>
      <c r="I239" s="112">
        <f t="shared" si="11"/>
        <v>3159</v>
      </c>
      <c r="J239" s="112">
        <f t="shared" si="11"/>
        <v>10</v>
      </c>
      <c r="K239" s="112">
        <f t="shared" si="11"/>
        <v>0</v>
      </c>
      <c r="L239" s="112">
        <f t="shared" si="11"/>
        <v>0</v>
      </c>
      <c r="M239" s="112">
        <f t="shared" si="11"/>
        <v>0</v>
      </c>
      <c r="N239" s="112">
        <f t="shared" si="11"/>
        <v>0</v>
      </c>
      <c r="O239" s="106">
        <f t="shared" si="11"/>
        <v>0</v>
      </c>
    </row>
    <row r="240" spans="1:15" ht="12" customHeight="1">
      <c r="A240" s="123"/>
      <c r="B240" s="122"/>
      <c r="C240" s="113"/>
      <c r="D240" s="121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4"/>
    </row>
    <row r="241" spans="1:15" ht="12" customHeight="1">
      <c r="A241" s="688" t="s">
        <v>380</v>
      </c>
      <c r="B241" s="689"/>
      <c r="C241" s="690"/>
      <c r="D241" s="121" t="s">
        <v>352</v>
      </c>
      <c r="E241" s="194">
        <f aca="true" t="shared" si="12" ref="E241:O241">SUM(E219+E223+E237)</f>
        <v>6221470</v>
      </c>
      <c r="F241" s="194">
        <f t="shared" si="12"/>
        <v>4765926</v>
      </c>
      <c r="G241" s="194">
        <f t="shared" si="12"/>
        <v>458904</v>
      </c>
      <c r="H241" s="194">
        <f t="shared" si="12"/>
        <v>144793</v>
      </c>
      <c r="I241" s="194">
        <f t="shared" si="12"/>
        <v>830087</v>
      </c>
      <c r="J241" s="194">
        <f t="shared" si="12"/>
        <v>415973</v>
      </c>
      <c r="K241" s="194">
        <f t="shared" si="12"/>
        <v>159000</v>
      </c>
      <c r="L241" s="194">
        <f t="shared" si="12"/>
        <v>182906</v>
      </c>
      <c r="M241" s="194">
        <f t="shared" si="12"/>
        <v>1076859</v>
      </c>
      <c r="N241" s="194">
        <f t="shared" si="12"/>
        <v>26473</v>
      </c>
      <c r="O241" s="195">
        <f t="shared" si="12"/>
        <v>1470931</v>
      </c>
    </row>
    <row r="242" spans="1:15" ht="12.75">
      <c r="A242" s="516"/>
      <c r="B242" s="77"/>
      <c r="C242" s="77"/>
      <c r="D242" s="119" t="s">
        <v>59</v>
      </c>
      <c r="E242" s="425">
        <f aca="true" t="shared" si="13" ref="E242:O242">SUM(E220+E224+E238)</f>
        <v>6418576</v>
      </c>
      <c r="F242" s="425">
        <f t="shared" si="13"/>
        <v>4868245</v>
      </c>
      <c r="G242" s="425">
        <f t="shared" si="13"/>
        <v>488297</v>
      </c>
      <c r="H242" s="425">
        <f t="shared" si="13"/>
        <v>153034</v>
      </c>
      <c r="I242" s="425">
        <f t="shared" si="13"/>
        <v>881504</v>
      </c>
      <c r="J242" s="425">
        <f t="shared" si="13"/>
        <v>578652</v>
      </c>
      <c r="K242" s="425">
        <f t="shared" si="13"/>
        <v>160373</v>
      </c>
      <c r="L242" s="425">
        <f t="shared" si="13"/>
        <v>369223</v>
      </c>
      <c r="M242" s="425">
        <f t="shared" si="13"/>
        <v>1274715</v>
      </c>
      <c r="N242" s="425">
        <f t="shared" si="13"/>
        <v>55112</v>
      </c>
      <c r="O242" s="426">
        <f t="shared" si="13"/>
        <v>907335</v>
      </c>
    </row>
    <row r="243" spans="1:15" ht="13.5" thickBot="1">
      <c r="A243" s="514"/>
      <c r="B243" s="515"/>
      <c r="C243" s="515"/>
      <c r="D243" s="451" t="s">
        <v>259</v>
      </c>
      <c r="E243" s="520">
        <f>SUM(E221+E225+E239)</f>
        <v>7116495</v>
      </c>
      <c r="F243" s="520">
        <f aca="true" t="shared" si="14" ref="F243:O243">SUM(F221+F225+F239)</f>
        <v>5553666</v>
      </c>
      <c r="G243" s="520">
        <f t="shared" si="14"/>
        <v>523099</v>
      </c>
      <c r="H243" s="520">
        <f t="shared" si="14"/>
        <v>158425</v>
      </c>
      <c r="I243" s="520">
        <f t="shared" si="14"/>
        <v>929083</v>
      </c>
      <c r="J243" s="520">
        <f t="shared" si="14"/>
        <v>613182</v>
      </c>
      <c r="K243" s="520">
        <f t="shared" si="14"/>
        <v>163626</v>
      </c>
      <c r="L243" s="520">
        <f t="shared" si="14"/>
        <v>395634</v>
      </c>
      <c r="M243" s="520">
        <f t="shared" si="14"/>
        <v>1995300</v>
      </c>
      <c r="N243" s="520">
        <f t="shared" si="14"/>
        <v>55112</v>
      </c>
      <c r="O243" s="427">
        <f t="shared" si="14"/>
        <v>720205</v>
      </c>
    </row>
    <row r="244" ht="13.5" thickTop="1"/>
  </sheetData>
  <mergeCells count="120">
    <mergeCell ref="E63:E65"/>
    <mergeCell ref="F63:F65"/>
    <mergeCell ref="L64:L65"/>
    <mergeCell ref="M64:M65"/>
    <mergeCell ref="B72:C72"/>
    <mergeCell ref="B84:C84"/>
    <mergeCell ref="B87:C87"/>
    <mergeCell ref="B90:C90"/>
    <mergeCell ref="B75:C75"/>
    <mergeCell ref="B78:C78"/>
    <mergeCell ref="B81:C81"/>
    <mergeCell ref="B216:C216"/>
    <mergeCell ref="B9:C9"/>
    <mergeCell ref="B12:C12"/>
    <mergeCell ref="B15:C15"/>
    <mergeCell ref="B18:C18"/>
    <mergeCell ref="B21:C21"/>
    <mergeCell ref="B24:C24"/>
    <mergeCell ref="B27:C27"/>
    <mergeCell ref="B42:C42"/>
    <mergeCell ref="B45:C45"/>
    <mergeCell ref="A3:O3"/>
    <mergeCell ref="A6:D8"/>
    <mergeCell ref="E6:E8"/>
    <mergeCell ref="F6:F8"/>
    <mergeCell ref="L7:L8"/>
    <mergeCell ref="M7:M8"/>
    <mergeCell ref="A4:O4"/>
    <mergeCell ref="G7:G8"/>
    <mergeCell ref="H7:H8"/>
    <mergeCell ref="I7:I8"/>
    <mergeCell ref="B48:C48"/>
    <mergeCell ref="B33:C33"/>
    <mergeCell ref="B36:C36"/>
    <mergeCell ref="B39:C39"/>
    <mergeCell ref="B60:C60"/>
    <mergeCell ref="B66:C66"/>
    <mergeCell ref="B51:C51"/>
    <mergeCell ref="B54:C54"/>
    <mergeCell ref="B57:C57"/>
    <mergeCell ref="A63:D65"/>
    <mergeCell ref="B105:C105"/>
    <mergeCell ref="B108:C108"/>
    <mergeCell ref="B93:C93"/>
    <mergeCell ref="B96:C96"/>
    <mergeCell ref="B99:C99"/>
    <mergeCell ref="B168:C168"/>
    <mergeCell ref="B171:C171"/>
    <mergeCell ref="B174:C174"/>
    <mergeCell ref="B111:C111"/>
    <mergeCell ref="B114:C114"/>
    <mergeCell ref="B117:C117"/>
    <mergeCell ref="B120:C120"/>
    <mergeCell ref="B129:C129"/>
    <mergeCell ref="B141:C141"/>
    <mergeCell ref="A126:D128"/>
    <mergeCell ref="B186:C186"/>
    <mergeCell ref="B192:C192"/>
    <mergeCell ref="B195:C195"/>
    <mergeCell ref="B177:C177"/>
    <mergeCell ref="B180:C180"/>
    <mergeCell ref="B183:C183"/>
    <mergeCell ref="A189:D191"/>
    <mergeCell ref="B207:C207"/>
    <mergeCell ref="B210:C210"/>
    <mergeCell ref="B213:C213"/>
    <mergeCell ref="B198:C198"/>
    <mergeCell ref="B201:C201"/>
    <mergeCell ref="B204:C204"/>
    <mergeCell ref="A237:C237"/>
    <mergeCell ref="A241:C241"/>
    <mergeCell ref="B231:C231"/>
    <mergeCell ref="B234:C234"/>
    <mergeCell ref="A227:C227"/>
    <mergeCell ref="B228:C228"/>
    <mergeCell ref="A219:C219"/>
    <mergeCell ref="A223:C223"/>
    <mergeCell ref="B30:C30"/>
    <mergeCell ref="B159:C159"/>
    <mergeCell ref="B162:C162"/>
    <mergeCell ref="B165:C165"/>
    <mergeCell ref="B153:C153"/>
    <mergeCell ref="B156:C156"/>
    <mergeCell ref="B147:C147"/>
    <mergeCell ref="B150:C150"/>
    <mergeCell ref="B144:C144"/>
    <mergeCell ref="B102:C102"/>
    <mergeCell ref="J7:J8"/>
    <mergeCell ref="K7:K8"/>
    <mergeCell ref="G64:G65"/>
    <mergeCell ref="H64:H65"/>
    <mergeCell ref="I64:I65"/>
    <mergeCell ref="J64:J65"/>
    <mergeCell ref="K64:K65"/>
    <mergeCell ref="M190:M191"/>
    <mergeCell ref="N63:N65"/>
    <mergeCell ref="O63:O65"/>
    <mergeCell ref="N6:N8"/>
    <mergeCell ref="O6:O8"/>
    <mergeCell ref="M127:M128"/>
    <mergeCell ref="E126:E128"/>
    <mergeCell ref="F126:F128"/>
    <mergeCell ref="N126:N128"/>
    <mergeCell ref="O126:O128"/>
    <mergeCell ref="G127:G128"/>
    <mergeCell ref="H127:H128"/>
    <mergeCell ref="I127:I128"/>
    <mergeCell ref="J127:J128"/>
    <mergeCell ref="K127:K128"/>
    <mergeCell ref="L127:L128"/>
    <mergeCell ref="E189:E191"/>
    <mergeCell ref="F189:F191"/>
    <mergeCell ref="N189:N191"/>
    <mergeCell ref="O189:O191"/>
    <mergeCell ref="G190:G191"/>
    <mergeCell ref="H190:H191"/>
    <mergeCell ref="I190:I191"/>
    <mergeCell ref="J190:J191"/>
    <mergeCell ref="K190:K191"/>
    <mergeCell ref="L190:L191"/>
  </mergeCells>
  <printOptions/>
  <pageMargins left="0.2" right="0.17" top="0.17" bottom="0.16" header="0.17" footer="0.16"/>
  <pageSetup horizontalDpi="600" verticalDpi="600" orientation="landscape" paperSize="9" scale="73" r:id="rId1"/>
  <rowBreaks count="3" manualBreakCount="3">
    <brk id="62" max="255" man="1"/>
    <brk id="125" max="255" man="1"/>
    <brk id="18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C80"/>
  <sheetViews>
    <sheetView workbookViewId="0" topLeftCell="N43">
      <selection activeCell="X64" sqref="X64"/>
    </sheetView>
  </sheetViews>
  <sheetFormatPr defaultColWidth="9.00390625" defaultRowHeight="12.75"/>
  <cols>
    <col min="1" max="1" width="20.75390625" style="475" customWidth="1"/>
    <col min="2" max="2" width="10.125" style="476" customWidth="1"/>
    <col min="3" max="3" width="11.75390625" style="456" customWidth="1"/>
    <col min="4" max="4" width="10.375" style="456" customWidth="1"/>
    <col min="5" max="5" width="9.25390625" style="456" customWidth="1"/>
    <col min="6" max="11" width="8.625" style="456" customWidth="1"/>
    <col min="12" max="12" width="12.25390625" style="456" customWidth="1"/>
    <col min="13" max="13" width="7.875" style="456" customWidth="1"/>
    <col min="14" max="14" width="11.625" style="468" customWidth="1"/>
    <col min="15" max="15" width="20.875" style="468" customWidth="1"/>
    <col min="16" max="16" width="11.625" style="468" customWidth="1"/>
    <col min="17" max="17" width="10.875" style="456" customWidth="1"/>
    <col min="18" max="18" width="10.125" style="456" customWidth="1"/>
    <col min="19" max="19" width="10.875" style="477" customWidth="1"/>
    <col min="20" max="20" width="13.875" style="477" customWidth="1"/>
    <col min="21" max="22" width="8.75390625" style="477" customWidth="1"/>
    <col min="23" max="23" width="9.25390625" style="477" customWidth="1"/>
    <col min="24" max="24" width="11.75390625" style="468" customWidth="1"/>
    <col min="25" max="25" width="9.125" style="477" customWidth="1"/>
    <col min="26" max="16384" width="9.125" style="456" customWidth="1"/>
  </cols>
  <sheetData>
    <row r="1" spans="1:29" ht="20.25" customHeight="1" thickBot="1">
      <c r="A1" s="730" t="s">
        <v>721</v>
      </c>
      <c r="B1" s="730"/>
      <c r="C1" s="730"/>
      <c r="D1" s="730"/>
      <c r="E1" s="730"/>
      <c r="F1" s="730"/>
      <c r="G1" s="730"/>
      <c r="H1" s="730"/>
      <c r="I1" s="730"/>
      <c r="J1" s="730"/>
      <c r="K1" s="730"/>
      <c r="L1" s="730"/>
      <c r="M1" s="730"/>
      <c r="N1" s="730"/>
      <c r="O1" s="718" t="s">
        <v>721</v>
      </c>
      <c r="P1" s="719"/>
      <c r="Q1" s="719"/>
      <c r="R1" s="719"/>
      <c r="S1" s="719"/>
      <c r="T1" s="719"/>
      <c r="U1" s="719"/>
      <c r="V1" s="719"/>
      <c r="W1" s="719"/>
      <c r="X1" s="719"/>
      <c r="Y1" s="454"/>
      <c r="Z1" s="455"/>
      <c r="AA1" s="455"/>
      <c r="AB1" s="455"/>
      <c r="AC1" s="455"/>
    </row>
    <row r="2" spans="1:25" s="459" customFormat="1" ht="14.25" customHeight="1" thickTop="1">
      <c r="A2" s="716" t="s">
        <v>722</v>
      </c>
      <c r="B2" s="714"/>
      <c r="C2" s="714" t="s">
        <v>723</v>
      </c>
      <c r="D2" s="714" t="s">
        <v>724</v>
      </c>
      <c r="E2" s="714" t="s">
        <v>725</v>
      </c>
      <c r="F2" s="714" t="s">
        <v>726</v>
      </c>
      <c r="G2" s="714" t="s">
        <v>727</v>
      </c>
      <c r="H2" s="714"/>
      <c r="I2" s="714" t="s">
        <v>728</v>
      </c>
      <c r="J2" s="714"/>
      <c r="K2" s="714" t="s">
        <v>729</v>
      </c>
      <c r="L2" s="714" t="s">
        <v>730</v>
      </c>
      <c r="M2" s="714"/>
      <c r="N2" s="712" t="s">
        <v>731</v>
      </c>
      <c r="O2" s="716" t="s">
        <v>722</v>
      </c>
      <c r="P2" s="714"/>
      <c r="Q2" s="720" t="s">
        <v>433</v>
      </c>
      <c r="R2" s="720"/>
      <c r="S2" s="720"/>
      <c r="T2" s="720"/>
      <c r="U2" s="720"/>
      <c r="V2" s="720" t="s">
        <v>351</v>
      </c>
      <c r="W2" s="720"/>
      <c r="X2" s="712" t="s">
        <v>732</v>
      </c>
      <c r="Y2" s="458"/>
    </row>
    <row r="3" spans="1:25" s="461" customFormat="1" ht="50.25" customHeight="1">
      <c r="A3" s="717"/>
      <c r="B3" s="715"/>
      <c r="C3" s="715"/>
      <c r="D3" s="715"/>
      <c r="E3" s="715"/>
      <c r="F3" s="715"/>
      <c r="G3" s="457" t="s">
        <v>733</v>
      </c>
      <c r="H3" s="457" t="s">
        <v>734</v>
      </c>
      <c r="I3" s="457" t="s">
        <v>733</v>
      </c>
      <c r="J3" s="457" t="s">
        <v>734</v>
      </c>
      <c r="K3" s="715"/>
      <c r="L3" s="457" t="s">
        <v>735</v>
      </c>
      <c r="M3" s="457" t="s">
        <v>736</v>
      </c>
      <c r="N3" s="713"/>
      <c r="O3" s="717"/>
      <c r="P3" s="715"/>
      <c r="Q3" s="457" t="s">
        <v>420</v>
      </c>
      <c r="R3" s="457" t="s">
        <v>737</v>
      </c>
      <c r="S3" s="457" t="s">
        <v>434</v>
      </c>
      <c r="T3" s="457" t="s">
        <v>738</v>
      </c>
      <c r="U3" s="457" t="s">
        <v>739</v>
      </c>
      <c r="V3" s="457" t="s">
        <v>408</v>
      </c>
      <c r="W3" s="457" t="s">
        <v>427</v>
      </c>
      <c r="X3" s="713"/>
      <c r="Y3" s="460"/>
    </row>
    <row r="4" spans="1:25" ht="12" customHeight="1">
      <c r="A4" s="721" t="s">
        <v>455</v>
      </c>
      <c r="B4" s="462" t="s">
        <v>352</v>
      </c>
      <c r="C4" s="463">
        <v>5925</v>
      </c>
      <c r="D4" s="463">
        <v>4057</v>
      </c>
      <c r="E4" s="463">
        <v>1185</v>
      </c>
      <c r="F4" s="463"/>
      <c r="G4" s="463"/>
      <c r="H4" s="463"/>
      <c r="I4" s="463"/>
      <c r="J4" s="463"/>
      <c r="K4" s="463"/>
      <c r="L4" s="463"/>
      <c r="M4" s="463"/>
      <c r="N4" s="478">
        <f aca="true" t="shared" si="0" ref="N4:N67">SUM(C4:M4)-D4</f>
        <v>7110</v>
      </c>
      <c r="O4" s="721" t="s">
        <v>455</v>
      </c>
      <c r="P4" s="462" t="s">
        <v>352</v>
      </c>
      <c r="Q4" s="465">
        <v>37574</v>
      </c>
      <c r="R4" s="465">
        <v>11864</v>
      </c>
      <c r="S4" s="463">
        <v>12278</v>
      </c>
      <c r="T4" s="463">
        <v>4846</v>
      </c>
      <c r="U4" s="463"/>
      <c r="V4" s="463"/>
      <c r="W4" s="463">
        <v>1100</v>
      </c>
      <c r="X4" s="478">
        <f aca="true" t="shared" si="1" ref="X4:X67">SUM(Q4:W4)-T4</f>
        <v>62816</v>
      </c>
      <c r="Y4" s="466"/>
    </row>
    <row r="5" spans="1:25" ht="12" customHeight="1">
      <c r="A5" s="722"/>
      <c r="B5" s="462" t="s">
        <v>59</v>
      </c>
      <c r="C5" s="463">
        <v>5925</v>
      </c>
      <c r="D5" s="463">
        <v>4057</v>
      </c>
      <c r="E5" s="463">
        <v>1185</v>
      </c>
      <c r="F5" s="463"/>
      <c r="G5" s="463"/>
      <c r="H5" s="463"/>
      <c r="I5" s="463"/>
      <c r="J5" s="463"/>
      <c r="K5" s="463"/>
      <c r="L5" s="463">
        <v>924</v>
      </c>
      <c r="M5" s="463"/>
      <c r="N5" s="478">
        <f t="shared" si="0"/>
        <v>8034</v>
      </c>
      <c r="O5" s="722"/>
      <c r="P5" s="462" t="s">
        <v>59</v>
      </c>
      <c r="Q5" s="465">
        <f>38734+210+412+50</f>
        <v>39406</v>
      </c>
      <c r="R5" s="465">
        <f>12236+132+18</f>
        <v>12386</v>
      </c>
      <c r="S5" s="463">
        <f>12278+587+150</f>
        <v>13015</v>
      </c>
      <c r="T5" s="463">
        <v>4846</v>
      </c>
      <c r="U5" s="463"/>
      <c r="V5" s="463"/>
      <c r="W5" s="463">
        <v>1100</v>
      </c>
      <c r="X5" s="478">
        <f t="shared" si="1"/>
        <v>65907</v>
      </c>
      <c r="Y5" s="466"/>
    </row>
    <row r="6" spans="1:25" ht="12" customHeight="1">
      <c r="A6" s="723"/>
      <c r="B6" s="462" t="s">
        <v>259</v>
      </c>
      <c r="C6" s="463">
        <v>5925</v>
      </c>
      <c r="D6" s="463">
        <v>4057</v>
      </c>
      <c r="E6" s="463">
        <v>1185</v>
      </c>
      <c r="F6" s="463"/>
      <c r="G6" s="463"/>
      <c r="H6" s="463"/>
      <c r="I6" s="463"/>
      <c r="J6" s="463"/>
      <c r="K6" s="463"/>
      <c r="L6" s="463">
        <v>924</v>
      </c>
      <c r="M6" s="463"/>
      <c r="N6" s="478">
        <f t="shared" si="0"/>
        <v>8034</v>
      </c>
      <c r="O6" s="723"/>
      <c r="P6" s="462" t="s">
        <v>259</v>
      </c>
      <c r="Q6" s="465">
        <v>39662</v>
      </c>
      <c r="R6" s="465">
        <v>12130</v>
      </c>
      <c r="S6" s="463">
        <v>13794</v>
      </c>
      <c r="T6" s="463">
        <v>4846</v>
      </c>
      <c r="U6" s="463"/>
      <c r="V6" s="463"/>
      <c r="W6" s="463">
        <v>1220</v>
      </c>
      <c r="X6" s="478">
        <f t="shared" si="1"/>
        <v>66806</v>
      </c>
      <c r="Y6" s="466"/>
    </row>
    <row r="7" spans="1:25" ht="12" customHeight="1">
      <c r="A7" s="721" t="s">
        <v>456</v>
      </c>
      <c r="B7" s="462" t="s">
        <v>352</v>
      </c>
      <c r="C7" s="463">
        <v>3523</v>
      </c>
      <c r="D7" s="463">
        <v>2823</v>
      </c>
      <c r="E7" s="463">
        <v>705</v>
      </c>
      <c r="F7" s="463"/>
      <c r="G7" s="463"/>
      <c r="H7" s="463"/>
      <c r="I7" s="463"/>
      <c r="J7" s="463"/>
      <c r="K7" s="463"/>
      <c r="L7" s="463"/>
      <c r="M7" s="463"/>
      <c r="N7" s="478">
        <f t="shared" si="0"/>
        <v>4228</v>
      </c>
      <c r="O7" s="721" t="s">
        <v>456</v>
      </c>
      <c r="P7" s="462" t="s">
        <v>352</v>
      </c>
      <c r="Q7" s="465">
        <v>25681</v>
      </c>
      <c r="R7" s="465">
        <v>8078</v>
      </c>
      <c r="S7" s="463">
        <v>9380</v>
      </c>
      <c r="T7" s="463">
        <v>4325</v>
      </c>
      <c r="U7" s="463"/>
      <c r="V7" s="463">
        <v>2100</v>
      </c>
      <c r="W7" s="463">
        <v>5000</v>
      </c>
      <c r="X7" s="478">
        <f t="shared" si="1"/>
        <v>50239</v>
      </c>
      <c r="Y7" s="466"/>
    </row>
    <row r="8" spans="1:25" ht="12" customHeight="1">
      <c r="A8" s="722"/>
      <c r="B8" s="462" t="s">
        <v>59</v>
      </c>
      <c r="C8" s="463">
        <v>3523</v>
      </c>
      <c r="D8" s="463">
        <v>2823</v>
      </c>
      <c r="E8" s="463">
        <v>705</v>
      </c>
      <c r="F8" s="463"/>
      <c r="G8" s="463"/>
      <c r="H8" s="463"/>
      <c r="I8" s="463"/>
      <c r="J8" s="463"/>
      <c r="K8" s="463"/>
      <c r="L8" s="463">
        <v>200</v>
      </c>
      <c r="M8" s="463"/>
      <c r="N8" s="478">
        <f>SUM(C8:M8)-D8</f>
        <v>4428</v>
      </c>
      <c r="O8" s="722"/>
      <c r="P8" s="462" t="s">
        <v>59</v>
      </c>
      <c r="Q8" s="465">
        <f>26274+100+298+50</f>
        <v>26722</v>
      </c>
      <c r="R8" s="465">
        <f>8268+96+18</f>
        <v>8382</v>
      </c>
      <c r="S8" s="463">
        <f>9380+200+100+100</f>
        <v>9780</v>
      </c>
      <c r="T8" s="463">
        <v>4325</v>
      </c>
      <c r="U8" s="463"/>
      <c r="V8" s="463">
        <v>2100</v>
      </c>
      <c r="W8" s="463">
        <v>5000</v>
      </c>
      <c r="X8" s="478">
        <f t="shared" si="1"/>
        <v>51984</v>
      </c>
      <c r="Y8" s="466"/>
    </row>
    <row r="9" spans="1:25" ht="12" customHeight="1">
      <c r="A9" s="723"/>
      <c r="B9" s="462" t="s">
        <v>259</v>
      </c>
      <c r="C9" s="463">
        <v>3523</v>
      </c>
      <c r="D9" s="463">
        <v>2823</v>
      </c>
      <c r="E9" s="463">
        <v>705</v>
      </c>
      <c r="F9" s="463"/>
      <c r="G9" s="463"/>
      <c r="H9" s="463"/>
      <c r="I9" s="463"/>
      <c r="J9" s="463"/>
      <c r="K9" s="463"/>
      <c r="L9" s="463">
        <v>200</v>
      </c>
      <c r="M9" s="463"/>
      <c r="N9" s="478">
        <f>SUM(C9:M9)-D9</f>
        <v>4428</v>
      </c>
      <c r="O9" s="723"/>
      <c r="P9" s="462" t="s">
        <v>259</v>
      </c>
      <c r="Q9" s="465">
        <v>26896</v>
      </c>
      <c r="R9" s="465">
        <v>8208</v>
      </c>
      <c r="S9" s="463">
        <v>10678</v>
      </c>
      <c r="T9" s="463">
        <v>4325</v>
      </c>
      <c r="U9" s="463"/>
      <c r="V9" s="463">
        <v>2100</v>
      </c>
      <c r="W9" s="463">
        <v>5338</v>
      </c>
      <c r="X9" s="478">
        <f t="shared" si="1"/>
        <v>53220</v>
      </c>
      <c r="Y9" s="466"/>
    </row>
    <row r="10" spans="1:25" ht="12" customHeight="1">
      <c r="A10" s="721" t="s">
        <v>236</v>
      </c>
      <c r="B10" s="462" t="s">
        <v>352</v>
      </c>
      <c r="C10" s="463">
        <v>1817</v>
      </c>
      <c r="D10" s="463">
        <v>1467</v>
      </c>
      <c r="E10" s="463">
        <v>363</v>
      </c>
      <c r="F10" s="463"/>
      <c r="G10" s="463"/>
      <c r="H10" s="463"/>
      <c r="I10" s="463"/>
      <c r="J10" s="463"/>
      <c r="K10" s="463"/>
      <c r="L10" s="463"/>
      <c r="M10" s="463"/>
      <c r="N10" s="478">
        <f t="shared" si="0"/>
        <v>2180</v>
      </c>
      <c r="O10" s="721" t="s">
        <v>236</v>
      </c>
      <c r="P10" s="462" t="s">
        <v>352</v>
      </c>
      <c r="Q10" s="465">
        <v>14977</v>
      </c>
      <c r="R10" s="465">
        <v>4727</v>
      </c>
      <c r="S10" s="463">
        <v>6140</v>
      </c>
      <c r="T10" s="463">
        <v>2108</v>
      </c>
      <c r="U10" s="463"/>
      <c r="V10" s="463"/>
      <c r="W10" s="463"/>
      <c r="X10" s="478">
        <f t="shared" si="1"/>
        <v>25844</v>
      </c>
      <c r="Y10" s="466"/>
    </row>
    <row r="11" spans="1:25" ht="12" customHeight="1">
      <c r="A11" s="722"/>
      <c r="B11" s="462" t="s">
        <v>59</v>
      </c>
      <c r="C11" s="463">
        <v>1817</v>
      </c>
      <c r="D11" s="463">
        <v>1467</v>
      </c>
      <c r="E11" s="463">
        <v>363</v>
      </c>
      <c r="F11" s="463"/>
      <c r="G11" s="463"/>
      <c r="H11" s="463"/>
      <c r="I11" s="463"/>
      <c r="J11" s="463"/>
      <c r="K11" s="463"/>
      <c r="L11" s="463">
        <v>380</v>
      </c>
      <c r="M11" s="463"/>
      <c r="N11" s="478">
        <f t="shared" si="0"/>
        <v>2560</v>
      </c>
      <c r="O11" s="722"/>
      <c r="P11" s="462" t="s">
        <v>59</v>
      </c>
      <c r="Q11" s="465">
        <f>15456+783+155+50+319</f>
        <v>16763</v>
      </c>
      <c r="R11" s="465">
        <f>4880+246+50+18+107</f>
        <v>5301</v>
      </c>
      <c r="S11" s="463">
        <f>6140+174+100</f>
        <v>6414</v>
      </c>
      <c r="T11" s="463">
        <v>2108</v>
      </c>
      <c r="U11" s="463"/>
      <c r="V11" s="463"/>
      <c r="W11" s="463"/>
      <c r="X11" s="478">
        <f t="shared" si="1"/>
        <v>28478</v>
      </c>
      <c r="Y11" s="466"/>
    </row>
    <row r="12" spans="1:25" ht="12" customHeight="1">
      <c r="A12" s="723"/>
      <c r="B12" s="462" t="s">
        <v>259</v>
      </c>
      <c r="C12" s="463">
        <v>1817</v>
      </c>
      <c r="D12" s="463">
        <v>1467</v>
      </c>
      <c r="E12" s="463">
        <v>363</v>
      </c>
      <c r="F12" s="463"/>
      <c r="G12" s="463"/>
      <c r="H12" s="463"/>
      <c r="I12" s="463"/>
      <c r="J12" s="463"/>
      <c r="K12" s="463"/>
      <c r="L12" s="463">
        <v>380</v>
      </c>
      <c r="M12" s="463"/>
      <c r="N12" s="478">
        <f t="shared" si="0"/>
        <v>2560</v>
      </c>
      <c r="O12" s="723"/>
      <c r="P12" s="462" t="s">
        <v>259</v>
      </c>
      <c r="Q12" s="465">
        <v>16845</v>
      </c>
      <c r="R12" s="465">
        <v>5219</v>
      </c>
      <c r="S12" s="463">
        <v>6909</v>
      </c>
      <c r="T12" s="463">
        <v>2108</v>
      </c>
      <c r="U12" s="463"/>
      <c r="V12" s="463"/>
      <c r="W12" s="463"/>
      <c r="X12" s="478">
        <f t="shared" si="1"/>
        <v>28973</v>
      </c>
      <c r="Y12" s="466"/>
    </row>
    <row r="13" spans="1:25" ht="12" customHeight="1">
      <c r="A13" s="721" t="s">
        <v>457</v>
      </c>
      <c r="B13" s="462" t="s">
        <v>352</v>
      </c>
      <c r="C13" s="463">
        <v>2707</v>
      </c>
      <c r="D13" s="463">
        <v>2206</v>
      </c>
      <c r="E13" s="463">
        <v>541</v>
      </c>
      <c r="F13" s="463"/>
      <c r="G13" s="463"/>
      <c r="H13" s="463"/>
      <c r="I13" s="463"/>
      <c r="J13" s="463"/>
      <c r="K13" s="463"/>
      <c r="L13" s="463"/>
      <c r="M13" s="463"/>
      <c r="N13" s="478">
        <f t="shared" si="0"/>
        <v>3248</v>
      </c>
      <c r="O13" s="721" t="s">
        <v>457</v>
      </c>
      <c r="P13" s="462" t="s">
        <v>352</v>
      </c>
      <c r="Q13" s="465">
        <v>20995</v>
      </c>
      <c r="R13" s="465">
        <v>6599</v>
      </c>
      <c r="S13" s="463">
        <v>7093</v>
      </c>
      <c r="T13" s="463">
        <v>3066</v>
      </c>
      <c r="U13" s="463"/>
      <c r="V13" s="463"/>
      <c r="W13" s="463"/>
      <c r="X13" s="478">
        <f t="shared" si="1"/>
        <v>34687</v>
      </c>
      <c r="Y13" s="466"/>
    </row>
    <row r="14" spans="1:25" ht="12" customHeight="1">
      <c r="A14" s="722"/>
      <c r="B14" s="462" t="s">
        <v>59</v>
      </c>
      <c r="C14" s="463">
        <v>2707</v>
      </c>
      <c r="D14" s="463">
        <v>2206</v>
      </c>
      <c r="E14" s="463">
        <v>541</v>
      </c>
      <c r="F14" s="463"/>
      <c r="G14" s="463"/>
      <c r="H14" s="463"/>
      <c r="I14" s="463"/>
      <c r="J14" s="463"/>
      <c r="K14" s="463"/>
      <c r="L14" s="463">
        <v>124</v>
      </c>
      <c r="M14" s="463"/>
      <c r="N14" s="478">
        <f t="shared" si="0"/>
        <v>3372</v>
      </c>
      <c r="O14" s="722"/>
      <c r="P14" s="462" t="s">
        <v>59</v>
      </c>
      <c r="Q14" s="465">
        <f>21465+54+240-319</f>
        <v>21440</v>
      </c>
      <c r="R14" s="465">
        <f>6750+76-107</f>
        <v>6719</v>
      </c>
      <c r="S14" s="463">
        <f>7093+100+100+100</f>
        <v>7393</v>
      </c>
      <c r="T14" s="463">
        <v>3066</v>
      </c>
      <c r="U14" s="463"/>
      <c r="V14" s="463"/>
      <c r="W14" s="463"/>
      <c r="X14" s="478">
        <f t="shared" si="1"/>
        <v>35552</v>
      </c>
      <c r="Y14" s="466"/>
    </row>
    <row r="15" spans="1:25" ht="12" customHeight="1">
      <c r="A15" s="723"/>
      <c r="B15" s="462" t="s">
        <v>259</v>
      </c>
      <c r="C15" s="463">
        <v>2707</v>
      </c>
      <c r="D15" s="463">
        <v>2206</v>
      </c>
      <c r="E15" s="463">
        <v>541</v>
      </c>
      <c r="F15" s="463"/>
      <c r="G15" s="463"/>
      <c r="H15" s="463"/>
      <c r="I15" s="463"/>
      <c r="J15" s="463"/>
      <c r="K15" s="463"/>
      <c r="L15" s="463">
        <v>124</v>
      </c>
      <c r="M15" s="463"/>
      <c r="N15" s="478">
        <f t="shared" si="0"/>
        <v>3372</v>
      </c>
      <c r="O15" s="723"/>
      <c r="P15" s="462" t="s">
        <v>259</v>
      </c>
      <c r="Q15" s="465">
        <v>21553</v>
      </c>
      <c r="R15" s="465">
        <v>6606</v>
      </c>
      <c r="S15" s="463">
        <v>8273</v>
      </c>
      <c r="T15" s="463">
        <v>3066</v>
      </c>
      <c r="U15" s="463"/>
      <c r="V15" s="463"/>
      <c r="W15" s="463"/>
      <c r="X15" s="478">
        <f t="shared" si="1"/>
        <v>36432</v>
      </c>
      <c r="Y15" s="466"/>
    </row>
    <row r="16" spans="1:25" ht="12" customHeight="1">
      <c r="A16" s="721" t="s">
        <v>458</v>
      </c>
      <c r="B16" s="462" t="s">
        <v>352</v>
      </c>
      <c r="C16" s="463">
        <v>4276</v>
      </c>
      <c r="D16" s="463">
        <v>3426</v>
      </c>
      <c r="E16" s="463">
        <v>855</v>
      </c>
      <c r="F16" s="463"/>
      <c r="G16" s="463"/>
      <c r="H16" s="463"/>
      <c r="I16" s="463"/>
      <c r="J16" s="463"/>
      <c r="K16" s="463"/>
      <c r="L16" s="463"/>
      <c r="M16" s="463"/>
      <c r="N16" s="478">
        <f t="shared" si="0"/>
        <v>5131</v>
      </c>
      <c r="O16" s="721" t="s">
        <v>458</v>
      </c>
      <c r="P16" s="462" t="s">
        <v>352</v>
      </c>
      <c r="Q16" s="465">
        <v>30482</v>
      </c>
      <c r="R16" s="465">
        <v>9571</v>
      </c>
      <c r="S16" s="463">
        <v>9688</v>
      </c>
      <c r="T16" s="463">
        <v>3887</v>
      </c>
      <c r="U16" s="463"/>
      <c r="V16" s="463"/>
      <c r="W16" s="463"/>
      <c r="X16" s="478">
        <f t="shared" si="1"/>
        <v>49741</v>
      </c>
      <c r="Y16" s="466"/>
    </row>
    <row r="17" spans="1:25" ht="12" customHeight="1">
      <c r="A17" s="722"/>
      <c r="B17" s="462" t="s">
        <v>59</v>
      </c>
      <c r="C17" s="463">
        <v>4276</v>
      </c>
      <c r="D17" s="463">
        <v>3426</v>
      </c>
      <c r="E17" s="463">
        <v>855</v>
      </c>
      <c r="F17" s="463"/>
      <c r="G17" s="463"/>
      <c r="H17" s="463"/>
      <c r="I17" s="463"/>
      <c r="J17" s="463"/>
      <c r="K17" s="463"/>
      <c r="L17" s="463">
        <v>745</v>
      </c>
      <c r="M17" s="463"/>
      <c r="N17" s="478">
        <f t="shared" si="0"/>
        <v>5876</v>
      </c>
      <c r="O17" s="722"/>
      <c r="P17" s="462" t="s">
        <v>59</v>
      </c>
      <c r="Q17" s="465">
        <f>31245+130+390+50</f>
        <v>31815</v>
      </c>
      <c r="R17" s="465">
        <f>9815+125+18</f>
        <v>9958</v>
      </c>
      <c r="S17" s="463">
        <f>9688+745+100</f>
        <v>10533</v>
      </c>
      <c r="T17" s="463">
        <v>3887</v>
      </c>
      <c r="U17" s="463"/>
      <c r="V17" s="463"/>
      <c r="W17" s="463"/>
      <c r="X17" s="478">
        <f t="shared" si="1"/>
        <v>52306</v>
      </c>
      <c r="Y17" s="466"/>
    </row>
    <row r="18" spans="1:25" ht="12" customHeight="1">
      <c r="A18" s="723"/>
      <c r="B18" s="462" t="s">
        <v>259</v>
      </c>
      <c r="C18" s="463">
        <v>4809</v>
      </c>
      <c r="D18" s="463">
        <v>3426</v>
      </c>
      <c r="E18" s="463">
        <v>855</v>
      </c>
      <c r="F18" s="463"/>
      <c r="G18" s="463"/>
      <c r="H18" s="463"/>
      <c r="I18" s="463"/>
      <c r="J18" s="463"/>
      <c r="K18" s="463"/>
      <c r="L18" s="463">
        <v>745</v>
      </c>
      <c r="M18" s="463"/>
      <c r="N18" s="478">
        <f t="shared" si="0"/>
        <v>6409</v>
      </c>
      <c r="O18" s="723"/>
      <c r="P18" s="462" t="s">
        <v>259</v>
      </c>
      <c r="Q18" s="465">
        <v>32009</v>
      </c>
      <c r="R18" s="465">
        <v>9764</v>
      </c>
      <c r="S18" s="463">
        <v>12011</v>
      </c>
      <c r="T18" s="463">
        <v>3887</v>
      </c>
      <c r="U18" s="463"/>
      <c r="V18" s="463"/>
      <c r="W18" s="463"/>
      <c r="X18" s="478">
        <f t="shared" si="1"/>
        <v>53784</v>
      </c>
      <c r="Y18" s="466"/>
    </row>
    <row r="19" spans="1:25" ht="12" customHeight="1">
      <c r="A19" s="721" t="s">
        <v>740</v>
      </c>
      <c r="B19" s="462" t="s">
        <v>352</v>
      </c>
      <c r="C19" s="463">
        <v>2743</v>
      </c>
      <c r="D19" s="463">
        <v>2206</v>
      </c>
      <c r="E19" s="463">
        <v>548</v>
      </c>
      <c r="F19" s="463"/>
      <c r="G19" s="463"/>
      <c r="H19" s="463"/>
      <c r="I19" s="463"/>
      <c r="J19" s="463"/>
      <c r="K19" s="463"/>
      <c r="L19" s="463"/>
      <c r="M19" s="463"/>
      <c r="N19" s="478">
        <f t="shared" si="0"/>
        <v>3291</v>
      </c>
      <c r="O19" s="721" t="s">
        <v>740</v>
      </c>
      <c r="P19" s="462" t="s">
        <v>352</v>
      </c>
      <c r="Q19" s="465">
        <v>17466</v>
      </c>
      <c r="R19" s="465">
        <v>5524</v>
      </c>
      <c r="S19" s="463">
        <v>7069</v>
      </c>
      <c r="T19" s="463">
        <v>2519</v>
      </c>
      <c r="U19" s="463"/>
      <c r="V19" s="463"/>
      <c r="W19" s="463"/>
      <c r="X19" s="478">
        <f t="shared" si="1"/>
        <v>30059</v>
      </c>
      <c r="Y19" s="466"/>
    </row>
    <row r="20" spans="1:25" ht="12" customHeight="1">
      <c r="A20" s="722"/>
      <c r="B20" s="462" t="s">
        <v>59</v>
      </c>
      <c r="C20" s="463">
        <v>2743</v>
      </c>
      <c r="D20" s="463">
        <v>2206</v>
      </c>
      <c r="E20" s="463">
        <v>548</v>
      </c>
      <c r="F20" s="463"/>
      <c r="G20" s="463"/>
      <c r="H20" s="463"/>
      <c r="I20" s="463"/>
      <c r="J20" s="463"/>
      <c r="K20" s="463"/>
      <c r="L20" s="463">
        <v>139</v>
      </c>
      <c r="M20" s="463"/>
      <c r="N20" s="478">
        <f t="shared" si="0"/>
        <v>3430</v>
      </c>
      <c r="O20" s="722"/>
      <c r="P20" s="462" t="s">
        <v>59</v>
      </c>
      <c r="Q20" s="465">
        <f>17856+190+50</f>
        <v>18096</v>
      </c>
      <c r="R20" s="465">
        <f>5649+60+18</f>
        <v>5727</v>
      </c>
      <c r="S20" s="463">
        <f>7381-350</f>
        <v>7031</v>
      </c>
      <c r="T20" s="463">
        <v>2519</v>
      </c>
      <c r="U20" s="463"/>
      <c r="V20" s="463"/>
      <c r="W20" s="463"/>
      <c r="X20" s="478">
        <f t="shared" si="1"/>
        <v>30854</v>
      </c>
      <c r="Y20" s="466"/>
    </row>
    <row r="21" spans="1:25" ht="12" customHeight="1">
      <c r="A21" s="723"/>
      <c r="B21" s="462" t="s">
        <v>259</v>
      </c>
      <c r="C21" s="463">
        <v>2743</v>
      </c>
      <c r="D21" s="463">
        <v>2206</v>
      </c>
      <c r="E21" s="463">
        <v>548</v>
      </c>
      <c r="F21" s="463"/>
      <c r="G21" s="463">
        <v>220</v>
      </c>
      <c r="H21" s="463"/>
      <c r="I21" s="463"/>
      <c r="J21" s="463"/>
      <c r="K21" s="463"/>
      <c r="L21" s="463">
        <v>139</v>
      </c>
      <c r="M21" s="463"/>
      <c r="N21" s="478">
        <f t="shared" si="0"/>
        <v>3650</v>
      </c>
      <c r="O21" s="723"/>
      <c r="P21" s="462" t="s">
        <v>259</v>
      </c>
      <c r="Q21" s="465">
        <v>18732</v>
      </c>
      <c r="R21" s="465">
        <v>5691</v>
      </c>
      <c r="S21" s="463">
        <v>7036</v>
      </c>
      <c r="T21" s="463">
        <v>2519</v>
      </c>
      <c r="U21" s="463"/>
      <c r="V21" s="463">
        <v>110</v>
      </c>
      <c r="W21" s="463"/>
      <c r="X21" s="478">
        <f t="shared" si="1"/>
        <v>31569</v>
      </c>
      <c r="Y21" s="466"/>
    </row>
    <row r="22" spans="1:25" ht="12" customHeight="1">
      <c r="A22" s="721" t="s">
        <v>459</v>
      </c>
      <c r="B22" s="462" t="s">
        <v>352</v>
      </c>
      <c r="C22" s="463">
        <v>5055</v>
      </c>
      <c r="D22" s="463">
        <v>2084</v>
      </c>
      <c r="E22" s="463">
        <v>1011</v>
      </c>
      <c r="F22" s="463"/>
      <c r="G22" s="463"/>
      <c r="H22" s="463"/>
      <c r="I22" s="463"/>
      <c r="J22" s="463"/>
      <c r="K22" s="463"/>
      <c r="L22" s="463"/>
      <c r="M22" s="463"/>
      <c r="N22" s="478">
        <f t="shared" si="0"/>
        <v>6066</v>
      </c>
      <c r="O22" s="721" t="s">
        <v>459</v>
      </c>
      <c r="P22" s="462" t="s">
        <v>352</v>
      </c>
      <c r="Q22" s="465">
        <v>26430</v>
      </c>
      <c r="R22" s="465">
        <v>8356</v>
      </c>
      <c r="S22" s="463">
        <v>10760</v>
      </c>
      <c r="T22" s="463">
        <v>2738</v>
      </c>
      <c r="U22" s="463"/>
      <c r="V22" s="463"/>
      <c r="W22" s="463">
        <v>6250</v>
      </c>
      <c r="X22" s="478">
        <f t="shared" si="1"/>
        <v>51796</v>
      </c>
      <c r="Y22" s="466"/>
    </row>
    <row r="23" spans="1:25" ht="12" customHeight="1">
      <c r="A23" s="722"/>
      <c r="B23" s="462" t="s">
        <v>59</v>
      </c>
      <c r="C23" s="463">
        <v>5055</v>
      </c>
      <c r="D23" s="463">
        <v>2084</v>
      </c>
      <c r="E23" s="463">
        <v>1011</v>
      </c>
      <c r="F23" s="463"/>
      <c r="G23" s="463"/>
      <c r="H23" s="463"/>
      <c r="I23" s="463"/>
      <c r="J23" s="463"/>
      <c r="K23" s="463"/>
      <c r="L23" s="463">
        <v>306</v>
      </c>
      <c r="M23" s="463"/>
      <c r="N23" s="478">
        <f t="shared" si="0"/>
        <v>6372</v>
      </c>
      <c r="O23" s="722"/>
      <c r="P23" s="462" t="s">
        <v>59</v>
      </c>
      <c r="Q23" s="465">
        <f>27073+399+312+50</f>
        <v>27834</v>
      </c>
      <c r="R23" s="465">
        <f>8562+107+100+18</f>
        <v>8787</v>
      </c>
      <c r="S23" s="463">
        <f>10760+231+100</f>
        <v>11091</v>
      </c>
      <c r="T23" s="463">
        <v>2738</v>
      </c>
      <c r="U23" s="463"/>
      <c r="V23" s="463"/>
      <c r="W23" s="463">
        <v>6250</v>
      </c>
      <c r="X23" s="478">
        <f t="shared" si="1"/>
        <v>53962</v>
      </c>
      <c r="Y23" s="466"/>
    </row>
    <row r="24" spans="1:25" ht="12" customHeight="1">
      <c r="A24" s="723"/>
      <c r="B24" s="462" t="s">
        <v>259</v>
      </c>
      <c r="C24" s="463">
        <v>5055</v>
      </c>
      <c r="D24" s="463">
        <v>2084</v>
      </c>
      <c r="E24" s="463">
        <v>1011</v>
      </c>
      <c r="F24" s="463"/>
      <c r="G24" s="463"/>
      <c r="H24" s="463"/>
      <c r="I24" s="463"/>
      <c r="J24" s="463"/>
      <c r="K24" s="463"/>
      <c r="L24" s="463">
        <v>306</v>
      </c>
      <c r="M24" s="463"/>
      <c r="N24" s="478">
        <f t="shared" si="0"/>
        <v>6372</v>
      </c>
      <c r="O24" s="723"/>
      <c r="P24" s="462" t="s">
        <v>259</v>
      </c>
      <c r="Q24" s="465">
        <v>28067</v>
      </c>
      <c r="R24" s="465">
        <v>8554</v>
      </c>
      <c r="S24" s="463">
        <v>12031</v>
      </c>
      <c r="T24" s="463">
        <v>2738</v>
      </c>
      <c r="U24" s="463"/>
      <c r="V24" s="463"/>
      <c r="W24" s="463">
        <v>6169</v>
      </c>
      <c r="X24" s="478">
        <f t="shared" si="1"/>
        <v>54821</v>
      </c>
      <c r="Y24" s="466"/>
    </row>
    <row r="25" spans="1:25" ht="12" customHeight="1">
      <c r="A25" s="721" t="s">
        <v>237</v>
      </c>
      <c r="B25" s="462" t="s">
        <v>352</v>
      </c>
      <c r="C25" s="463">
        <v>4085</v>
      </c>
      <c r="D25" s="463">
        <v>3385</v>
      </c>
      <c r="E25" s="463">
        <v>817</v>
      </c>
      <c r="F25" s="463"/>
      <c r="G25" s="463"/>
      <c r="H25" s="463"/>
      <c r="I25" s="463"/>
      <c r="J25" s="463"/>
      <c r="K25" s="463"/>
      <c r="L25" s="463"/>
      <c r="M25" s="463"/>
      <c r="N25" s="478">
        <f t="shared" si="0"/>
        <v>4902</v>
      </c>
      <c r="O25" s="721" t="s">
        <v>237</v>
      </c>
      <c r="P25" s="462" t="s">
        <v>352</v>
      </c>
      <c r="Q25" s="465">
        <v>28542</v>
      </c>
      <c r="R25" s="465">
        <v>9001</v>
      </c>
      <c r="S25" s="463">
        <v>10637</v>
      </c>
      <c r="T25" s="463">
        <v>4462</v>
      </c>
      <c r="U25" s="463"/>
      <c r="V25" s="463"/>
      <c r="W25" s="463">
        <v>1200</v>
      </c>
      <c r="X25" s="478">
        <f t="shared" si="1"/>
        <v>49380</v>
      </c>
      <c r="Y25" s="466"/>
    </row>
    <row r="26" spans="1:25" ht="12" customHeight="1">
      <c r="A26" s="722"/>
      <c r="B26" s="462" t="s">
        <v>59</v>
      </c>
      <c r="C26" s="463">
        <v>4085</v>
      </c>
      <c r="D26" s="463">
        <v>3385</v>
      </c>
      <c r="E26" s="463">
        <v>817</v>
      </c>
      <c r="F26" s="463"/>
      <c r="G26" s="463"/>
      <c r="H26" s="463"/>
      <c r="I26" s="463"/>
      <c r="J26" s="463"/>
      <c r="K26" s="463"/>
      <c r="L26" s="463">
        <v>87</v>
      </c>
      <c r="M26" s="463"/>
      <c r="N26" s="478">
        <f t="shared" si="0"/>
        <v>4989</v>
      </c>
      <c r="O26" s="722"/>
      <c r="P26" s="462" t="s">
        <v>59</v>
      </c>
      <c r="Q26" s="465">
        <f>29206+50+300+50</f>
        <v>29606</v>
      </c>
      <c r="R26" s="465">
        <f>9213+96+18</f>
        <v>9327</v>
      </c>
      <c r="S26" s="463">
        <f>10637+100+100</f>
        <v>10837</v>
      </c>
      <c r="T26" s="463">
        <v>4462</v>
      </c>
      <c r="U26" s="463"/>
      <c r="V26" s="463"/>
      <c r="W26" s="463">
        <v>1200</v>
      </c>
      <c r="X26" s="478">
        <f t="shared" si="1"/>
        <v>50970</v>
      </c>
      <c r="Y26" s="466"/>
    </row>
    <row r="27" spans="1:25" ht="12" customHeight="1">
      <c r="A27" s="723"/>
      <c r="B27" s="462" t="s">
        <v>259</v>
      </c>
      <c r="C27" s="463">
        <v>4085</v>
      </c>
      <c r="D27" s="463">
        <v>3385</v>
      </c>
      <c r="E27" s="463">
        <v>817</v>
      </c>
      <c r="F27" s="463"/>
      <c r="G27" s="463"/>
      <c r="H27" s="463"/>
      <c r="I27" s="463"/>
      <c r="J27" s="463"/>
      <c r="K27" s="463"/>
      <c r="L27" s="463">
        <v>87</v>
      </c>
      <c r="M27" s="463"/>
      <c r="N27" s="478">
        <f t="shared" si="0"/>
        <v>4989</v>
      </c>
      <c r="O27" s="723"/>
      <c r="P27" s="462" t="s">
        <v>259</v>
      </c>
      <c r="Q27" s="465">
        <v>29777</v>
      </c>
      <c r="R27" s="465">
        <v>9156</v>
      </c>
      <c r="S27" s="463">
        <v>11755</v>
      </c>
      <c r="T27" s="463">
        <v>4462</v>
      </c>
      <c r="U27" s="463"/>
      <c r="V27" s="463"/>
      <c r="W27" s="463">
        <v>1112</v>
      </c>
      <c r="X27" s="478">
        <f t="shared" si="1"/>
        <v>51800</v>
      </c>
      <c r="Y27" s="466"/>
    </row>
    <row r="28" spans="1:25" ht="12" customHeight="1">
      <c r="A28" s="721" t="s">
        <v>460</v>
      </c>
      <c r="B28" s="462" t="s">
        <v>352</v>
      </c>
      <c r="C28" s="463">
        <v>967</v>
      </c>
      <c r="D28" s="463">
        <v>768</v>
      </c>
      <c r="E28" s="463">
        <v>194</v>
      </c>
      <c r="F28" s="463"/>
      <c r="G28" s="463"/>
      <c r="H28" s="463"/>
      <c r="I28" s="463"/>
      <c r="J28" s="463"/>
      <c r="K28" s="463"/>
      <c r="L28" s="463"/>
      <c r="M28" s="463"/>
      <c r="N28" s="478">
        <f t="shared" si="0"/>
        <v>1161</v>
      </c>
      <c r="O28" s="721" t="s">
        <v>460</v>
      </c>
      <c r="P28" s="462" t="s">
        <v>352</v>
      </c>
      <c r="Q28" s="465">
        <v>7458</v>
      </c>
      <c r="R28" s="465">
        <v>2372</v>
      </c>
      <c r="S28" s="463">
        <v>3271</v>
      </c>
      <c r="T28" s="463">
        <v>1013</v>
      </c>
      <c r="U28" s="463"/>
      <c r="V28" s="463"/>
      <c r="W28" s="463">
        <v>4500</v>
      </c>
      <c r="X28" s="478">
        <f t="shared" si="1"/>
        <v>17601</v>
      </c>
      <c r="Y28" s="466"/>
    </row>
    <row r="29" spans="1:25" ht="12" customHeight="1">
      <c r="A29" s="722"/>
      <c r="B29" s="462" t="s">
        <v>59</v>
      </c>
      <c r="C29" s="463">
        <v>967</v>
      </c>
      <c r="D29" s="463">
        <v>768</v>
      </c>
      <c r="E29" s="463">
        <v>194</v>
      </c>
      <c r="F29" s="463"/>
      <c r="G29" s="463"/>
      <c r="H29" s="463"/>
      <c r="I29" s="463"/>
      <c r="J29" s="463"/>
      <c r="K29" s="463"/>
      <c r="L29" s="463">
        <v>12</v>
      </c>
      <c r="M29" s="463"/>
      <c r="N29" s="478">
        <f t="shared" si="0"/>
        <v>1173</v>
      </c>
      <c r="O29" s="722"/>
      <c r="P29" s="462" t="s">
        <v>59</v>
      </c>
      <c r="Q29" s="465">
        <f>7609+30+80+50</f>
        <v>7769</v>
      </c>
      <c r="R29" s="465">
        <f>2420+26+18</f>
        <v>2464</v>
      </c>
      <c r="S29" s="463">
        <f>3271+100</f>
        <v>3371</v>
      </c>
      <c r="T29" s="463">
        <v>1013</v>
      </c>
      <c r="U29" s="463"/>
      <c r="V29" s="463"/>
      <c r="W29" s="463">
        <v>4500</v>
      </c>
      <c r="X29" s="478">
        <f t="shared" si="1"/>
        <v>18104</v>
      </c>
      <c r="Y29" s="466"/>
    </row>
    <row r="30" spans="1:25" ht="12" customHeight="1">
      <c r="A30" s="723"/>
      <c r="B30" s="462" t="s">
        <v>259</v>
      </c>
      <c r="C30" s="463">
        <v>967</v>
      </c>
      <c r="D30" s="463">
        <v>768</v>
      </c>
      <c r="E30" s="463">
        <v>194</v>
      </c>
      <c r="F30" s="463"/>
      <c r="G30" s="463"/>
      <c r="H30" s="463"/>
      <c r="I30" s="463">
        <v>50</v>
      </c>
      <c r="J30" s="463"/>
      <c r="K30" s="463"/>
      <c r="L30" s="463">
        <v>12</v>
      </c>
      <c r="M30" s="463"/>
      <c r="N30" s="478">
        <f t="shared" si="0"/>
        <v>1223</v>
      </c>
      <c r="O30" s="723"/>
      <c r="P30" s="462" t="s">
        <v>259</v>
      </c>
      <c r="Q30" s="465">
        <v>7821</v>
      </c>
      <c r="R30" s="465">
        <v>2412</v>
      </c>
      <c r="S30" s="463">
        <v>3540</v>
      </c>
      <c r="T30" s="463">
        <v>1013</v>
      </c>
      <c r="U30" s="463"/>
      <c r="V30" s="463"/>
      <c r="W30" s="463">
        <v>5070</v>
      </c>
      <c r="X30" s="478">
        <f t="shared" si="1"/>
        <v>18843</v>
      </c>
      <c r="Y30" s="466"/>
    </row>
    <row r="31" spans="1:25" ht="12" customHeight="1">
      <c r="A31" s="721" t="s">
        <v>741</v>
      </c>
      <c r="B31" s="462" t="s">
        <v>352</v>
      </c>
      <c r="C31" s="463">
        <v>4964</v>
      </c>
      <c r="D31" s="463">
        <v>3369</v>
      </c>
      <c r="E31" s="463">
        <v>993</v>
      </c>
      <c r="F31" s="463"/>
      <c r="G31" s="463"/>
      <c r="H31" s="463"/>
      <c r="I31" s="463"/>
      <c r="J31" s="463"/>
      <c r="K31" s="463"/>
      <c r="L31" s="463"/>
      <c r="M31" s="463"/>
      <c r="N31" s="478">
        <f t="shared" si="0"/>
        <v>5957</v>
      </c>
      <c r="O31" s="721" t="s">
        <v>741</v>
      </c>
      <c r="P31" s="462" t="s">
        <v>352</v>
      </c>
      <c r="Q31" s="465">
        <v>37763</v>
      </c>
      <c r="R31" s="465">
        <v>11884</v>
      </c>
      <c r="S31" s="463">
        <v>20474</v>
      </c>
      <c r="T31" s="463">
        <v>3818</v>
      </c>
      <c r="U31" s="463"/>
      <c r="V31" s="463"/>
      <c r="W31" s="463">
        <v>5100</v>
      </c>
      <c r="X31" s="478">
        <f t="shared" si="1"/>
        <v>75221</v>
      </c>
      <c r="Y31" s="466"/>
    </row>
    <row r="32" spans="1:25" ht="12" customHeight="1">
      <c r="A32" s="722"/>
      <c r="B32" s="462" t="s">
        <v>59</v>
      </c>
      <c r="C32" s="463">
        <v>4964</v>
      </c>
      <c r="D32" s="463">
        <v>3369</v>
      </c>
      <c r="E32" s="463">
        <v>993</v>
      </c>
      <c r="F32" s="463"/>
      <c r="G32" s="463"/>
      <c r="H32" s="463"/>
      <c r="I32" s="463"/>
      <c r="J32" s="463"/>
      <c r="K32" s="463"/>
      <c r="L32" s="463">
        <v>1112</v>
      </c>
      <c r="M32" s="463"/>
      <c r="N32" s="478">
        <f t="shared" si="0"/>
        <v>7069</v>
      </c>
      <c r="O32" s="722"/>
      <c r="P32" s="462" t="s">
        <v>59</v>
      </c>
      <c r="Q32" s="465">
        <f>38707+160+386+60</f>
        <v>39313</v>
      </c>
      <c r="R32" s="465">
        <f>12186+123+22</f>
        <v>12331</v>
      </c>
      <c r="S32" s="463">
        <f>21346+200</f>
        <v>21546</v>
      </c>
      <c r="T32" s="463">
        <v>3818</v>
      </c>
      <c r="U32" s="463"/>
      <c r="V32" s="463"/>
      <c r="W32" s="463">
        <v>5100</v>
      </c>
      <c r="X32" s="478">
        <f t="shared" si="1"/>
        <v>78290</v>
      </c>
      <c r="Y32" s="466"/>
    </row>
    <row r="33" spans="1:25" ht="12" customHeight="1">
      <c r="A33" s="723"/>
      <c r="B33" s="462" t="s">
        <v>259</v>
      </c>
      <c r="C33" s="463">
        <v>4964</v>
      </c>
      <c r="D33" s="463">
        <v>3369</v>
      </c>
      <c r="E33" s="463">
        <v>993</v>
      </c>
      <c r="F33" s="463"/>
      <c r="G33" s="463"/>
      <c r="H33" s="463"/>
      <c r="I33" s="463"/>
      <c r="J33" s="463"/>
      <c r="K33" s="463"/>
      <c r="L33" s="463">
        <v>1112</v>
      </c>
      <c r="M33" s="463"/>
      <c r="N33" s="478">
        <f t="shared" si="0"/>
        <v>7069</v>
      </c>
      <c r="O33" s="723"/>
      <c r="P33" s="462" t="s">
        <v>259</v>
      </c>
      <c r="Q33" s="465">
        <v>40001</v>
      </c>
      <c r="R33" s="465">
        <v>11643</v>
      </c>
      <c r="S33" s="463">
        <v>21480</v>
      </c>
      <c r="T33" s="463">
        <v>3818</v>
      </c>
      <c r="U33" s="463"/>
      <c r="V33" s="463">
        <v>66</v>
      </c>
      <c r="W33" s="463">
        <v>5147</v>
      </c>
      <c r="X33" s="478">
        <f t="shared" si="1"/>
        <v>78337</v>
      </c>
      <c r="Y33" s="466"/>
    </row>
    <row r="34" spans="1:25" ht="12" customHeight="1">
      <c r="A34" s="721" t="s">
        <v>742</v>
      </c>
      <c r="B34" s="462" t="s">
        <v>352</v>
      </c>
      <c r="C34" s="463">
        <v>17381</v>
      </c>
      <c r="D34" s="463">
        <v>13420</v>
      </c>
      <c r="E34" s="463">
        <v>2780</v>
      </c>
      <c r="F34" s="463"/>
      <c r="G34" s="463"/>
      <c r="H34" s="463"/>
      <c r="I34" s="463"/>
      <c r="J34" s="463"/>
      <c r="K34" s="463"/>
      <c r="L34" s="463"/>
      <c r="M34" s="463"/>
      <c r="N34" s="478">
        <f t="shared" si="0"/>
        <v>20161</v>
      </c>
      <c r="O34" s="721" t="s">
        <v>742</v>
      </c>
      <c r="P34" s="462" t="s">
        <v>352</v>
      </c>
      <c r="Q34" s="465">
        <v>189784</v>
      </c>
      <c r="R34" s="465">
        <v>59804</v>
      </c>
      <c r="S34" s="463">
        <v>69294</v>
      </c>
      <c r="T34" s="463">
        <v>31178</v>
      </c>
      <c r="U34" s="463">
        <v>4101</v>
      </c>
      <c r="V34" s="463"/>
      <c r="W34" s="463">
        <v>4500</v>
      </c>
      <c r="X34" s="478">
        <f t="shared" si="1"/>
        <v>327483</v>
      </c>
      <c r="Y34" s="466"/>
    </row>
    <row r="35" spans="1:25" ht="12" customHeight="1">
      <c r="A35" s="722"/>
      <c r="B35" s="462" t="s">
        <v>59</v>
      </c>
      <c r="C35" s="463">
        <f>17381+66</f>
        <v>17447</v>
      </c>
      <c r="D35" s="463">
        <v>13420</v>
      </c>
      <c r="E35" s="463">
        <v>2780</v>
      </c>
      <c r="F35" s="463"/>
      <c r="G35" s="463"/>
      <c r="H35" s="463"/>
      <c r="I35" s="463">
        <f>2633+507+2712</f>
        <v>5852</v>
      </c>
      <c r="J35" s="463"/>
      <c r="K35" s="463"/>
      <c r="L35" s="463">
        <v>2263</v>
      </c>
      <c r="M35" s="463"/>
      <c r="N35" s="478">
        <f>SUM(C35:M35)-D35</f>
        <v>28342</v>
      </c>
      <c r="O35" s="722"/>
      <c r="P35" s="462" t="s">
        <v>59</v>
      </c>
      <c r="Q35" s="465">
        <f>194505+450+10+1989-1026+120+189</f>
        <v>196237</v>
      </c>
      <c r="R35" s="465">
        <f>61313+637-328+43+60</f>
        <v>61725</v>
      </c>
      <c r="S35" s="463">
        <f>71416+1610+2633+258+2712+1354</f>
        <v>79983</v>
      </c>
      <c r="T35" s="463">
        <v>31178</v>
      </c>
      <c r="U35" s="463">
        <v>4101</v>
      </c>
      <c r="V35" s="463"/>
      <c r="W35" s="463">
        <f>4500+2200</f>
        <v>6700</v>
      </c>
      <c r="X35" s="478">
        <f t="shared" si="1"/>
        <v>348746</v>
      </c>
      <c r="Y35" s="466"/>
    </row>
    <row r="36" spans="1:25" ht="12" customHeight="1">
      <c r="A36" s="723"/>
      <c r="B36" s="462" t="s">
        <v>259</v>
      </c>
      <c r="C36" s="463">
        <v>17640</v>
      </c>
      <c r="D36" s="463">
        <v>13420</v>
      </c>
      <c r="E36" s="463">
        <v>2780</v>
      </c>
      <c r="F36" s="463"/>
      <c r="G36" s="463">
        <v>419</v>
      </c>
      <c r="H36" s="463"/>
      <c r="I36" s="463">
        <v>5852</v>
      </c>
      <c r="J36" s="463"/>
      <c r="K36" s="463"/>
      <c r="L36" s="463">
        <v>2263</v>
      </c>
      <c r="M36" s="463"/>
      <c r="N36" s="478">
        <f>SUM(C36:M36)-D36</f>
        <v>28954</v>
      </c>
      <c r="O36" s="723"/>
      <c r="P36" s="462" t="s">
        <v>259</v>
      </c>
      <c r="Q36" s="465">
        <v>196905</v>
      </c>
      <c r="R36" s="465">
        <v>61241</v>
      </c>
      <c r="S36" s="463">
        <v>84360</v>
      </c>
      <c r="T36" s="463">
        <v>31178</v>
      </c>
      <c r="U36" s="463">
        <v>2942</v>
      </c>
      <c r="V36" s="463">
        <v>118</v>
      </c>
      <c r="W36" s="463">
        <v>7211</v>
      </c>
      <c r="X36" s="478">
        <f t="shared" si="1"/>
        <v>352777</v>
      </c>
      <c r="Y36" s="466"/>
    </row>
    <row r="37" spans="1:25" ht="12" customHeight="1">
      <c r="A37" s="721" t="s">
        <v>743</v>
      </c>
      <c r="B37" s="462" t="s">
        <v>352</v>
      </c>
      <c r="C37" s="463">
        <v>7509</v>
      </c>
      <c r="D37" s="463">
        <v>6879</v>
      </c>
      <c r="E37" s="463">
        <v>1472</v>
      </c>
      <c r="F37" s="463"/>
      <c r="G37" s="463"/>
      <c r="H37" s="463"/>
      <c r="I37" s="463"/>
      <c r="J37" s="463"/>
      <c r="K37" s="463"/>
      <c r="L37" s="463"/>
      <c r="M37" s="463"/>
      <c r="N37" s="478">
        <f t="shared" si="0"/>
        <v>8981</v>
      </c>
      <c r="O37" s="721" t="s">
        <v>743</v>
      </c>
      <c r="P37" s="462" t="s">
        <v>352</v>
      </c>
      <c r="Q37" s="463">
        <v>48514</v>
      </c>
      <c r="R37" s="465">
        <v>15394</v>
      </c>
      <c r="S37" s="463">
        <v>23553</v>
      </c>
      <c r="T37" s="463">
        <v>14450</v>
      </c>
      <c r="U37" s="463">
        <v>792</v>
      </c>
      <c r="V37" s="463"/>
      <c r="W37" s="463">
        <v>450</v>
      </c>
      <c r="X37" s="478">
        <f t="shared" si="1"/>
        <v>88703</v>
      </c>
      <c r="Y37" s="466"/>
    </row>
    <row r="38" spans="1:25" ht="12" customHeight="1">
      <c r="A38" s="722"/>
      <c r="B38" s="462" t="s">
        <v>59</v>
      </c>
      <c r="C38" s="463">
        <f>7509+274</f>
        <v>7783</v>
      </c>
      <c r="D38" s="463">
        <v>6879</v>
      </c>
      <c r="E38" s="463">
        <v>1472</v>
      </c>
      <c r="F38" s="463"/>
      <c r="G38" s="463">
        <v>80</v>
      </c>
      <c r="H38" s="463"/>
      <c r="I38" s="463">
        <v>166</v>
      </c>
      <c r="J38" s="463"/>
      <c r="K38" s="463"/>
      <c r="L38" s="463">
        <v>215</v>
      </c>
      <c r="M38" s="463"/>
      <c r="N38" s="478">
        <f t="shared" si="0"/>
        <v>9716</v>
      </c>
      <c r="O38" s="722"/>
      <c r="P38" s="462" t="s">
        <v>59</v>
      </c>
      <c r="Q38" s="463">
        <f>49552+130+522+126</f>
        <v>50330</v>
      </c>
      <c r="R38" s="465">
        <f>15726+166+40</f>
        <v>15932</v>
      </c>
      <c r="S38" s="463">
        <f>24442+80</f>
        <v>24522</v>
      </c>
      <c r="T38" s="463">
        <v>14450</v>
      </c>
      <c r="U38" s="463">
        <v>792</v>
      </c>
      <c r="V38" s="463"/>
      <c r="W38" s="463">
        <v>450</v>
      </c>
      <c r="X38" s="478">
        <f t="shared" si="1"/>
        <v>92026</v>
      </c>
      <c r="Y38" s="466"/>
    </row>
    <row r="39" spans="1:25" ht="12" customHeight="1">
      <c r="A39" s="724"/>
      <c r="B39" s="462" t="s">
        <v>259</v>
      </c>
      <c r="C39" s="463">
        <v>9131</v>
      </c>
      <c r="D39" s="463">
        <v>6879</v>
      </c>
      <c r="E39" s="463">
        <v>1472</v>
      </c>
      <c r="F39" s="463"/>
      <c r="G39" s="463">
        <v>80</v>
      </c>
      <c r="H39" s="463"/>
      <c r="I39" s="463">
        <v>166</v>
      </c>
      <c r="J39" s="463"/>
      <c r="K39" s="463"/>
      <c r="L39" s="463">
        <v>215</v>
      </c>
      <c r="M39" s="463"/>
      <c r="N39" s="478">
        <f t="shared" si="0"/>
        <v>11064</v>
      </c>
      <c r="O39" s="724"/>
      <c r="P39" s="462" t="s">
        <v>259</v>
      </c>
      <c r="Q39" s="463">
        <v>50777</v>
      </c>
      <c r="R39" s="465">
        <v>15891</v>
      </c>
      <c r="S39" s="463">
        <v>25654</v>
      </c>
      <c r="T39" s="463">
        <v>14450</v>
      </c>
      <c r="U39" s="463">
        <v>617</v>
      </c>
      <c r="V39" s="463"/>
      <c r="W39" s="463"/>
      <c r="X39" s="478">
        <f t="shared" si="1"/>
        <v>92939</v>
      </c>
      <c r="Y39" s="466"/>
    </row>
    <row r="40" spans="1:25" ht="12" customHeight="1">
      <c r="A40" s="727" t="s">
        <v>744</v>
      </c>
      <c r="B40" s="462" t="s">
        <v>751</v>
      </c>
      <c r="C40" s="463">
        <v>1367</v>
      </c>
      <c r="D40" s="463"/>
      <c r="E40" s="463"/>
      <c r="F40" s="463"/>
      <c r="G40" s="463"/>
      <c r="H40" s="463"/>
      <c r="I40" s="463"/>
      <c r="J40" s="463"/>
      <c r="K40" s="463"/>
      <c r="L40" s="463"/>
      <c r="M40" s="463"/>
      <c r="N40" s="478">
        <f t="shared" si="0"/>
        <v>1367</v>
      </c>
      <c r="O40" s="727" t="s">
        <v>744</v>
      </c>
      <c r="P40" s="462" t="s">
        <v>751</v>
      </c>
      <c r="Q40" s="463">
        <v>10063</v>
      </c>
      <c r="R40" s="465">
        <v>3697</v>
      </c>
      <c r="S40" s="463">
        <v>4784</v>
      </c>
      <c r="T40" s="463"/>
      <c r="U40" s="463"/>
      <c r="V40" s="463"/>
      <c r="W40" s="463"/>
      <c r="X40" s="478">
        <f t="shared" si="1"/>
        <v>18544</v>
      </c>
      <c r="Y40" s="466"/>
    </row>
    <row r="41" spans="1:25" ht="12" customHeight="1">
      <c r="A41" s="728"/>
      <c r="B41" s="462" t="s">
        <v>259</v>
      </c>
      <c r="C41" s="463">
        <v>1367</v>
      </c>
      <c r="D41" s="463"/>
      <c r="E41" s="463"/>
      <c r="F41" s="463"/>
      <c r="G41" s="463"/>
      <c r="H41" s="463"/>
      <c r="I41" s="463"/>
      <c r="J41" s="463"/>
      <c r="K41" s="463"/>
      <c r="L41" s="463"/>
      <c r="M41" s="463"/>
      <c r="N41" s="478">
        <f t="shared" si="0"/>
        <v>1367</v>
      </c>
      <c r="O41" s="728"/>
      <c r="P41" s="462" t="s">
        <v>259</v>
      </c>
      <c r="Q41" s="463">
        <v>10109</v>
      </c>
      <c r="R41" s="465">
        <v>3651</v>
      </c>
      <c r="S41" s="463">
        <v>4922</v>
      </c>
      <c r="T41" s="463"/>
      <c r="U41" s="463">
        <v>415</v>
      </c>
      <c r="V41" s="463"/>
      <c r="W41" s="463"/>
      <c r="X41" s="478">
        <f t="shared" si="1"/>
        <v>19097</v>
      </c>
      <c r="Y41" s="466"/>
    </row>
    <row r="42" spans="1:25" s="468" customFormat="1" ht="12" customHeight="1">
      <c r="A42" s="725" t="s">
        <v>745</v>
      </c>
      <c r="B42" s="467" t="s">
        <v>352</v>
      </c>
      <c r="C42" s="464">
        <f aca="true" t="shared" si="2" ref="C42:M42">C34+C37</f>
        <v>24890</v>
      </c>
      <c r="D42" s="464">
        <f t="shared" si="2"/>
        <v>20299</v>
      </c>
      <c r="E42" s="464">
        <f t="shared" si="2"/>
        <v>4252</v>
      </c>
      <c r="F42" s="464">
        <f t="shared" si="2"/>
        <v>0</v>
      </c>
      <c r="G42" s="464">
        <f t="shared" si="2"/>
        <v>0</v>
      </c>
      <c r="H42" s="464">
        <f t="shared" si="2"/>
        <v>0</v>
      </c>
      <c r="I42" s="464">
        <f t="shared" si="2"/>
        <v>0</v>
      </c>
      <c r="J42" s="464">
        <f t="shared" si="2"/>
        <v>0</v>
      </c>
      <c r="K42" s="464">
        <f t="shared" si="2"/>
        <v>0</v>
      </c>
      <c r="L42" s="464">
        <f t="shared" si="2"/>
        <v>0</v>
      </c>
      <c r="M42" s="464">
        <f t="shared" si="2"/>
        <v>0</v>
      </c>
      <c r="N42" s="478">
        <f t="shared" si="0"/>
        <v>29142</v>
      </c>
      <c r="O42" s="725" t="s">
        <v>745</v>
      </c>
      <c r="P42" s="467" t="s">
        <v>352</v>
      </c>
      <c r="Q42" s="464">
        <f aca="true" t="shared" si="3" ref="Q42:W42">Q34+Q37</f>
        <v>238298</v>
      </c>
      <c r="R42" s="464">
        <f t="shared" si="3"/>
        <v>75198</v>
      </c>
      <c r="S42" s="464">
        <f t="shared" si="3"/>
        <v>92847</v>
      </c>
      <c r="T42" s="464">
        <f t="shared" si="3"/>
        <v>45628</v>
      </c>
      <c r="U42" s="464">
        <f t="shared" si="3"/>
        <v>4893</v>
      </c>
      <c r="V42" s="464">
        <f t="shared" si="3"/>
        <v>0</v>
      </c>
      <c r="W42" s="464">
        <f t="shared" si="3"/>
        <v>4950</v>
      </c>
      <c r="X42" s="478">
        <f t="shared" si="1"/>
        <v>416186</v>
      </c>
      <c r="Y42" s="466"/>
    </row>
    <row r="43" spans="1:25" s="468" customFormat="1" ht="12" customHeight="1">
      <c r="A43" s="726"/>
      <c r="B43" s="480" t="s">
        <v>751</v>
      </c>
      <c r="C43" s="464">
        <f>C35+C38+C40</f>
        <v>26597</v>
      </c>
      <c r="D43" s="464">
        <f aca="true" t="shared" si="4" ref="D43:M43">D35+D38</f>
        <v>20299</v>
      </c>
      <c r="E43" s="464">
        <f t="shared" si="4"/>
        <v>4252</v>
      </c>
      <c r="F43" s="464">
        <f t="shared" si="4"/>
        <v>0</v>
      </c>
      <c r="G43" s="464">
        <f t="shared" si="4"/>
        <v>80</v>
      </c>
      <c r="H43" s="464">
        <f t="shared" si="4"/>
        <v>0</v>
      </c>
      <c r="I43" s="464">
        <f t="shared" si="4"/>
        <v>6018</v>
      </c>
      <c r="J43" s="464">
        <f t="shared" si="4"/>
        <v>0</v>
      </c>
      <c r="K43" s="464">
        <f t="shared" si="4"/>
        <v>0</v>
      </c>
      <c r="L43" s="464">
        <f t="shared" si="4"/>
        <v>2478</v>
      </c>
      <c r="M43" s="464">
        <f t="shared" si="4"/>
        <v>0</v>
      </c>
      <c r="N43" s="478">
        <f t="shared" si="0"/>
        <v>39425</v>
      </c>
      <c r="O43" s="726"/>
      <c r="P43" s="480" t="s">
        <v>751</v>
      </c>
      <c r="Q43" s="464">
        <f aca="true" t="shared" si="5" ref="Q43:W43">Q35+Q38+Q40</f>
        <v>256630</v>
      </c>
      <c r="R43" s="464">
        <f t="shared" si="5"/>
        <v>81354</v>
      </c>
      <c r="S43" s="464">
        <f t="shared" si="5"/>
        <v>109289</v>
      </c>
      <c r="T43" s="464">
        <f t="shared" si="5"/>
        <v>45628</v>
      </c>
      <c r="U43" s="464">
        <f t="shared" si="5"/>
        <v>4893</v>
      </c>
      <c r="V43" s="464">
        <f t="shared" si="5"/>
        <v>0</v>
      </c>
      <c r="W43" s="464">
        <f t="shared" si="5"/>
        <v>7150</v>
      </c>
      <c r="X43" s="478">
        <f t="shared" si="1"/>
        <v>459316</v>
      </c>
      <c r="Y43" s="466"/>
    </row>
    <row r="44" spans="1:25" s="468" customFormat="1" ht="12" customHeight="1" thickBot="1">
      <c r="A44" s="729"/>
      <c r="B44" s="481" t="s">
        <v>259</v>
      </c>
      <c r="C44" s="521">
        <f>SUM(C36+C39+C41)</f>
        <v>28138</v>
      </c>
      <c r="D44" s="521">
        <f aca="true" t="shared" si="6" ref="D44:M44">SUM(D36+D39+D41)</f>
        <v>20299</v>
      </c>
      <c r="E44" s="521">
        <f t="shared" si="6"/>
        <v>4252</v>
      </c>
      <c r="F44" s="521">
        <f t="shared" si="6"/>
        <v>0</v>
      </c>
      <c r="G44" s="521">
        <f t="shared" si="6"/>
        <v>499</v>
      </c>
      <c r="H44" s="521">
        <f t="shared" si="6"/>
        <v>0</v>
      </c>
      <c r="I44" s="521">
        <f t="shared" si="6"/>
        <v>6018</v>
      </c>
      <c r="J44" s="521">
        <f t="shared" si="6"/>
        <v>0</v>
      </c>
      <c r="K44" s="521">
        <f t="shared" si="6"/>
        <v>0</v>
      </c>
      <c r="L44" s="521">
        <f t="shared" si="6"/>
        <v>2478</v>
      </c>
      <c r="M44" s="521">
        <f t="shared" si="6"/>
        <v>0</v>
      </c>
      <c r="N44" s="479">
        <f>SUM(N36+N39+N41)</f>
        <v>41385</v>
      </c>
      <c r="O44" s="729"/>
      <c r="P44" s="481" t="s">
        <v>259</v>
      </c>
      <c r="Q44" s="521">
        <f>SUM(Q36+Q39+Q41)</f>
        <v>257791</v>
      </c>
      <c r="R44" s="521">
        <f aca="true" t="shared" si="7" ref="R44:X44">SUM(R36+R39+R41)</f>
        <v>80783</v>
      </c>
      <c r="S44" s="521">
        <f t="shared" si="7"/>
        <v>114936</v>
      </c>
      <c r="T44" s="521">
        <f t="shared" si="7"/>
        <v>45628</v>
      </c>
      <c r="U44" s="521">
        <f t="shared" si="7"/>
        <v>3974</v>
      </c>
      <c r="V44" s="521">
        <f t="shared" si="7"/>
        <v>118</v>
      </c>
      <c r="W44" s="521">
        <f t="shared" si="7"/>
        <v>7211</v>
      </c>
      <c r="X44" s="479">
        <f t="shared" si="7"/>
        <v>464813</v>
      </c>
      <c r="Y44" s="466"/>
    </row>
    <row r="45" spans="1:25" s="468" customFormat="1" ht="12" customHeight="1" thickTop="1">
      <c r="A45" s="716" t="s">
        <v>722</v>
      </c>
      <c r="B45" s="714"/>
      <c r="C45" s="714" t="s">
        <v>723</v>
      </c>
      <c r="D45" s="714" t="s">
        <v>724</v>
      </c>
      <c r="E45" s="714" t="s">
        <v>725</v>
      </c>
      <c r="F45" s="714" t="s">
        <v>726</v>
      </c>
      <c r="G45" s="714" t="s">
        <v>727</v>
      </c>
      <c r="H45" s="714"/>
      <c r="I45" s="714" t="s">
        <v>728</v>
      </c>
      <c r="J45" s="714"/>
      <c r="K45" s="714" t="s">
        <v>729</v>
      </c>
      <c r="L45" s="714" t="s">
        <v>730</v>
      </c>
      <c r="M45" s="714"/>
      <c r="N45" s="712" t="s">
        <v>731</v>
      </c>
      <c r="O45" s="716" t="s">
        <v>722</v>
      </c>
      <c r="P45" s="714"/>
      <c r="Q45" s="720" t="s">
        <v>433</v>
      </c>
      <c r="R45" s="720"/>
      <c r="S45" s="720"/>
      <c r="T45" s="720"/>
      <c r="U45" s="720"/>
      <c r="V45" s="720" t="s">
        <v>351</v>
      </c>
      <c r="W45" s="720"/>
      <c r="X45" s="712" t="s">
        <v>732</v>
      </c>
      <c r="Y45" s="466"/>
    </row>
    <row r="46" spans="1:25" s="468" customFormat="1" ht="50.25" customHeight="1">
      <c r="A46" s="717"/>
      <c r="B46" s="715"/>
      <c r="C46" s="715"/>
      <c r="D46" s="715"/>
      <c r="E46" s="715"/>
      <c r="F46" s="715"/>
      <c r="G46" s="457" t="s">
        <v>733</v>
      </c>
      <c r="H46" s="457" t="s">
        <v>734</v>
      </c>
      <c r="I46" s="457" t="s">
        <v>733</v>
      </c>
      <c r="J46" s="457" t="s">
        <v>734</v>
      </c>
      <c r="K46" s="715"/>
      <c r="L46" s="457" t="s">
        <v>735</v>
      </c>
      <c r="M46" s="457" t="s">
        <v>736</v>
      </c>
      <c r="N46" s="713"/>
      <c r="O46" s="717"/>
      <c r="P46" s="715"/>
      <c r="Q46" s="457" t="s">
        <v>420</v>
      </c>
      <c r="R46" s="457" t="s">
        <v>737</v>
      </c>
      <c r="S46" s="457" t="s">
        <v>434</v>
      </c>
      <c r="T46" s="457" t="s">
        <v>738</v>
      </c>
      <c r="U46" s="457" t="s">
        <v>739</v>
      </c>
      <c r="V46" s="457" t="s">
        <v>408</v>
      </c>
      <c r="W46" s="457" t="s">
        <v>427</v>
      </c>
      <c r="X46" s="713"/>
      <c r="Y46" s="466"/>
    </row>
    <row r="47" spans="1:25" ht="12" customHeight="1">
      <c r="A47" s="721" t="s">
        <v>45</v>
      </c>
      <c r="B47" s="462" t="s">
        <v>352</v>
      </c>
      <c r="C47" s="463">
        <v>19407</v>
      </c>
      <c r="D47" s="463">
        <v>17147</v>
      </c>
      <c r="E47" s="463">
        <v>3582</v>
      </c>
      <c r="F47" s="463"/>
      <c r="G47" s="463"/>
      <c r="H47" s="463"/>
      <c r="I47" s="463"/>
      <c r="J47" s="463"/>
      <c r="K47" s="463"/>
      <c r="L47" s="463"/>
      <c r="M47" s="463"/>
      <c r="N47" s="478">
        <f t="shared" si="0"/>
        <v>22989</v>
      </c>
      <c r="O47" s="721" t="s">
        <v>45</v>
      </c>
      <c r="P47" s="462" t="s">
        <v>352</v>
      </c>
      <c r="Q47" s="465">
        <v>145438</v>
      </c>
      <c r="R47" s="465">
        <v>45994</v>
      </c>
      <c r="S47" s="463">
        <v>75044</v>
      </c>
      <c r="T47" s="463">
        <v>37444</v>
      </c>
      <c r="U47" s="463">
        <v>2790</v>
      </c>
      <c r="V47" s="463"/>
      <c r="W47" s="463">
        <v>9250</v>
      </c>
      <c r="X47" s="478">
        <f t="shared" si="1"/>
        <v>278516</v>
      </c>
      <c r="Y47" s="466"/>
    </row>
    <row r="48" spans="1:25" ht="12" customHeight="1">
      <c r="A48" s="722"/>
      <c r="B48" s="462" t="s">
        <v>59</v>
      </c>
      <c r="C48" s="463">
        <v>19407</v>
      </c>
      <c r="D48" s="463">
        <v>17147</v>
      </c>
      <c r="E48" s="463">
        <v>3582</v>
      </c>
      <c r="F48" s="463"/>
      <c r="G48" s="463">
        <v>2860</v>
      </c>
      <c r="H48" s="463"/>
      <c r="I48" s="463">
        <f>2800+266</f>
        <v>3066</v>
      </c>
      <c r="J48" s="463"/>
      <c r="K48" s="463"/>
      <c r="L48" s="463">
        <v>203</v>
      </c>
      <c r="M48" s="463"/>
      <c r="N48" s="478">
        <f t="shared" si="0"/>
        <v>29118</v>
      </c>
      <c r="O48" s="722"/>
      <c r="P48" s="462" t="s">
        <v>59</v>
      </c>
      <c r="Q48" s="465">
        <f>148462+856+1540+120+126</f>
        <v>151104</v>
      </c>
      <c r="R48" s="465">
        <f>46962+210+493+43+40</f>
        <v>47748</v>
      </c>
      <c r="S48" s="463">
        <f>79507+3300+2800+100</f>
        <v>85707</v>
      </c>
      <c r="T48" s="463">
        <v>37444</v>
      </c>
      <c r="U48" s="463">
        <v>2790</v>
      </c>
      <c r="V48" s="463"/>
      <c r="W48" s="463">
        <v>9250</v>
      </c>
      <c r="X48" s="478">
        <f t="shared" si="1"/>
        <v>296599</v>
      </c>
      <c r="Y48" s="466"/>
    </row>
    <row r="49" spans="1:25" ht="12" customHeight="1">
      <c r="A49" s="723"/>
      <c r="B49" s="462" t="s">
        <v>259</v>
      </c>
      <c r="C49" s="463">
        <v>19407</v>
      </c>
      <c r="D49" s="463">
        <v>17147</v>
      </c>
      <c r="E49" s="463">
        <v>3582</v>
      </c>
      <c r="F49" s="463"/>
      <c r="G49" s="463">
        <v>2860</v>
      </c>
      <c r="H49" s="463"/>
      <c r="I49" s="463">
        <v>3066</v>
      </c>
      <c r="J49" s="463"/>
      <c r="K49" s="463"/>
      <c r="L49" s="463">
        <v>203</v>
      </c>
      <c r="M49" s="463"/>
      <c r="N49" s="478">
        <f t="shared" si="0"/>
        <v>29118</v>
      </c>
      <c r="O49" s="723"/>
      <c r="P49" s="462" t="s">
        <v>259</v>
      </c>
      <c r="Q49" s="465">
        <v>151457</v>
      </c>
      <c r="R49" s="465">
        <v>47395</v>
      </c>
      <c r="S49" s="463">
        <v>87914</v>
      </c>
      <c r="T49" s="463">
        <v>37444</v>
      </c>
      <c r="U49" s="463">
        <v>2661</v>
      </c>
      <c r="V49" s="463">
        <v>128</v>
      </c>
      <c r="W49" s="463">
        <v>8591</v>
      </c>
      <c r="X49" s="478">
        <f t="shared" si="1"/>
        <v>298146</v>
      </c>
      <c r="Y49" s="466"/>
    </row>
    <row r="50" spans="1:25" ht="12" customHeight="1">
      <c r="A50" s="721" t="s">
        <v>746</v>
      </c>
      <c r="B50" s="462" t="s">
        <v>352</v>
      </c>
      <c r="C50" s="463">
        <v>4556</v>
      </c>
      <c r="D50" s="463">
        <v>3961</v>
      </c>
      <c r="E50" s="463">
        <v>871</v>
      </c>
      <c r="F50" s="463"/>
      <c r="G50" s="463"/>
      <c r="H50" s="463"/>
      <c r="I50" s="463"/>
      <c r="J50" s="463"/>
      <c r="K50" s="463"/>
      <c r="L50" s="463"/>
      <c r="M50" s="463"/>
      <c r="N50" s="478">
        <f t="shared" si="0"/>
        <v>5427</v>
      </c>
      <c r="O50" s="721" t="s">
        <v>746</v>
      </c>
      <c r="P50" s="462" t="s">
        <v>352</v>
      </c>
      <c r="Q50" s="465">
        <v>54559</v>
      </c>
      <c r="R50" s="465">
        <v>17293</v>
      </c>
      <c r="S50" s="463">
        <v>26463</v>
      </c>
      <c r="T50" s="463">
        <v>11453</v>
      </c>
      <c r="U50" s="463">
        <v>1200</v>
      </c>
      <c r="V50" s="463">
        <v>930</v>
      </c>
      <c r="W50" s="463">
        <v>500</v>
      </c>
      <c r="X50" s="478">
        <f t="shared" si="1"/>
        <v>100945</v>
      </c>
      <c r="Y50" s="466"/>
    </row>
    <row r="51" spans="1:25" ht="12" customHeight="1">
      <c r="A51" s="722"/>
      <c r="B51" s="462" t="s">
        <v>59</v>
      </c>
      <c r="C51" s="463">
        <f>4556+3</f>
        <v>4559</v>
      </c>
      <c r="D51" s="463">
        <v>3961</v>
      </c>
      <c r="E51" s="463">
        <v>871</v>
      </c>
      <c r="F51" s="463"/>
      <c r="G51" s="463"/>
      <c r="H51" s="463"/>
      <c r="I51" s="463">
        <v>251</v>
      </c>
      <c r="J51" s="463"/>
      <c r="K51" s="463"/>
      <c r="L51" s="463">
        <v>424</v>
      </c>
      <c r="M51" s="463"/>
      <c r="N51" s="478">
        <f t="shared" si="0"/>
        <v>6105</v>
      </c>
      <c r="O51" s="722"/>
      <c r="P51" s="462" t="s">
        <v>59</v>
      </c>
      <c r="Q51" s="465">
        <f>55765+315+558+130+126</f>
        <v>56894</v>
      </c>
      <c r="R51" s="465">
        <f>17679+80+179+40</f>
        <v>17978</v>
      </c>
      <c r="S51" s="463">
        <f>27206-130+50</f>
        <v>27126</v>
      </c>
      <c r="T51" s="463">
        <v>11453</v>
      </c>
      <c r="U51" s="463">
        <v>1200</v>
      </c>
      <c r="V51" s="463">
        <v>930</v>
      </c>
      <c r="W51" s="463">
        <f>500</f>
        <v>500</v>
      </c>
      <c r="X51" s="478">
        <f t="shared" si="1"/>
        <v>104628</v>
      </c>
      <c r="Y51" s="466"/>
    </row>
    <row r="52" spans="1:25" ht="12" customHeight="1">
      <c r="A52" s="723"/>
      <c r="B52" s="462" t="s">
        <v>259</v>
      </c>
      <c r="C52" s="463">
        <v>4559</v>
      </c>
      <c r="D52" s="463">
        <v>3961</v>
      </c>
      <c r="E52" s="463">
        <v>871</v>
      </c>
      <c r="F52" s="463"/>
      <c r="G52" s="463"/>
      <c r="H52" s="463"/>
      <c r="I52" s="463">
        <v>251</v>
      </c>
      <c r="J52" s="463"/>
      <c r="K52" s="463"/>
      <c r="L52" s="463">
        <v>424</v>
      </c>
      <c r="M52" s="463"/>
      <c r="N52" s="478">
        <f t="shared" si="0"/>
        <v>6105</v>
      </c>
      <c r="O52" s="723"/>
      <c r="P52" s="462" t="s">
        <v>259</v>
      </c>
      <c r="Q52" s="465">
        <v>56883</v>
      </c>
      <c r="R52" s="465">
        <v>17805</v>
      </c>
      <c r="S52" s="463">
        <v>27168</v>
      </c>
      <c r="T52" s="463">
        <v>11453</v>
      </c>
      <c r="U52" s="463">
        <v>1174</v>
      </c>
      <c r="V52" s="463">
        <v>930</v>
      </c>
      <c r="W52" s="463">
        <v>312</v>
      </c>
      <c r="X52" s="478">
        <f t="shared" si="1"/>
        <v>104272</v>
      </c>
      <c r="Y52" s="466"/>
    </row>
    <row r="53" spans="1:25" s="468" customFormat="1" ht="12" customHeight="1">
      <c r="A53" s="725" t="s">
        <v>747</v>
      </c>
      <c r="B53" s="467" t="s">
        <v>352</v>
      </c>
      <c r="C53" s="464">
        <f aca="true" t="shared" si="8" ref="C53:M53">C47+C50</f>
        <v>23963</v>
      </c>
      <c r="D53" s="464">
        <f t="shared" si="8"/>
        <v>21108</v>
      </c>
      <c r="E53" s="464">
        <f t="shared" si="8"/>
        <v>4453</v>
      </c>
      <c r="F53" s="464">
        <f t="shared" si="8"/>
        <v>0</v>
      </c>
      <c r="G53" s="464">
        <f t="shared" si="8"/>
        <v>0</v>
      </c>
      <c r="H53" s="464">
        <f t="shared" si="8"/>
        <v>0</v>
      </c>
      <c r="I53" s="464">
        <f t="shared" si="8"/>
        <v>0</v>
      </c>
      <c r="J53" s="464">
        <f t="shared" si="8"/>
        <v>0</v>
      </c>
      <c r="K53" s="464">
        <f t="shared" si="8"/>
        <v>0</v>
      </c>
      <c r="L53" s="464">
        <f t="shared" si="8"/>
        <v>0</v>
      </c>
      <c r="M53" s="464">
        <f t="shared" si="8"/>
        <v>0</v>
      </c>
      <c r="N53" s="478">
        <f t="shared" si="0"/>
        <v>28416</v>
      </c>
      <c r="O53" s="725" t="s">
        <v>747</v>
      </c>
      <c r="P53" s="467" t="s">
        <v>352</v>
      </c>
      <c r="Q53" s="464">
        <f aca="true" t="shared" si="9" ref="Q53:W54">Q47+Q50</f>
        <v>199997</v>
      </c>
      <c r="R53" s="464">
        <f t="shared" si="9"/>
        <v>63287</v>
      </c>
      <c r="S53" s="464">
        <f t="shared" si="9"/>
        <v>101507</v>
      </c>
      <c r="T53" s="464">
        <f t="shared" si="9"/>
        <v>48897</v>
      </c>
      <c r="U53" s="464">
        <f t="shared" si="9"/>
        <v>3990</v>
      </c>
      <c r="V53" s="464">
        <f t="shared" si="9"/>
        <v>930</v>
      </c>
      <c r="W53" s="464">
        <f t="shared" si="9"/>
        <v>9750</v>
      </c>
      <c r="X53" s="478">
        <f t="shared" si="1"/>
        <v>379461</v>
      </c>
      <c r="Y53" s="466"/>
    </row>
    <row r="54" spans="1:25" s="468" customFormat="1" ht="12" customHeight="1">
      <c r="A54" s="726"/>
      <c r="B54" s="480" t="s">
        <v>59</v>
      </c>
      <c r="C54" s="464">
        <f aca="true" t="shared" si="10" ref="C54:M54">C48+C51</f>
        <v>23966</v>
      </c>
      <c r="D54" s="464">
        <f t="shared" si="10"/>
        <v>21108</v>
      </c>
      <c r="E54" s="464">
        <f t="shared" si="10"/>
        <v>4453</v>
      </c>
      <c r="F54" s="464">
        <f t="shared" si="10"/>
        <v>0</v>
      </c>
      <c r="G54" s="464">
        <f t="shared" si="10"/>
        <v>2860</v>
      </c>
      <c r="H54" s="464">
        <f t="shared" si="10"/>
        <v>0</v>
      </c>
      <c r="I54" s="464">
        <f t="shared" si="10"/>
        <v>3317</v>
      </c>
      <c r="J54" s="464">
        <f t="shared" si="10"/>
        <v>0</v>
      </c>
      <c r="K54" s="464">
        <f t="shared" si="10"/>
        <v>0</v>
      </c>
      <c r="L54" s="464">
        <f t="shared" si="10"/>
        <v>627</v>
      </c>
      <c r="M54" s="464">
        <f t="shared" si="10"/>
        <v>0</v>
      </c>
      <c r="N54" s="478">
        <f t="shared" si="0"/>
        <v>35223</v>
      </c>
      <c r="O54" s="726"/>
      <c r="P54" s="480" t="s">
        <v>59</v>
      </c>
      <c r="Q54" s="464">
        <f t="shared" si="9"/>
        <v>207998</v>
      </c>
      <c r="R54" s="464">
        <f t="shared" si="9"/>
        <v>65726</v>
      </c>
      <c r="S54" s="464">
        <f t="shared" si="9"/>
        <v>112833</v>
      </c>
      <c r="T54" s="464">
        <f t="shared" si="9"/>
        <v>48897</v>
      </c>
      <c r="U54" s="464">
        <f t="shared" si="9"/>
        <v>3990</v>
      </c>
      <c r="V54" s="464">
        <f t="shared" si="9"/>
        <v>930</v>
      </c>
      <c r="W54" s="464">
        <f t="shared" si="9"/>
        <v>9750</v>
      </c>
      <c r="X54" s="478">
        <f t="shared" si="1"/>
        <v>401227</v>
      </c>
      <c r="Y54" s="466"/>
    </row>
    <row r="55" spans="1:25" s="468" customFormat="1" ht="12" customHeight="1">
      <c r="A55" s="723"/>
      <c r="B55" s="480" t="s">
        <v>259</v>
      </c>
      <c r="C55" s="464">
        <f>SUM(C49+C52)</f>
        <v>23966</v>
      </c>
      <c r="D55" s="464">
        <f aca="true" t="shared" si="11" ref="D55:N55">SUM(D49+D52)</f>
        <v>21108</v>
      </c>
      <c r="E55" s="464">
        <f t="shared" si="11"/>
        <v>4453</v>
      </c>
      <c r="F55" s="464">
        <f t="shared" si="11"/>
        <v>0</v>
      </c>
      <c r="G55" s="464">
        <f t="shared" si="11"/>
        <v>2860</v>
      </c>
      <c r="H55" s="464">
        <f t="shared" si="11"/>
        <v>0</v>
      </c>
      <c r="I55" s="464">
        <f t="shared" si="11"/>
        <v>3317</v>
      </c>
      <c r="J55" s="464">
        <f t="shared" si="11"/>
        <v>0</v>
      </c>
      <c r="K55" s="464">
        <f t="shared" si="11"/>
        <v>0</v>
      </c>
      <c r="L55" s="464">
        <f t="shared" si="11"/>
        <v>627</v>
      </c>
      <c r="M55" s="464">
        <f t="shared" si="11"/>
        <v>0</v>
      </c>
      <c r="N55" s="478">
        <f t="shared" si="11"/>
        <v>35223</v>
      </c>
      <c r="O55" s="723"/>
      <c r="P55" s="480" t="s">
        <v>259</v>
      </c>
      <c r="Q55" s="464">
        <f>SUM(Q49+Q52)</f>
        <v>208340</v>
      </c>
      <c r="R55" s="464">
        <f aca="true" t="shared" si="12" ref="R55:X55">SUM(R49+R52)</f>
        <v>65200</v>
      </c>
      <c r="S55" s="464">
        <f t="shared" si="12"/>
        <v>115082</v>
      </c>
      <c r="T55" s="464">
        <f t="shared" si="12"/>
        <v>48897</v>
      </c>
      <c r="U55" s="464">
        <f t="shared" si="12"/>
        <v>3835</v>
      </c>
      <c r="V55" s="464">
        <f t="shared" si="12"/>
        <v>1058</v>
      </c>
      <c r="W55" s="464">
        <f t="shared" si="12"/>
        <v>8903</v>
      </c>
      <c r="X55" s="478">
        <f t="shared" si="12"/>
        <v>402418</v>
      </c>
      <c r="Y55" s="466"/>
    </row>
    <row r="56" spans="1:25" ht="12" customHeight="1">
      <c r="A56" s="721" t="s">
        <v>46</v>
      </c>
      <c r="B56" s="462" t="s">
        <v>352</v>
      </c>
      <c r="C56" s="463">
        <v>3600</v>
      </c>
      <c r="D56" s="463"/>
      <c r="E56" s="463"/>
      <c r="F56" s="463"/>
      <c r="G56" s="463"/>
      <c r="H56" s="463"/>
      <c r="I56" s="463"/>
      <c r="J56" s="463"/>
      <c r="K56" s="463"/>
      <c r="L56" s="463"/>
      <c r="M56" s="463"/>
      <c r="N56" s="478">
        <f t="shared" si="0"/>
        <v>3600</v>
      </c>
      <c r="O56" s="721" t="s">
        <v>46</v>
      </c>
      <c r="P56" s="462" t="s">
        <v>352</v>
      </c>
      <c r="Q56" s="465">
        <v>51982</v>
      </c>
      <c r="R56" s="465">
        <v>16315</v>
      </c>
      <c r="S56" s="463">
        <v>5962</v>
      </c>
      <c r="T56" s="463"/>
      <c r="U56" s="463"/>
      <c r="V56" s="463"/>
      <c r="W56" s="463"/>
      <c r="X56" s="478">
        <f t="shared" si="1"/>
        <v>74259</v>
      </c>
      <c r="Y56" s="466"/>
    </row>
    <row r="57" spans="1:25" ht="12" customHeight="1">
      <c r="A57" s="722"/>
      <c r="B57" s="462" t="s">
        <v>59</v>
      </c>
      <c r="C57" s="463">
        <v>3600</v>
      </c>
      <c r="D57" s="463"/>
      <c r="E57" s="463"/>
      <c r="F57" s="463"/>
      <c r="G57" s="463"/>
      <c r="H57" s="463"/>
      <c r="I57" s="463"/>
      <c r="J57" s="463"/>
      <c r="K57" s="463"/>
      <c r="L57" s="463">
        <v>343</v>
      </c>
      <c r="M57" s="463"/>
      <c r="N57" s="478">
        <f t="shared" si="0"/>
        <v>3943</v>
      </c>
      <c r="O57" s="722"/>
      <c r="P57" s="462" t="s">
        <v>59</v>
      </c>
      <c r="Q57" s="465">
        <f>53321+369+573-305</f>
        <v>53958</v>
      </c>
      <c r="R57" s="465">
        <f>16743+106+184-96</f>
        <v>16937</v>
      </c>
      <c r="S57" s="463">
        <f>6562+2755+401</f>
        <v>9718</v>
      </c>
      <c r="T57" s="463"/>
      <c r="U57" s="463"/>
      <c r="V57" s="463"/>
      <c r="W57" s="463"/>
      <c r="X57" s="478">
        <f t="shared" si="1"/>
        <v>80613</v>
      </c>
      <c r="Y57" s="466"/>
    </row>
    <row r="58" spans="1:25" ht="12" customHeight="1">
      <c r="A58" s="723"/>
      <c r="B58" s="462" t="s">
        <v>259</v>
      </c>
      <c r="C58" s="463">
        <v>3600</v>
      </c>
      <c r="D58" s="463"/>
      <c r="E58" s="463"/>
      <c r="F58" s="463"/>
      <c r="G58" s="463">
        <v>60</v>
      </c>
      <c r="H58" s="463"/>
      <c r="I58" s="463">
        <v>500</v>
      </c>
      <c r="J58" s="463"/>
      <c r="K58" s="463"/>
      <c r="L58" s="463">
        <v>343</v>
      </c>
      <c r="M58" s="463"/>
      <c r="N58" s="478">
        <f t="shared" si="0"/>
        <v>4503</v>
      </c>
      <c r="O58" s="723"/>
      <c r="P58" s="462" t="s">
        <v>259</v>
      </c>
      <c r="Q58" s="465">
        <v>54344</v>
      </c>
      <c r="R58" s="465">
        <v>16551</v>
      </c>
      <c r="S58" s="463">
        <v>9718</v>
      </c>
      <c r="T58" s="463"/>
      <c r="U58" s="463"/>
      <c r="V58" s="463">
        <v>560</v>
      </c>
      <c r="W58" s="463"/>
      <c r="X58" s="478">
        <f t="shared" si="1"/>
        <v>81173</v>
      </c>
      <c r="Y58" s="466"/>
    </row>
    <row r="59" spans="1:25" ht="12" customHeight="1">
      <c r="A59" s="721" t="s">
        <v>748</v>
      </c>
      <c r="B59" s="462" t="s">
        <v>352</v>
      </c>
      <c r="C59" s="463">
        <v>1100</v>
      </c>
      <c r="D59" s="463"/>
      <c r="E59" s="463">
        <v>220</v>
      </c>
      <c r="F59" s="463"/>
      <c r="G59" s="463"/>
      <c r="H59" s="463"/>
      <c r="I59" s="463"/>
      <c r="J59" s="463"/>
      <c r="K59" s="463"/>
      <c r="L59" s="463"/>
      <c r="M59" s="463"/>
      <c r="N59" s="478">
        <f t="shared" si="0"/>
        <v>1320</v>
      </c>
      <c r="O59" s="721" t="s">
        <v>748</v>
      </c>
      <c r="P59" s="462" t="s">
        <v>352</v>
      </c>
      <c r="Q59" s="465">
        <v>22549</v>
      </c>
      <c r="R59" s="465">
        <v>7203</v>
      </c>
      <c r="S59" s="463">
        <v>18512</v>
      </c>
      <c r="T59" s="463"/>
      <c r="U59" s="463"/>
      <c r="V59" s="463"/>
      <c r="W59" s="463"/>
      <c r="X59" s="478">
        <f t="shared" si="1"/>
        <v>48264</v>
      </c>
      <c r="Y59" s="466"/>
    </row>
    <row r="60" spans="1:25" ht="12" customHeight="1">
      <c r="A60" s="722"/>
      <c r="B60" s="462" t="s">
        <v>59</v>
      </c>
      <c r="C60" s="463">
        <v>1100</v>
      </c>
      <c r="D60" s="463"/>
      <c r="E60" s="463">
        <v>220</v>
      </c>
      <c r="F60" s="463"/>
      <c r="G60" s="463"/>
      <c r="H60" s="463"/>
      <c r="I60" s="463">
        <v>1680</v>
      </c>
      <c r="J60" s="463"/>
      <c r="K60" s="463"/>
      <c r="L60" s="463">
        <v>893</v>
      </c>
      <c r="M60" s="463"/>
      <c r="N60" s="478">
        <f t="shared" si="0"/>
        <v>3893</v>
      </c>
      <c r="O60" s="722"/>
      <c r="P60" s="462" t="s">
        <v>59</v>
      </c>
      <c r="Q60" s="465">
        <v>23178</v>
      </c>
      <c r="R60" s="465">
        <f>7351+54</f>
        <v>7405</v>
      </c>
      <c r="S60" s="463">
        <f>19758+1200+1680</f>
        <v>22638</v>
      </c>
      <c r="T60" s="463"/>
      <c r="U60" s="463"/>
      <c r="V60" s="463"/>
      <c r="W60" s="463"/>
      <c r="X60" s="478">
        <f t="shared" si="1"/>
        <v>53221</v>
      </c>
      <c r="Y60" s="466"/>
    </row>
    <row r="61" spans="1:25" ht="12" customHeight="1">
      <c r="A61" s="723"/>
      <c r="B61" s="462" t="s">
        <v>259</v>
      </c>
      <c r="C61" s="463">
        <v>1781</v>
      </c>
      <c r="D61" s="463"/>
      <c r="E61" s="463">
        <v>220</v>
      </c>
      <c r="F61" s="463"/>
      <c r="G61" s="463">
        <v>20</v>
      </c>
      <c r="H61" s="463"/>
      <c r="I61" s="463">
        <v>2350</v>
      </c>
      <c r="J61" s="463"/>
      <c r="K61" s="463"/>
      <c r="L61" s="463">
        <v>893</v>
      </c>
      <c r="M61" s="463"/>
      <c r="N61" s="478">
        <f t="shared" si="0"/>
        <v>5264</v>
      </c>
      <c r="O61" s="723"/>
      <c r="P61" s="462" t="s">
        <v>259</v>
      </c>
      <c r="Q61" s="465">
        <v>22277</v>
      </c>
      <c r="R61" s="465">
        <v>7276</v>
      </c>
      <c r="S61" s="463">
        <v>24839</v>
      </c>
      <c r="T61" s="463"/>
      <c r="U61" s="463"/>
      <c r="V61" s="463">
        <v>200</v>
      </c>
      <c r="W61" s="463"/>
      <c r="X61" s="478">
        <f t="shared" si="1"/>
        <v>54592</v>
      </c>
      <c r="Y61" s="466"/>
    </row>
    <row r="62" spans="1:25" ht="12" customHeight="1">
      <c r="A62" s="721" t="s">
        <v>749</v>
      </c>
      <c r="B62" s="462" t="s">
        <v>352</v>
      </c>
      <c r="C62" s="463">
        <v>9029</v>
      </c>
      <c r="D62" s="463">
        <v>5929</v>
      </c>
      <c r="E62" s="463">
        <v>240</v>
      </c>
      <c r="F62" s="463"/>
      <c r="G62" s="463"/>
      <c r="H62" s="463"/>
      <c r="I62" s="463"/>
      <c r="J62" s="463"/>
      <c r="K62" s="463"/>
      <c r="L62" s="463"/>
      <c r="M62" s="463"/>
      <c r="N62" s="478">
        <f t="shared" si="0"/>
        <v>9269</v>
      </c>
      <c r="O62" s="721" t="s">
        <v>749</v>
      </c>
      <c r="P62" s="462" t="s">
        <v>352</v>
      </c>
      <c r="Q62" s="465">
        <v>98179</v>
      </c>
      <c r="R62" s="465">
        <v>30558</v>
      </c>
      <c r="S62" s="463">
        <v>33397</v>
      </c>
      <c r="T62" s="463">
        <v>11024</v>
      </c>
      <c r="U62" s="463"/>
      <c r="V62" s="463"/>
      <c r="W62" s="463">
        <v>2500</v>
      </c>
      <c r="X62" s="478">
        <f t="shared" si="1"/>
        <v>164634</v>
      </c>
      <c r="Y62" s="466"/>
    </row>
    <row r="63" spans="1:25" ht="12" customHeight="1">
      <c r="A63" s="722"/>
      <c r="B63" s="462" t="s">
        <v>59</v>
      </c>
      <c r="C63" s="463">
        <f>9029+304</f>
        <v>9333</v>
      </c>
      <c r="D63" s="463">
        <v>5929</v>
      </c>
      <c r="E63" s="463">
        <v>240</v>
      </c>
      <c r="F63" s="463"/>
      <c r="G63" s="463">
        <f>1967+608+713</f>
        <v>3288</v>
      </c>
      <c r="H63" s="463">
        <v>9100</v>
      </c>
      <c r="I63" s="463">
        <f>168+430</f>
        <v>598</v>
      </c>
      <c r="J63" s="463"/>
      <c r="K63" s="463"/>
      <c r="L63" s="463">
        <v>8392</v>
      </c>
      <c r="M63" s="463"/>
      <c r="N63" s="478">
        <f t="shared" si="0"/>
        <v>30951</v>
      </c>
      <c r="O63" s="722"/>
      <c r="P63" s="462" t="s">
        <v>59</v>
      </c>
      <c r="Q63" s="465">
        <f>102737+260+916-1586+343+326</f>
        <v>102996</v>
      </c>
      <c r="R63" s="465">
        <f>31952+293-488+110+104</f>
        <v>31971</v>
      </c>
      <c r="S63" s="463">
        <f>37869+1100+574+868</f>
        <v>40411</v>
      </c>
      <c r="T63" s="463">
        <v>11024</v>
      </c>
      <c r="U63" s="463">
        <v>720</v>
      </c>
      <c r="V63" s="463">
        <f>3000+1500+4000+9100</f>
        <v>17600</v>
      </c>
      <c r="W63" s="463">
        <f>2500-2500</f>
        <v>0</v>
      </c>
      <c r="X63" s="478">
        <f t="shared" si="1"/>
        <v>193698</v>
      </c>
      <c r="Y63" s="466"/>
    </row>
    <row r="64" spans="1:25" ht="12" customHeight="1">
      <c r="A64" s="723"/>
      <c r="B64" s="462" t="s">
        <v>259</v>
      </c>
      <c r="C64" s="463">
        <v>10533</v>
      </c>
      <c r="D64" s="463">
        <v>5929</v>
      </c>
      <c r="E64" s="463">
        <v>1740</v>
      </c>
      <c r="F64" s="463"/>
      <c r="G64" s="463">
        <v>3288</v>
      </c>
      <c r="H64" s="463">
        <v>9100</v>
      </c>
      <c r="I64" s="463">
        <v>598</v>
      </c>
      <c r="J64" s="463"/>
      <c r="K64" s="463">
        <v>1500</v>
      </c>
      <c r="L64" s="463">
        <v>8392</v>
      </c>
      <c r="M64" s="463"/>
      <c r="N64" s="478">
        <f t="shared" si="0"/>
        <v>35151</v>
      </c>
      <c r="O64" s="723"/>
      <c r="P64" s="462" t="s">
        <v>259</v>
      </c>
      <c r="Q64" s="465">
        <v>101481</v>
      </c>
      <c r="R64" s="465">
        <v>29836</v>
      </c>
      <c r="S64" s="463">
        <v>41961</v>
      </c>
      <c r="T64" s="463">
        <v>11024</v>
      </c>
      <c r="U64" s="463">
        <v>720</v>
      </c>
      <c r="V64" s="463">
        <v>23900</v>
      </c>
      <c r="W64" s="463"/>
      <c r="X64" s="478">
        <f t="shared" si="1"/>
        <v>197898</v>
      </c>
      <c r="Y64" s="466"/>
    </row>
    <row r="65" spans="1:25" ht="12" customHeight="1">
      <c r="A65" s="721" t="s">
        <v>379</v>
      </c>
      <c r="B65" s="462" t="s">
        <v>352</v>
      </c>
      <c r="C65" s="463">
        <v>606</v>
      </c>
      <c r="D65" s="463"/>
      <c r="E65" s="463">
        <v>2621</v>
      </c>
      <c r="F65" s="463"/>
      <c r="G65" s="463"/>
      <c r="H65" s="463"/>
      <c r="I65" s="463"/>
      <c r="J65" s="463"/>
      <c r="K65" s="463"/>
      <c r="L65" s="463"/>
      <c r="M65" s="463"/>
      <c r="N65" s="478">
        <f t="shared" si="0"/>
        <v>3227</v>
      </c>
      <c r="O65" s="721" t="s">
        <v>379</v>
      </c>
      <c r="P65" s="462" t="s">
        <v>352</v>
      </c>
      <c r="Q65" s="465">
        <v>17449</v>
      </c>
      <c r="R65" s="465">
        <v>5507</v>
      </c>
      <c r="S65" s="463">
        <v>8148</v>
      </c>
      <c r="T65" s="463"/>
      <c r="U65" s="463"/>
      <c r="V65" s="463"/>
      <c r="W65" s="463">
        <v>1500</v>
      </c>
      <c r="X65" s="478">
        <f t="shared" si="1"/>
        <v>32604</v>
      </c>
      <c r="Y65" s="466"/>
    </row>
    <row r="66" spans="1:25" ht="12" customHeight="1">
      <c r="A66" s="722"/>
      <c r="B66" s="462" t="s">
        <v>59</v>
      </c>
      <c r="C66" s="463">
        <v>606</v>
      </c>
      <c r="D66" s="463"/>
      <c r="E66" s="463">
        <v>2621</v>
      </c>
      <c r="F66" s="463"/>
      <c r="G66" s="463"/>
      <c r="H66" s="463"/>
      <c r="I66" s="463"/>
      <c r="J66" s="463"/>
      <c r="K66" s="463"/>
      <c r="L66" s="463">
        <v>845</v>
      </c>
      <c r="M66" s="463"/>
      <c r="N66" s="478">
        <f t="shared" si="0"/>
        <v>4072</v>
      </c>
      <c r="O66" s="722"/>
      <c r="P66" s="462" t="s">
        <v>59</v>
      </c>
      <c r="Q66" s="465">
        <v>18540</v>
      </c>
      <c r="R66" s="465">
        <f>6052+64-252</f>
        <v>5864</v>
      </c>
      <c r="S66" s="463">
        <v>8784</v>
      </c>
      <c r="T66" s="463"/>
      <c r="U66" s="463"/>
      <c r="V66" s="463"/>
      <c r="W66" s="463">
        <v>1500</v>
      </c>
      <c r="X66" s="478">
        <f t="shared" si="1"/>
        <v>34688</v>
      </c>
      <c r="Y66" s="466"/>
    </row>
    <row r="67" spans="1:25" ht="12" customHeight="1">
      <c r="A67" s="723"/>
      <c r="B67" s="462" t="s">
        <v>259</v>
      </c>
      <c r="C67" s="463">
        <v>1357</v>
      </c>
      <c r="D67" s="463"/>
      <c r="E67" s="463">
        <v>6611</v>
      </c>
      <c r="F67" s="463">
        <v>333</v>
      </c>
      <c r="G67" s="463"/>
      <c r="H67" s="463"/>
      <c r="I67" s="463"/>
      <c r="J67" s="463"/>
      <c r="K67" s="463"/>
      <c r="L67" s="463">
        <v>845</v>
      </c>
      <c r="M67" s="463"/>
      <c r="N67" s="478">
        <f t="shared" si="0"/>
        <v>9146</v>
      </c>
      <c r="O67" s="723"/>
      <c r="P67" s="462" t="s">
        <v>259</v>
      </c>
      <c r="Q67" s="465">
        <v>19076</v>
      </c>
      <c r="R67" s="465">
        <v>5728</v>
      </c>
      <c r="S67" s="463">
        <v>13125</v>
      </c>
      <c r="T67" s="463"/>
      <c r="U67" s="463"/>
      <c r="V67" s="463"/>
      <c r="W67" s="463">
        <v>1500</v>
      </c>
      <c r="X67" s="478">
        <f t="shared" si="1"/>
        <v>39429</v>
      </c>
      <c r="Y67" s="466"/>
    </row>
    <row r="68" spans="1:25" s="468" customFormat="1" ht="12" customHeight="1">
      <c r="A68" s="725" t="s">
        <v>750</v>
      </c>
      <c r="B68" s="469" t="s">
        <v>352</v>
      </c>
      <c r="C68" s="464">
        <f aca="true" t="shared" si="13" ref="C68:N68">SUM(C4+C7+C10+C13+C16+C19+C22+C25+C28+C31+C42+C53+C56+C59+C62+C65)</f>
        <v>99250</v>
      </c>
      <c r="D68" s="464">
        <f t="shared" si="13"/>
        <v>73127</v>
      </c>
      <c r="E68" s="464">
        <f t="shared" si="13"/>
        <v>18998</v>
      </c>
      <c r="F68" s="464">
        <f t="shared" si="13"/>
        <v>0</v>
      </c>
      <c r="G68" s="464">
        <f t="shared" si="13"/>
        <v>0</v>
      </c>
      <c r="H68" s="464">
        <f t="shared" si="13"/>
        <v>0</v>
      </c>
      <c r="I68" s="464">
        <f t="shared" si="13"/>
        <v>0</v>
      </c>
      <c r="J68" s="464">
        <f t="shared" si="13"/>
        <v>0</v>
      </c>
      <c r="K68" s="464">
        <f t="shared" si="13"/>
        <v>0</v>
      </c>
      <c r="L68" s="464">
        <f t="shared" si="13"/>
        <v>0</v>
      </c>
      <c r="M68" s="464">
        <f t="shared" si="13"/>
        <v>0</v>
      </c>
      <c r="N68" s="478">
        <f t="shared" si="13"/>
        <v>118248</v>
      </c>
      <c r="O68" s="725" t="s">
        <v>750</v>
      </c>
      <c r="P68" s="469" t="s">
        <v>352</v>
      </c>
      <c r="Q68" s="464">
        <f aca="true" t="shared" si="14" ref="Q68:W69">SUM(Q4+Q7+Q10+Q13+Q16+Q19+Q22+Q25+Q28+Q31+Q42+Q53+Q56+Q59+Q62+Q65)</f>
        <v>875822</v>
      </c>
      <c r="R68" s="464">
        <f t="shared" si="14"/>
        <v>276044</v>
      </c>
      <c r="S68" s="464">
        <f t="shared" si="14"/>
        <v>357163</v>
      </c>
      <c r="T68" s="464">
        <f t="shared" si="14"/>
        <v>138331</v>
      </c>
      <c r="U68" s="464">
        <f t="shared" si="14"/>
        <v>8883</v>
      </c>
      <c r="V68" s="464">
        <f t="shared" si="14"/>
        <v>3030</v>
      </c>
      <c r="W68" s="464">
        <f t="shared" si="14"/>
        <v>41850</v>
      </c>
      <c r="X68" s="478">
        <f>SUM(Q68:W68)-T68</f>
        <v>1562792</v>
      </c>
      <c r="Y68" s="466"/>
    </row>
    <row r="69" spans="1:25" s="470" customFormat="1" ht="12" customHeight="1">
      <c r="A69" s="726"/>
      <c r="B69" s="480" t="s">
        <v>59</v>
      </c>
      <c r="C69" s="464">
        <f aca="true" t="shared" si="15" ref="C69:M69">SUM(C5+C8+C11+C14+C17+C20+C23+C26+C29+C32+C43+C54+C57+C60+C63+C66)</f>
        <v>101264</v>
      </c>
      <c r="D69" s="464">
        <f t="shared" si="15"/>
        <v>73127</v>
      </c>
      <c r="E69" s="464">
        <f t="shared" si="15"/>
        <v>18998</v>
      </c>
      <c r="F69" s="464">
        <f t="shared" si="15"/>
        <v>0</v>
      </c>
      <c r="G69" s="464">
        <f t="shared" si="15"/>
        <v>6228</v>
      </c>
      <c r="H69" s="464">
        <f t="shared" si="15"/>
        <v>9100</v>
      </c>
      <c r="I69" s="464">
        <f t="shared" si="15"/>
        <v>11613</v>
      </c>
      <c r="J69" s="464">
        <f t="shared" si="15"/>
        <v>0</v>
      </c>
      <c r="K69" s="464">
        <f t="shared" si="15"/>
        <v>0</v>
      </c>
      <c r="L69" s="464">
        <f t="shared" si="15"/>
        <v>17607</v>
      </c>
      <c r="M69" s="464">
        <f t="shared" si="15"/>
        <v>0</v>
      </c>
      <c r="N69" s="478">
        <f>SUM(N5+N8+N11+N14+N17+N20+N23+N26+N29+N32+N43+N54+N57+N60+N63+N66)</f>
        <v>164810</v>
      </c>
      <c r="O69" s="726"/>
      <c r="P69" s="480" t="s">
        <v>59</v>
      </c>
      <c r="Q69" s="464">
        <f t="shared" si="14"/>
        <v>922064</v>
      </c>
      <c r="R69" s="464">
        <f t="shared" si="14"/>
        <v>290639</v>
      </c>
      <c r="S69" s="464">
        <f t="shared" si="14"/>
        <v>404684</v>
      </c>
      <c r="T69" s="464">
        <f t="shared" si="14"/>
        <v>138331</v>
      </c>
      <c r="U69" s="464">
        <f t="shared" si="14"/>
        <v>9603</v>
      </c>
      <c r="V69" s="464">
        <f t="shared" si="14"/>
        <v>20630</v>
      </c>
      <c r="W69" s="464">
        <f t="shared" si="14"/>
        <v>41550</v>
      </c>
      <c r="X69" s="478">
        <f>SUM(Q69:W69)-T69</f>
        <v>1689170</v>
      </c>
      <c r="Y69" s="466"/>
    </row>
    <row r="70" spans="1:24" s="471" customFormat="1" ht="11.25" thickBot="1">
      <c r="A70" s="731"/>
      <c r="B70" s="481" t="s">
        <v>259</v>
      </c>
      <c r="C70" s="522">
        <f>SUM(C6+C9+C12+C15+C18+C21+C24+C27+C30+C33+C44+C55+C58+C61+C64+C67)</f>
        <v>105970</v>
      </c>
      <c r="D70" s="522">
        <f aca="true" t="shared" si="16" ref="D70:M70">SUM(D6+D9+D12+D15+D18+D21+D24+D27+D30+D33+D44+D55+D58+D61+D64+D67)</f>
        <v>73127</v>
      </c>
      <c r="E70" s="522">
        <f t="shared" si="16"/>
        <v>24488</v>
      </c>
      <c r="F70" s="522">
        <f t="shared" si="16"/>
        <v>333</v>
      </c>
      <c r="G70" s="522">
        <f t="shared" si="16"/>
        <v>6947</v>
      </c>
      <c r="H70" s="522">
        <f t="shared" si="16"/>
        <v>9100</v>
      </c>
      <c r="I70" s="522">
        <f t="shared" si="16"/>
        <v>12833</v>
      </c>
      <c r="J70" s="522">
        <f t="shared" si="16"/>
        <v>0</v>
      </c>
      <c r="K70" s="522">
        <f t="shared" si="16"/>
        <v>1500</v>
      </c>
      <c r="L70" s="522">
        <f t="shared" si="16"/>
        <v>17607</v>
      </c>
      <c r="M70" s="522">
        <f t="shared" si="16"/>
        <v>0</v>
      </c>
      <c r="N70" s="524">
        <f>SUM(N6+N9+N12+N15+N18+N21+N24+N27+N30+N33+N44+N55+N58+N61+N64+N67)</f>
        <v>178778</v>
      </c>
      <c r="O70" s="731"/>
      <c r="P70" s="481" t="s">
        <v>259</v>
      </c>
      <c r="Q70" s="522">
        <f>SUM(Q6+Q9+Q12+Q15+Q18+Q21+Q24+Q27+Q30+Q33+Q44+Q55+Q58+Q61+Q64+Q67)</f>
        <v>924672</v>
      </c>
      <c r="R70" s="522">
        <f aca="true" t="shared" si="17" ref="R70:W70">SUM(R6+R9+R12+R15+R18+R21+R24+R27+R30+R33+R44+R55+R58+R61+R64+R67)</f>
        <v>284757</v>
      </c>
      <c r="S70" s="522">
        <f t="shared" si="17"/>
        <v>427168</v>
      </c>
      <c r="T70" s="522">
        <f t="shared" si="17"/>
        <v>138331</v>
      </c>
      <c r="U70" s="522">
        <f t="shared" si="17"/>
        <v>8529</v>
      </c>
      <c r="V70" s="522">
        <f t="shared" si="17"/>
        <v>28112</v>
      </c>
      <c r="W70" s="522">
        <f t="shared" si="17"/>
        <v>41670</v>
      </c>
      <c r="X70" s="523">
        <f>SUM(X6+X9+X12+X15+X18+X21+X24+X27+X30+X33+X44+X55+X58+X61+X64+X67)</f>
        <v>1714908</v>
      </c>
    </row>
    <row r="71" spans="1:25" s="470" customFormat="1" ht="12" thickTop="1">
      <c r="A71" s="472"/>
      <c r="B71" s="473"/>
      <c r="N71" s="474"/>
      <c r="O71" s="474"/>
      <c r="P71" s="474"/>
      <c r="Y71" s="466"/>
    </row>
    <row r="72" ht="11.25">
      <c r="S72" s="456"/>
    </row>
    <row r="73" spans="14:24" ht="11.25">
      <c r="N73" s="474"/>
      <c r="O73" s="474"/>
      <c r="P73" s="474"/>
      <c r="S73" s="456"/>
      <c r="X73" s="474"/>
    </row>
    <row r="74" ht="11.25">
      <c r="S74" s="456"/>
    </row>
    <row r="75" ht="11.25">
      <c r="S75" s="456"/>
    </row>
    <row r="76" ht="11.25">
      <c r="S76" s="456"/>
    </row>
    <row r="77" ht="11.25">
      <c r="S77" s="456"/>
    </row>
    <row r="78" ht="11.25">
      <c r="S78" s="456"/>
    </row>
    <row r="79" ht="11.25">
      <c r="S79" s="456"/>
    </row>
    <row r="80" ht="11.25">
      <c r="S80" s="456"/>
    </row>
  </sheetData>
  <mergeCells count="74">
    <mergeCell ref="O68:O70"/>
    <mergeCell ref="O40:O41"/>
    <mergeCell ref="O42:O44"/>
    <mergeCell ref="O47:O49"/>
    <mergeCell ref="O50:O52"/>
    <mergeCell ref="O53:O55"/>
    <mergeCell ref="O56:O58"/>
    <mergeCell ref="O59:O61"/>
    <mergeCell ref="O62:O64"/>
    <mergeCell ref="O65:O67"/>
    <mergeCell ref="A65:A67"/>
    <mergeCell ref="A68:A70"/>
    <mergeCell ref="O4:O6"/>
    <mergeCell ref="O7:O9"/>
    <mergeCell ref="O10:O12"/>
    <mergeCell ref="O13:O15"/>
    <mergeCell ref="O16:O18"/>
    <mergeCell ref="O19:O21"/>
    <mergeCell ref="O22:O24"/>
    <mergeCell ref="O25:O27"/>
    <mergeCell ref="A1:N1"/>
    <mergeCell ref="A2:B3"/>
    <mergeCell ref="C2:C3"/>
    <mergeCell ref="D2:D3"/>
    <mergeCell ref="E2:E3"/>
    <mergeCell ref="F2:F3"/>
    <mergeCell ref="G2:H2"/>
    <mergeCell ref="I2:J2"/>
    <mergeCell ref="K2:K3"/>
    <mergeCell ref="X2:X3"/>
    <mergeCell ref="L2:M2"/>
    <mergeCell ref="N2:N3"/>
    <mergeCell ref="Q2:U2"/>
    <mergeCell ref="V2:W2"/>
    <mergeCell ref="O2:P3"/>
    <mergeCell ref="A4:A6"/>
    <mergeCell ref="A7:A9"/>
    <mergeCell ref="A22:A24"/>
    <mergeCell ref="A25:A27"/>
    <mergeCell ref="A10:A12"/>
    <mergeCell ref="A13:A15"/>
    <mergeCell ref="A16:A18"/>
    <mergeCell ref="A19:A21"/>
    <mergeCell ref="A28:A30"/>
    <mergeCell ref="A31:A33"/>
    <mergeCell ref="A34:A36"/>
    <mergeCell ref="A37:A39"/>
    <mergeCell ref="A40:A41"/>
    <mergeCell ref="A42:A44"/>
    <mergeCell ref="A47:A49"/>
    <mergeCell ref="A50:A52"/>
    <mergeCell ref="A53:A55"/>
    <mergeCell ref="A56:A58"/>
    <mergeCell ref="A59:A61"/>
    <mergeCell ref="A62:A64"/>
    <mergeCell ref="O28:O30"/>
    <mergeCell ref="O31:O33"/>
    <mergeCell ref="O34:O36"/>
    <mergeCell ref="O37:O39"/>
    <mergeCell ref="O1:X1"/>
    <mergeCell ref="A45:B46"/>
    <mergeCell ref="C45:C46"/>
    <mergeCell ref="D45:D46"/>
    <mergeCell ref="E45:E46"/>
    <mergeCell ref="F45:F46"/>
    <mergeCell ref="G45:H45"/>
    <mergeCell ref="I45:J45"/>
    <mergeCell ref="Q45:U45"/>
    <mergeCell ref="V45:W45"/>
    <mergeCell ref="X45:X46"/>
    <mergeCell ref="K45:K46"/>
    <mergeCell ref="L45:M45"/>
    <mergeCell ref="N45:N46"/>
    <mergeCell ref="O45:P46"/>
  </mergeCells>
  <printOptions horizontalCentered="1"/>
  <pageMargins left="0.2" right="0.24" top="0.27" bottom="0.21" header="0.21" footer="0.16"/>
  <pageSetup horizontalDpi="600" verticalDpi="600" orientation="landscape" paperSize="9" r:id="rId1"/>
  <colBreaks count="1" manualBreakCount="1">
    <brk id="1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123"/>
  <sheetViews>
    <sheetView zoomScaleSheetLayoutView="100" workbookViewId="0" topLeftCell="A37">
      <selection activeCell="A42" sqref="A42"/>
    </sheetView>
  </sheetViews>
  <sheetFormatPr defaultColWidth="9.00390625" defaultRowHeight="12.75"/>
  <cols>
    <col min="1" max="1" width="92.375" style="0" customWidth="1"/>
    <col min="2" max="7" width="11.00390625" style="0" customWidth="1"/>
  </cols>
  <sheetData>
    <row r="1" spans="1:3" ht="12.75">
      <c r="A1" s="231" t="s">
        <v>134</v>
      </c>
      <c r="B1" s="205"/>
      <c r="C1" s="205"/>
    </row>
    <row r="2" spans="1:3" ht="12.75">
      <c r="A2" s="231"/>
      <c r="B2" s="205"/>
      <c r="C2" s="205"/>
    </row>
    <row r="3" spans="1:7" ht="15.75">
      <c r="A3" s="732" t="s">
        <v>538</v>
      </c>
      <c r="B3" s="732"/>
      <c r="C3" s="732"/>
      <c r="D3" s="732"/>
      <c r="E3" s="732"/>
      <c r="F3" s="732"/>
      <c r="G3" s="732"/>
    </row>
    <row r="4" spans="1:7" ht="15.75">
      <c r="A4" s="733" t="s">
        <v>102</v>
      </c>
      <c r="B4" s="733"/>
      <c r="C4" s="733"/>
      <c r="D4" s="733"/>
      <c r="E4" s="733"/>
      <c r="F4" s="733"/>
      <c r="G4" s="733"/>
    </row>
    <row r="5" spans="1:3" ht="16.5" thickBot="1">
      <c r="A5" s="232"/>
      <c r="B5" s="233"/>
      <c r="C5" s="205"/>
    </row>
    <row r="6" spans="1:7" s="316" customFormat="1" ht="13.5" thickTop="1">
      <c r="A6" s="313"/>
      <c r="B6" s="282" t="s">
        <v>352</v>
      </c>
      <c r="C6" s="282" t="s">
        <v>564</v>
      </c>
      <c r="D6" s="282" t="s">
        <v>59</v>
      </c>
      <c r="E6" s="282" t="s">
        <v>564</v>
      </c>
      <c r="F6" s="525" t="s">
        <v>259</v>
      </c>
      <c r="G6" s="345" t="s">
        <v>564</v>
      </c>
    </row>
    <row r="7" spans="1:7" s="281" customFormat="1" ht="13.5">
      <c r="A7" s="320" t="s">
        <v>483</v>
      </c>
      <c r="B7" s="321">
        <v>182906</v>
      </c>
      <c r="C7" s="321">
        <v>19100</v>
      </c>
      <c r="D7" s="322">
        <f>SUM(D11,D16,D55,D68)</f>
        <v>339223</v>
      </c>
      <c r="E7" s="322">
        <f>SUM(E11,E16,E55,E68)</f>
        <v>19100</v>
      </c>
      <c r="F7" s="526">
        <f>SUM(F11,F16,F55,F68)</f>
        <v>395634</v>
      </c>
      <c r="G7" s="283">
        <f>SUM(G11,G16,G55,G68)</f>
        <v>19100</v>
      </c>
    </row>
    <row r="8" spans="1:7" s="316" customFormat="1" ht="13.5">
      <c r="A8" s="324"/>
      <c r="B8" s="321"/>
      <c r="C8" s="332"/>
      <c r="D8" s="319"/>
      <c r="E8" s="319"/>
      <c r="F8" s="527"/>
      <c r="G8" s="503"/>
    </row>
    <row r="9" spans="1:7" s="316" customFormat="1" ht="12.75">
      <c r="A9" s="326" t="s">
        <v>583</v>
      </c>
      <c r="B9" s="319"/>
      <c r="C9" s="332"/>
      <c r="D9" s="319"/>
      <c r="E9" s="319"/>
      <c r="F9" s="527"/>
      <c r="G9" s="503"/>
    </row>
    <row r="10" spans="1:7" s="316" customFormat="1" ht="12.75">
      <c r="A10" s="327" t="s">
        <v>605</v>
      </c>
      <c r="B10" s="319">
        <v>25256</v>
      </c>
      <c r="C10" s="332"/>
      <c r="D10" s="319">
        <f>25256+19597</f>
        <v>44853</v>
      </c>
      <c r="E10" s="319"/>
      <c r="F10" s="527">
        <v>44853</v>
      </c>
      <c r="G10" s="503"/>
    </row>
    <row r="11" spans="1:7" s="329" customFormat="1" ht="12.75">
      <c r="A11" s="326" t="s">
        <v>425</v>
      </c>
      <c r="B11" s="297">
        <v>25256</v>
      </c>
      <c r="C11" s="297">
        <v>0</v>
      </c>
      <c r="D11" s="297">
        <f>SUM(D10)</f>
        <v>44853</v>
      </c>
      <c r="E11" s="297">
        <f>SUM(E10)</f>
        <v>0</v>
      </c>
      <c r="F11" s="528">
        <f>SUM(F10)</f>
        <v>44853</v>
      </c>
      <c r="G11" s="277">
        <f>SUM(G10)</f>
        <v>0</v>
      </c>
    </row>
    <row r="12" spans="1:7" s="316" customFormat="1" ht="12.75">
      <c r="A12" s="327"/>
      <c r="B12" s="319"/>
      <c r="C12" s="332"/>
      <c r="D12" s="319"/>
      <c r="E12" s="319"/>
      <c r="F12" s="527"/>
      <c r="G12" s="503"/>
    </row>
    <row r="13" spans="1:7" s="316" customFormat="1" ht="12.75">
      <c r="A13" s="326" t="s">
        <v>582</v>
      </c>
      <c r="B13" s="319"/>
      <c r="C13" s="332"/>
      <c r="D13" s="319"/>
      <c r="E13" s="319"/>
      <c r="F13" s="527"/>
      <c r="G13" s="503"/>
    </row>
    <row r="14" spans="1:7" s="316" customFormat="1" ht="12.75">
      <c r="A14" s="327" t="s">
        <v>606</v>
      </c>
      <c r="B14" s="319">
        <v>10390</v>
      </c>
      <c r="C14" s="332"/>
      <c r="D14" s="319">
        <f>10390</f>
        <v>10390</v>
      </c>
      <c r="E14" s="319"/>
      <c r="F14" s="527">
        <v>10390</v>
      </c>
      <c r="G14" s="503"/>
    </row>
    <row r="15" spans="1:7" s="316" customFormat="1" ht="12.75">
      <c r="A15" s="327" t="s">
        <v>671</v>
      </c>
      <c r="B15" s="319">
        <v>1869</v>
      </c>
      <c r="C15" s="332"/>
      <c r="D15" s="319">
        <v>1869</v>
      </c>
      <c r="E15" s="319"/>
      <c r="F15" s="527">
        <v>1869</v>
      </c>
      <c r="G15" s="503"/>
    </row>
    <row r="16" spans="1:7" s="329" customFormat="1" ht="12.75">
      <c r="A16" s="326" t="s">
        <v>425</v>
      </c>
      <c r="B16" s="297">
        <v>12259</v>
      </c>
      <c r="C16" s="297">
        <v>0</v>
      </c>
      <c r="D16" s="297">
        <f>SUM(D14:D15)</f>
        <v>12259</v>
      </c>
      <c r="E16" s="297">
        <f>SUM(E14:E15)</f>
        <v>0</v>
      </c>
      <c r="F16" s="528">
        <f>SUM(F14:F15)</f>
        <v>12259</v>
      </c>
      <c r="G16" s="277">
        <f>SUM(G14:G15)</f>
        <v>0</v>
      </c>
    </row>
    <row r="17" spans="1:7" s="316" customFormat="1" ht="12.75">
      <c r="A17" s="327"/>
      <c r="B17" s="319"/>
      <c r="C17" s="332"/>
      <c r="D17" s="319"/>
      <c r="E17" s="319"/>
      <c r="F17" s="527"/>
      <c r="G17" s="503"/>
    </row>
    <row r="18" spans="1:7" s="316" customFormat="1" ht="12.75">
      <c r="A18" s="326" t="s">
        <v>584</v>
      </c>
      <c r="B18" s="319"/>
      <c r="C18" s="332"/>
      <c r="D18" s="319"/>
      <c r="E18" s="319"/>
      <c r="F18" s="527"/>
      <c r="G18" s="503"/>
    </row>
    <row r="19" spans="1:7" s="316" customFormat="1" ht="12.75">
      <c r="A19" s="330" t="s">
        <v>625</v>
      </c>
      <c r="B19" s="319">
        <v>10000</v>
      </c>
      <c r="C19" s="332"/>
      <c r="D19" s="319">
        <v>10337</v>
      </c>
      <c r="E19" s="319"/>
      <c r="F19" s="527">
        <v>10337</v>
      </c>
      <c r="G19" s="503"/>
    </row>
    <row r="20" spans="1:7" s="316" customFormat="1" ht="12.75">
      <c r="A20" s="330" t="s">
        <v>623</v>
      </c>
      <c r="B20" s="328">
        <v>5000</v>
      </c>
      <c r="C20" s="332"/>
      <c r="D20" s="319">
        <v>5000</v>
      </c>
      <c r="E20" s="319"/>
      <c r="F20" s="527">
        <v>5000</v>
      </c>
      <c r="G20" s="503"/>
    </row>
    <row r="21" spans="1:7" s="316" customFormat="1" ht="12.75">
      <c r="A21" s="330" t="s">
        <v>624</v>
      </c>
      <c r="B21" s="328">
        <v>900</v>
      </c>
      <c r="C21" s="332"/>
      <c r="D21" s="319">
        <v>900</v>
      </c>
      <c r="E21" s="319"/>
      <c r="F21" s="527">
        <v>0</v>
      </c>
      <c r="G21" s="503"/>
    </row>
    <row r="22" spans="1:7" s="316" customFormat="1" ht="12.75">
      <c r="A22" s="330" t="s">
        <v>626</v>
      </c>
      <c r="B22" s="328">
        <v>3600</v>
      </c>
      <c r="C22" s="332">
        <v>3600</v>
      </c>
      <c r="D22" s="319">
        <v>3600</v>
      </c>
      <c r="E22" s="319">
        <v>3600</v>
      </c>
      <c r="F22" s="527">
        <v>3600</v>
      </c>
      <c r="G22" s="503">
        <v>3600</v>
      </c>
    </row>
    <row r="23" spans="1:7" s="316" customFormat="1" ht="12.75">
      <c r="A23" s="330" t="s">
        <v>627</v>
      </c>
      <c r="B23" s="328">
        <v>1200</v>
      </c>
      <c r="C23" s="332"/>
      <c r="D23" s="319">
        <v>1200</v>
      </c>
      <c r="E23" s="319"/>
      <c r="F23" s="527">
        <v>1200</v>
      </c>
      <c r="G23" s="503"/>
    </row>
    <row r="24" spans="1:7" s="316" customFormat="1" ht="12.75">
      <c r="A24" s="327" t="s">
        <v>628</v>
      </c>
      <c r="B24" s="319">
        <v>2400</v>
      </c>
      <c r="C24" s="332"/>
      <c r="D24" s="319">
        <v>2400</v>
      </c>
      <c r="E24" s="319"/>
      <c r="F24" s="527">
        <v>2400</v>
      </c>
      <c r="G24" s="503"/>
    </row>
    <row r="25" spans="1:7" s="316" customFormat="1" ht="12.75">
      <c r="A25" s="327" t="s">
        <v>629</v>
      </c>
      <c r="B25" s="319">
        <v>5791</v>
      </c>
      <c r="C25" s="332"/>
      <c r="D25" s="319">
        <v>5791</v>
      </c>
      <c r="E25" s="319"/>
      <c r="F25" s="527">
        <v>5791</v>
      </c>
      <c r="G25" s="503"/>
    </row>
    <row r="26" spans="1:7" s="316" customFormat="1" ht="12.75">
      <c r="A26" s="327" t="s">
        <v>585</v>
      </c>
      <c r="B26" s="319">
        <v>1500</v>
      </c>
      <c r="C26" s="332">
        <v>1500</v>
      </c>
      <c r="D26" s="319">
        <v>1500</v>
      </c>
      <c r="E26" s="319">
        <v>1500</v>
      </c>
      <c r="F26" s="527">
        <v>1500</v>
      </c>
      <c r="G26" s="503">
        <v>1500</v>
      </c>
    </row>
    <row r="27" spans="1:7" s="316" customFormat="1" ht="12.75">
      <c r="A27" s="327" t="s">
        <v>630</v>
      </c>
      <c r="B27" s="319">
        <v>5000</v>
      </c>
      <c r="C27" s="332"/>
      <c r="D27" s="319">
        <v>5000</v>
      </c>
      <c r="E27" s="319"/>
      <c r="F27" s="527">
        <v>5000</v>
      </c>
      <c r="G27" s="503"/>
    </row>
    <row r="28" spans="1:7" s="316" customFormat="1" ht="12.75">
      <c r="A28" s="327" t="s">
        <v>586</v>
      </c>
      <c r="B28" s="319">
        <v>32000</v>
      </c>
      <c r="C28" s="332">
        <v>14000</v>
      </c>
      <c r="D28" s="319">
        <v>31633</v>
      </c>
      <c r="E28" s="319">
        <v>14000</v>
      </c>
      <c r="F28" s="527">
        <v>31633</v>
      </c>
      <c r="G28" s="503">
        <v>14000</v>
      </c>
    </row>
    <row r="29" spans="1:7" s="316" customFormat="1" ht="12.75">
      <c r="A29" s="327" t="s">
        <v>540</v>
      </c>
      <c r="B29" s="319">
        <v>6000</v>
      </c>
      <c r="C29" s="332"/>
      <c r="D29" s="319">
        <v>6000</v>
      </c>
      <c r="E29" s="319"/>
      <c r="F29" s="527">
        <v>6000</v>
      </c>
      <c r="G29" s="503"/>
    </row>
    <row r="30" spans="1:7" s="316" customFormat="1" ht="12.75">
      <c r="A30" s="327" t="s">
        <v>541</v>
      </c>
      <c r="B30" s="319"/>
      <c r="C30" s="332"/>
      <c r="D30" s="319">
        <v>2000</v>
      </c>
      <c r="E30" s="319"/>
      <c r="F30" s="527">
        <v>2000</v>
      </c>
      <c r="G30" s="503"/>
    </row>
    <row r="31" spans="1:7" s="316" customFormat="1" ht="12.75">
      <c r="A31" s="327" t="s">
        <v>542</v>
      </c>
      <c r="B31" s="319"/>
      <c r="C31" s="332"/>
      <c r="D31" s="319">
        <f>625+1250</f>
        <v>1875</v>
      </c>
      <c r="E31" s="319"/>
      <c r="F31" s="527">
        <v>1875</v>
      </c>
      <c r="G31" s="503"/>
    </row>
    <row r="32" spans="1:7" s="316" customFormat="1" ht="12.75">
      <c r="A32" s="327" t="s">
        <v>543</v>
      </c>
      <c r="B32" s="319"/>
      <c r="C32" s="332"/>
      <c r="D32" s="319">
        <v>932</v>
      </c>
      <c r="E32" s="319"/>
      <c r="F32" s="527">
        <v>932</v>
      </c>
      <c r="G32" s="503"/>
    </row>
    <row r="33" spans="1:7" s="316" customFormat="1" ht="12.75">
      <c r="A33" s="327" t="s">
        <v>544</v>
      </c>
      <c r="B33" s="319"/>
      <c r="C33" s="332"/>
      <c r="D33" s="319">
        <v>4716</v>
      </c>
      <c r="E33" s="319"/>
      <c r="F33" s="527">
        <v>4716</v>
      </c>
      <c r="G33" s="503"/>
    </row>
    <row r="34" spans="1:7" s="316" customFormat="1" ht="12.75">
      <c r="A34" s="327" t="s">
        <v>545</v>
      </c>
      <c r="B34" s="319"/>
      <c r="C34" s="332"/>
      <c r="D34" s="319">
        <v>6100</v>
      </c>
      <c r="E34" s="319"/>
      <c r="F34" s="527">
        <v>6100</v>
      </c>
      <c r="G34" s="503"/>
    </row>
    <row r="35" spans="1:7" s="316" customFormat="1" ht="12.75">
      <c r="A35" s="327" t="s">
        <v>546</v>
      </c>
      <c r="B35" s="319"/>
      <c r="C35" s="332"/>
      <c r="D35" s="319">
        <v>6125</v>
      </c>
      <c r="E35" s="319"/>
      <c r="F35" s="527">
        <v>6125</v>
      </c>
      <c r="G35" s="503"/>
    </row>
    <row r="36" spans="1:7" s="316" customFormat="1" ht="12.75">
      <c r="A36" s="327" t="s">
        <v>547</v>
      </c>
      <c r="B36" s="319"/>
      <c r="C36" s="332"/>
      <c r="D36" s="319">
        <v>5721</v>
      </c>
      <c r="E36" s="319"/>
      <c r="F36" s="527">
        <v>5721</v>
      </c>
      <c r="G36" s="503"/>
    </row>
    <row r="37" spans="1:7" s="316" customFormat="1" ht="12.75">
      <c r="A37" s="327" t="s">
        <v>522</v>
      </c>
      <c r="B37" s="319"/>
      <c r="C37" s="332"/>
      <c r="D37" s="319">
        <v>5015</v>
      </c>
      <c r="E37" s="319"/>
      <c r="F37" s="527">
        <v>5015</v>
      </c>
      <c r="G37" s="503"/>
    </row>
    <row r="38" spans="1:7" s="316" customFormat="1" ht="12.75">
      <c r="A38" s="327" t="s">
        <v>157</v>
      </c>
      <c r="B38" s="319"/>
      <c r="C38" s="332"/>
      <c r="D38" s="319">
        <v>1830</v>
      </c>
      <c r="E38" s="319"/>
      <c r="F38" s="527">
        <v>1830</v>
      </c>
      <c r="G38" s="503"/>
    </row>
    <row r="39" spans="1:7" s="316" customFormat="1" ht="12.75">
      <c r="A39" s="327" t="s">
        <v>158</v>
      </c>
      <c r="B39" s="319"/>
      <c r="C39" s="332"/>
      <c r="D39" s="319"/>
      <c r="E39" s="319"/>
      <c r="F39" s="527">
        <v>490</v>
      </c>
      <c r="G39" s="503"/>
    </row>
    <row r="40" spans="1:7" s="316" customFormat="1" ht="12.75">
      <c r="A40" s="327" t="s">
        <v>159</v>
      </c>
      <c r="B40" s="319"/>
      <c r="C40" s="332"/>
      <c r="D40" s="319">
        <v>2160</v>
      </c>
      <c r="E40" s="319"/>
      <c r="F40" s="527">
        <v>2160</v>
      </c>
      <c r="G40" s="503"/>
    </row>
    <row r="41" spans="1:7" s="316" customFormat="1" ht="12.75">
      <c r="A41" s="327" t="s">
        <v>523</v>
      </c>
      <c r="B41" s="319"/>
      <c r="C41" s="332"/>
      <c r="D41" s="319">
        <v>507</v>
      </c>
      <c r="E41" s="319"/>
      <c r="F41" s="527">
        <v>507</v>
      </c>
      <c r="G41" s="503"/>
    </row>
    <row r="42" spans="1:7" s="316" customFormat="1" ht="12.75">
      <c r="A42" s="327" t="s">
        <v>524</v>
      </c>
      <c r="B42" s="319"/>
      <c r="C42" s="332"/>
      <c r="D42" s="319">
        <v>3500</v>
      </c>
      <c r="E42" s="319"/>
      <c r="F42" s="527">
        <v>3500</v>
      </c>
      <c r="G42" s="503"/>
    </row>
    <row r="43" spans="1:7" s="316" customFormat="1" ht="12.75">
      <c r="A43" s="327" t="s">
        <v>525</v>
      </c>
      <c r="B43" s="319"/>
      <c r="C43" s="332"/>
      <c r="D43" s="319">
        <v>1410</v>
      </c>
      <c r="E43" s="319"/>
      <c r="F43" s="527">
        <v>1410</v>
      </c>
      <c r="G43" s="503"/>
    </row>
    <row r="44" spans="1:7" s="316" customFormat="1" ht="12.75">
      <c r="A44" s="327" t="s">
        <v>526</v>
      </c>
      <c r="B44" s="319"/>
      <c r="C44" s="332"/>
      <c r="D44" s="319">
        <v>500</v>
      </c>
      <c r="E44" s="319"/>
      <c r="F44" s="527">
        <v>500</v>
      </c>
      <c r="G44" s="503"/>
    </row>
    <row r="45" spans="1:7" s="316" customFormat="1" ht="12.75">
      <c r="A45" s="327" t="s">
        <v>275</v>
      </c>
      <c r="B45" s="319"/>
      <c r="C45" s="332"/>
      <c r="D45" s="319"/>
      <c r="E45" s="319"/>
      <c r="F45" s="527"/>
      <c r="G45" s="503"/>
    </row>
    <row r="46" spans="1:7" s="316" customFormat="1" ht="12.75">
      <c r="A46" s="327" t="s">
        <v>276</v>
      </c>
      <c r="B46" s="319"/>
      <c r="C46" s="332"/>
      <c r="D46" s="319"/>
      <c r="E46" s="319"/>
      <c r="F46" s="527">
        <v>375</v>
      </c>
      <c r="G46" s="503"/>
    </row>
    <row r="47" spans="1:7" s="316" customFormat="1" ht="12.75">
      <c r="A47" s="327" t="s">
        <v>277</v>
      </c>
      <c r="B47" s="319"/>
      <c r="C47" s="332"/>
      <c r="D47" s="319"/>
      <c r="E47" s="319"/>
      <c r="F47" s="527">
        <v>300</v>
      </c>
      <c r="G47" s="503"/>
    </row>
    <row r="48" spans="1:7" s="316" customFormat="1" ht="12.75">
      <c r="A48" s="327" t="s">
        <v>278</v>
      </c>
      <c r="B48" s="319"/>
      <c r="C48" s="332"/>
      <c r="D48" s="319"/>
      <c r="E48" s="319"/>
      <c r="F48" s="527">
        <v>1246</v>
      </c>
      <c r="G48" s="503"/>
    </row>
    <row r="49" spans="1:7" s="316" customFormat="1" ht="12.75">
      <c r="A49" s="327" t="s">
        <v>279</v>
      </c>
      <c r="B49" s="319"/>
      <c r="C49" s="332"/>
      <c r="D49" s="319"/>
      <c r="E49" s="319"/>
      <c r="F49" s="527">
        <v>1000</v>
      </c>
      <c r="G49" s="503"/>
    </row>
    <row r="50" spans="1:7" s="316" customFormat="1" ht="12.75">
      <c r="A50" s="327" t="s">
        <v>280</v>
      </c>
      <c r="B50" s="319"/>
      <c r="C50" s="332"/>
      <c r="D50" s="319"/>
      <c r="E50" s="319"/>
      <c r="F50" s="527">
        <v>1823</v>
      </c>
      <c r="G50" s="503"/>
    </row>
    <row r="51" spans="1:7" s="316" customFormat="1" ht="12.75">
      <c r="A51" s="327" t="s">
        <v>281</v>
      </c>
      <c r="B51" s="319"/>
      <c r="C51" s="332"/>
      <c r="D51" s="319"/>
      <c r="E51" s="319"/>
      <c r="F51" s="527">
        <v>479</v>
      </c>
      <c r="G51" s="503"/>
    </row>
    <row r="52" spans="1:7" s="316" customFormat="1" ht="12.75">
      <c r="A52" s="327" t="s">
        <v>282</v>
      </c>
      <c r="B52" s="319"/>
      <c r="C52" s="332"/>
      <c r="D52" s="319"/>
      <c r="E52" s="319"/>
      <c r="F52" s="527">
        <v>722</v>
      </c>
      <c r="G52" s="503"/>
    </row>
    <row r="53" spans="1:7" s="316" customFormat="1" ht="12.75">
      <c r="A53" s="327" t="s">
        <v>283</v>
      </c>
      <c r="B53" s="319"/>
      <c r="C53" s="332"/>
      <c r="D53" s="319"/>
      <c r="E53" s="319"/>
      <c r="F53" s="527">
        <v>1020</v>
      </c>
      <c r="G53" s="503"/>
    </row>
    <row r="54" spans="1:7" s="316" customFormat="1" ht="12.75">
      <c r="A54" s="327" t="s">
        <v>295</v>
      </c>
      <c r="B54" s="319"/>
      <c r="C54" s="332"/>
      <c r="D54" s="319"/>
      <c r="E54" s="319"/>
      <c r="F54" s="527">
        <v>1656</v>
      </c>
      <c r="G54" s="503"/>
    </row>
    <row r="55" spans="1:9" s="329" customFormat="1" ht="13.5" thickBot="1">
      <c r="A55" s="348" t="s">
        <v>425</v>
      </c>
      <c r="B55" s="275">
        <v>113391</v>
      </c>
      <c r="C55" s="275">
        <v>19100</v>
      </c>
      <c r="D55" s="275">
        <f>SUM(D19:D44)</f>
        <v>115752</v>
      </c>
      <c r="E55" s="275">
        <f>SUM(E19:E36)</f>
        <v>19100</v>
      </c>
      <c r="F55" s="529">
        <f>SUM(F19:F54)</f>
        <v>123963</v>
      </c>
      <c r="G55" s="349">
        <f>SUM(G19:G36)</f>
        <v>19100</v>
      </c>
      <c r="I55" s="351"/>
    </row>
    <row r="56" spans="1:7" s="316" customFormat="1" ht="13.5" thickTop="1">
      <c r="A56" s="505"/>
      <c r="B56" s="282" t="s">
        <v>352</v>
      </c>
      <c r="C56" s="282" t="s">
        <v>564</v>
      </c>
      <c r="D56" s="282" t="s">
        <v>59</v>
      </c>
      <c r="E56" s="282" t="s">
        <v>564</v>
      </c>
      <c r="F56" s="525" t="s">
        <v>259</v>
      </c>
      <c r="G56" s="345" t="s">
        <v>564</v>
      </c>
    </row>
    <row r="57" spans="1:7" s="316" customFormat="1" ht="12.75">
      <c r="A57" s="326" t="s">
        <v>587</v>
      </c>
      <c r="B57" s="319"/>
      <c r="C57" s="332"/>
      <c r="D57" s="319"/>
      <c r="E57" s="319"/>
      <c r="F57" s="527"/>
      <c r="G57" s="503"/>
    </row>
    <row r="58" spans="1:7" s="316" customFormat="1" ht="12.75">
      <c r="A58" s="327" t="s">
        <v>607</v>
      </c>
      <c r="B58" s="319">
        <v>32000</v>
      </c>
      <c r="C58" s="332"/>
      <c r="D58" s="319">
        <v>32000</v>
      </c>
      <c r="E58" s="319"/>
      <c r="F58" s="527">
        <v>32000</v>
      </c>
      <c r="G58" s="503"/>
    </row>
    <row r="59" spans="1:7" s="316" customFormat="1" ht="12.75">
      <c r="A59" s="327" t="s">
        <v>646</v>
      </c>
      <c r="B59" s="319">
        <v>15000</v>
      </c>
      <c r="C59" s="332"/>
      <c r="D59" s="319">
        <v>15000</v>
      </c>
      <c r="E59" s="319"/>
      <c r="F59" s="527">
        <v>15000</v>
      </c>
      <c r="G59" s="503"/>
    </row>
    <row r="60" spans="1:7" s="316" customFormat="1" ht="12.75">
      <c r="A60" s="327" t="s">
        <v>539</v>
      </c>
      <c r="B60" s="319">
        <v>25000</v>
      </c>
      <c r="C60" s="332"/>
      <c r="D60" s="319">
        <v>25000</v>
      </c>
      <c r="E60" s="319"/>
      <c r="F60" s="527">
        <v>25000</v>
      </c>
      <c r="G60" s="503"/>
    </row>
    <row r="61" spans="1:7" s="316" customFormat="1" ht="12.75">
      <c r="A61" s="327" t="s">
        <v>7</v>
      </c>
      <c r="B61" s="319"/>
      <c r="C61" s="332"/>
      <c r="D61" s="319">
        <v>23300</v>
      </c>
      <c r="E61" s="319"/>
      <c r="F61" s="527">
        <v>23300</v>
      </c>
      <c r="G61" s="503"/>
    </row>
    <row r="62" spans="1:7" s="316" customFormat="1" ht="12.75">
      <c r="A62" s="327" t="s">
        <v>527</v>
      </c>
      <c r="B62" s="319"/>
      <c r="C62" s="332"/>
      <c r="D62" s="319">
        <v>239</v>
      </c>
      <c r="E62" s="319"/>
      <c r="F62" s="527">
        <v>239</v>
      </c>
      <c r="G62" s="503"/>
    </row>
    <row r="63" spans="1:7" s="316" customFormat="1" ht="12.75">
      <c r="A63" s="327" t="s">
        <v>528</v>
      </c>
      <c r="B63" s="319"/>
      <c r="C63" s="332"/>
      <c r="D63" s="319">
        <v>1029</v>
      </c>
      <c r="E63" s="319"/>
      <c r="F63" s="527">
        <v>1029</v>
      </c>
      <c r="G63" s="503"/>
    </row>
    <row r="64" spans="1:7" s="316" customFormat="1" ht="12.75">
      <c r="A64" s="327" t="s">
        <v>529</v>
      </c>
      <c r="B64" s="319"/>
      <c r="C64" s="332"/>
      <c r="D64" s="319">
        <v>69791</v>
      </c>
      <c r="E64" s="319"/>
      <c r="F64" s="527">
        <v>69791</v>
      </c>
      <c r="G64" s="503"/>
    </row>
    <row r="65" spans="1:7" s="316" customFormat="1" ht="12.75">
      <c r="A65" s="327" t="s">
        <v>6</v>
      </c>
      <c r="B65" s="319"/>
      <c r="C65" s="332"/>
      <c r="D65" s="319">
        <v>30000</v>
      </c>
      <c r="E65" s="319"/>
      <c r="F65" s="527">
        <v>30000</v>
      </c>
      <c r="G65" s="503"/>
    </row>
    <row r="66" spans="1:7" s="316" customFormat="1" ht="12.75">
      <c r="A66" s="327" t="s">
        <v>296</v>
      </c>
      <c r="B66" s="319"/>
      <c r="C66" s="332"/>
      <c r="D66" s="319"/>
      <c r="E66" s="319"/>
      <c r="F66" s="527">
        <v>16000</v>
      </c>
      <c r="G66" s="503"/>
    </row>
    <row r="67" spans="1:7" s="316" customFormat="1" ht="12.75">
      <c r="A67" s="327" t="s">
        <v>297</v>
      </c>
      <c r="B67" s="319"/>
      <c r="C67" s="332"/>
      <c r="D67" s="319"/>
      <c r="E67" s="319"/>
      <c r="F67" s="527">
        <v>2200</v>
      </c>
      <c r="G67" s="503"/>
    </row>
    <row r="68" spans="1:7" s="329" customFormat="1" ht="12.75">
      <c r="A68" s="326" t="s">
        <v>425</v>
      </c>
      <c r="B68" s="297">
        <v>32000</v>
      </c>
      <c r="C68" s="297">
        <v>0</v>
      </c>
      <c r="D68" s="297">
        <f>SUM(D58:D64)</f>
        <v>166359</v>
      </c>
      <c r="E68" s="297">
        <f>SUM(E58:E64)</f>
        <v>0</v>
      </c>
      <c r="F68" s="528">
        <f>SUM(F58:F67)</f>
        <v>214559</v>
      </c>
      <c r="G68" s="277">
        <f>SUM(G58:G64)</f>
        <v>0</v>
      </c>
    </row>
    <row r="69" spans="1:7" s="316" customFormat="1" ht="12.75">
      <c r="A69" s="333"/>
      <c r="B69" s="334"/>
      <c r="C69" s="335"/>
      <c r="D69" s="334"/>
      <c r="E69" s="334"/>
      <c r="F69" s="532"/>
      <c r="G69" s="504"/>
    </row>
    <row r="70" spans="1:7" s="281" customFormat="1" ht="13.5">
      <c r="A70" s="274" t="s">
        <v>346</v>
      </c>
      <c r="B70" s="322"/>
      <c r="C70" s="562"/>
      <c r="D70" s="322">
        <f>SUM(D71:D71)</f>
        <v>2471</v>
      </c>
      <c r="E70" s="322">
        <f>SUM(E71:E71)</f>
        <v>0</v>
      </c>
      <c r="F70" s="526">
        <f>SUM(F71:F71)</f>
        <v>9471</v>
      </c>
      <c r="G70" s="283">
        <f>SUM(G71:G71)</f>
        <v>0</v>
      </c>
    </row>
    <row r="71" spans="1:7" s="316" customFormat="1" ht="12.75">
      <c r="A71" s="327" t="s">
        <v>298</v>
      </c>
      <c r="B71" s="319"/>
      <c r="C71" s="332"/>
      <c r="D71" s="319">
        <v>2471</v>
      </c>
      <c r="E71" s="319"/>
      <c r="F71" s="527">
        <f>2471+7000</f>
        <v>9471</v>
      </c>
      <c r="G71" s="503"/>
    </row>
    <row r="72" spans="1:7" s="316" customFormat="1" ht="12.75">
      <c r="A72" s="327"/>
      <c r="B72" s="319"/>
      <c r="C72" s="332"/>
      <c r="D72" s="319"/>
      <c r="E72" s="319"/>
      <c r="F72" s="527"/>
      <c r="G72" s="503"/>
    </row>
    <row r="73" spans="1:7" s="281" customFormat="1" ht="13.5">
      <c r="A73" s="274" t="s">
        <v>379</v>
      </c>
      <c r="B73" s="322">
        <v>41850</v>
      </c>
      <c r="C73" s="322">
        <v>5900</v>
      </c>
      <c r="D73" s="322">
        <f>SUM(D74:D85)</f>
        <v>41550</v>
      </c>
      <c r="E73" s="322">
        <f>SUM(E74:E85)</f>
        <v>5900</v>
      </c>
      <c r="F73" s="526">
        <f>SUM(F74:F85)</f>
        <v>41670</v>
      </c>
      <c r="G73" s="283">
        <f>SUM(G74:G85)</f>
        <v>5900</v>
      </c>
    </row>
    <row r="74" spans="1:7" s="316" customFormat="1" ht="12.75">
      <c r="A74" s="330" t="s">
        <v>299</v>
      </c>
      <c r="B74" s="319">
        <v>5000</v>
      </c>
      <c r="C74" s="332"/>
      <c r="D74" s="319">
        <v>5000</v>
      </c>
      <c r="E74" s="319"/>
      <c r="F74" s="527">
        <v>5338</v>
      </c>
      <c r="G74" s="503"/>
    </row>
    <row r="75" spans="1:7" s="316" customFormat="1" ht="12.75">
      <c r="A75" s="330" t="s">
        <v>647</v>
      </c>
      <c r="B75" s="319">
        <v>1100</v>
      </c>
      <c r="C75" s="332"/>
      <c r="D75" s="319">
        <v>1100</v>
      </c>
      <c r="E75" s="319"/>
      <c r="F75" s="527">
        <v>1220</v>
      </c>
      <c r="G75" s="503"/>
    </row>
    <row r="76" spans="1:7" s="316" customFormat="1" ht="25.5">
      <c r="A76" s="346" t="s">
        <v>300</v>
      </c>
      <c r="B76" s="347">
        <v>6250</v>
      </c>
      <c r="C76" s="332"/>
      <c r="D76" s="319">
        <v>6250</v>
      </c>
      <c r="E76" s="319"/>
      <c r="F76" s="527">
        <v>6169</v>
      </c>
      <c r="G76" s="503"/>
    </row>
    <row r="77" spans="1:7" s="316" customFormat="1" ht="12.75">
      <c r="A77" s="317" t="s">
        <v>301</v>
      </c>
      <c r="B77" s="347">
        <v>1200</v>
      </c>
      <c r="C77" s="332"/>
      <c r="D77" s="319">
        <v>1200</v>
      </c>
      <c r="E77" s="319"/>
      <c r="F77" s="527">
        <v>1112</v>
      </c>
      <c r="G77" s="503"/>
    </row>
    <row r="78" spans="1:7" s="316" customFormat="1" ht="12.75">
      <c r="A78" s="317" t="s">
        <v>302</v>
      </c>
      <c r="B78" s="347">
        <v>4500</v>
      </c>
      <c r="C78" s="332"/>
      <c r="D78" s="319">
        <v>4500</v>
      </c>
      <c r="E78" s="319"/>
      <c r="F78" s="527">
        <v>5070</v>
      </c>
      <c r="G78" s="503"/>
    </row>
    <row r="79" spans="1:7" s="316" customFormat="1" ht="12.75">
      <c r="A79" s="317" t="s">
        <v>303</v>
      </c>
      <c r="B79" s="347">
        <v>5100</v>
      </c>
      <c r="C79" s="332"/>
      <c r="D79" s="319">
        <v>5100</v>
      </c>
      <c r="E79" s="319"/>
      <c r="F79" s="527">
        <v>5147</v>
      </c>
      <c r="G79" s="503"/>
    </row>
    <row r="80" spans="1:7" s="316" customFormat="1" ht="12.75">
      <c r="A80" s="317" t="s">
        <v>304</v>
      </c>
      <c r="B80" s="347">
        <v>4500</v>
      </c>
      <c r="C80" s="332"/>
      <c r="D80" s="319">
        <f>4500+2200</f>
        <v>6700</v>
      </c>
      <c r="E80" s="319"/>
      <c r="F80" s="527">
        <v>7211</v>
      </c>
      <c r="G80" s="503"/>
    </row>
    <row r="81" spans="1:7" s="316" customFormat="1" ht="12.75">
      <c r="A81" s="317" t="s">
        <v>588</v>
      </c>
      <c r="B81" s="347">
        <v>450</v>
      </c>
      <c r="C81" s="332"/>
      <c r="D81" s="319">
        <v>450</v>
      </c>
      <c r="E81" s="319"/>
      <c r="F81" s="527">
        <v>0</v>
      </c>
      <c r="G81" s="503"/>
    </row>
    <row r="82" spans="1:7" s="316" customFormat="1" ht="12.75">
      <c r="A82" s="317" t="s">
        <v>305</v>
      </c>
      <c r="B82" s="347">
        <v>9250</v>
      </c>
      <c r="C82" s="332">
        <v>4400</v>
      </c>
      <c r="D82" s="319">
        <v>9250</v>
      </c>
      <c r="E82" s="319">
        <v>4400</v>
      </c>
      <c r="F82" s="527">
        <v>8591</v>
      </c>
      <c r="G82" s="503">
        <v>4400</v>
      </c>
    </row>
    <row r="83" spans="1:7" s="316" customFormat="1" ht="12.75">
      <c r="A83" s="346" t="s">
        <v>648</v>
      </c>
      <c r="B83" s="347">
        <v>500</v>
      </c>
      <c r="C83" s="332"/>
      <c r="D83" s="319">
        <v>500</v>
      </c>
      <c r="E83" s="319"/>
      <c r="F83" s="527">
        <v>312</v>
      </c>
      <c r="G83" s="503"/>
    </row>
    <row r="84" spans="1:7" s="316" customFormat="1" ht="12.75">
      <c r="A84" s="346" t="s">
        <v>649</v>
      </c>
      <c r="B84" s="347">
        <v>2500</v>
      </c>
      <c r="C84" s="332"/>
      <c r="D84" s="319">
        <v>0</v>
      </c>
      <c r="E84" s="319"/>
      <c r="F84" s="527">
        <v>0</v>
      </c>
      <c r="G84" s="503"/>
    </row>
    <row r="85" spans="1:7" s="316" customFormat="1" ht="12.75">
      <c r="A85" s="346" t="s">
        <v>650</v>
      </c>
      <c r="B85" s="347">
        <v>1500</v>
      </c>
      <c r="C85" s="332">
        <v>1500</v>
      </c>
      <c r="D85" s="319">
        <v>1500</v>
      </c>
      <c r="E85" s="319">
        <v>1500</v>
      </c>
      <c r="F85" s="527">
        <v>1500</v>
      </c>
      <c r="G85" s="503">
        <v>1500</v>
      </c>
    </row>
    <row r="86" spans="1:7" s="316" customFormat="1" ht="12.75">
      <c r="A86" s="330"/>
      <c r="B86" s="319"/>
      <c r="C86" s="332"/>
      <c r="D86" s="319"/>
      <c r="E86" s="319"/>
      <c r="F86" s="527"/>
      <c r="G86" s="503"/>
    </row>
    <row r="87" spans="1:7" s="329" customFormat="1" ht="13.5" thickBot="1">
      <c r="A87" s="348" t="s">
        <v>380</v>
      </c>
      <c r="B87" s="275">
        <v>224756</v>
      </c>
      <c r="C87" s="275">
        <v>25000</v>
      </c>
      <c r="D87" s="275">
        <f>SUM(D73,D70,D7)</f>
        <v>383244</v>
      </c>
      <c r="E87" s="275">
        <f>SUM(E73,E70,E7)</f>
        <v>25000</v>
      </c>
      <c r="F87" s="529">
        <f>SUM(F73,F70,F7)</f>
        <v>446775</v>
      </c>
      <c r="G87" s="349">
        <f>SUM(G73,G70,G7)</f>
        <v>25000</v>
      </c>
    </row>
    <row r="88" spans="2:5" s="316" customFormat="1" ht="13.5" thickTop="1">
      <c r="B88" s="350"/>
      <c r="D88" s="344"/>
      <c r="E88" s="344"/>
    </row>
    <row r="89" spans="2:5" s="316" customFormat="1" ht="12.75">
      <c r="B89" s="350"/>
      <c r="D89" s="344"/>
      <c r="E89" s="344"/>
    </row>
    <row r="90" spans="2:5" s="316" customFormat="1" ht="12.75">
      <c r="B90" s="350"/>
      <c r="D90" s="344"/>
      <c r="E90" s="344"/>
    </row>
    <row r="91" spans="4:5" s="316" customFormat="1" ht="12.75">
      <c r="D91" s="344"/>
      <c r="E91" s="344"/>
    </row>
    <row r="92" spans="4:5" s="316" customFormat="1" ht="12.75">
      <c r="D92" s="344"/>
      <c r="E92" s="344"/>
    </row>
    <row r="93" spans="4:5" s="316" customFormat="1" ht="12.75">
      <c r="D93" s="344"/>
      <c r="E93" s="344"/>
    </row>
    <row r="94" spans="4:5" s="316" customFormat="1" ht="12.75">
      <c r="D94" s="344"/>
      <c r="E94" s="344"/>
    </row>
    <row r="95" spans="4:5" s="316" customFormat="1" ht="12.75">
      <c r="D95" s="344"/>
      <c r="E95" s="344"/>
    </row>
    <row r="96" spans="4:5" s="316" customFormat="1" ht="12.75">
      <c r="D96" s="344"/>
      <c r="E96" s="344"/>
    </row>
    <row r="97" spans="4:5" s="316" customFormat="1" ht="12.75">
      <c r="D97" s="344"/>
      <c r="E97" s="344"/>
    </row>
    <row r="98" spans="4:5" s="316" customFormat="1" ht="12.75">
      <c r="D98" s="344"/>
      <c r="E98" s="344"/>
    </row>
    <row r="99" spans="4:5" s="316" customFormat="1" ht="12.75">
      <c r="D99" s="344"/>
      <c r="E99" s="344"/>
    </row>
    <row r="100" spans="4:5" s="316" customFormat="1" ht="12.75">
      <c r="D100" s="344"/>
      <c r="E100" s="344"/>
    </row>
    <row r="101" spans="4:5" s="316" customFormat="1" ht="12.75">
      <c r="D101" s="344"/>
      <c r="E101" s="344"/>
    </row>
    <row r="102" spans="4:5" s="316" customFormat="1" ht="12.75">
      <c r="D102" s="344"/>
      <c r="E102" s="344"/>
    </row>
    <row r="103" spans="4:5" s="316" customFormat="1" ht="12.75">
      <c r="D103" s="344"/>
      <c r="E103" s="344"/>
    </row>
    <row r="104" spans="4:5" s="316" customFormat="1" ht="12.75">
      <c r="D104" s="344"/>
      <c r="E104" s="344"/>
    </row>
    <row r="105" spans="4:5" s="316" customFormat="1" ht="12.75">
      <c r="D105" s="344"/>
      <c r="E105" s="344"/>
    </row>
    <row r="106" spans="4:5" s="316" customFormat="1" ht="12.75">
      <c r="D106" s="344"/>
      <c r="E106" s="344"/>
    </row>
    <row r="107" spans="4:5" s="316" customFormat="1" ht="12.75">
      <c r="D107" s="344"/>
      <c r="E107" s="344"/>
    </row>
    <row r="108" spans="4:5" s="316" customFormat="1" ht="12.75">
      <c r="D108" s="344"/>
      <c r="E108" s="344"/>
    </row>
    <row r="109" spans="4:5" s="316" customFormat="1" ht="12.75">
      <c r="D109" s="344"/>
      <c r="E109" s="344"/>
    </row>
    <row r="110" spans="4:5" s="316" customFormat="1" ht="12.75">
      <c r="D110" s="344"/>
      <c r="E110" s="344"/>
    </row>
    <row r="111" spans="4:5" s="316" customFormat="1" ht="12.75">
      <c r="D111" s="344"/>
      <c r="E111" s="344"/>
    </row>
    <row r="112" spans="4:5" s="316" customFormat="1" ht="12.75">
      <c r="D112" s="344"/>
      <c r="E112" s="344"/>
    </row>
    <row r="113" spans="4:5" s="316" customFormat="1" ht="12.75">
      <c r="D113" s="344"/>
      <c r="E113" s="344"/>
    </row>
    <row r="114" spans="4:5" s="316" customFormat="1" ht="12.75">
      <c r="D114" s="344"/>
      <c r="E114" s="344"/>
    </row>
    <row r="115" spans="4:5" s="316" customFormat="1" ht="12.75">
      <c r="D115" s="344"/>
      <c r="E115" s="344"/>
    </row>
    <row r="116" spans="4:5" s="316" customFormat="1" ht="12.75">
      <c r="D116" s="344"/>
      <c r="E116" s="344"/>
    </row>
    <row r="117" spans="4:5" s="316" customFormat="1" ht="12.75">
      <c r="D117" s="344"/>
      <c r="E117" s="344"/>
    </row>
    <row r="118" spans="4:5" s="316" customFormat="1" ht="12.75">
      <c r="D118" s="344"/>
      <c r="E118" s="344"/>
    </row>
    <row r="119" spans="4:5" s="316" customFormat="1" ht="12.75">
      <c r="D119" s="344"/>
      <c r="E119" s="344"/>
    </row>
    <row r="120" spans="4:5" s="316" customFormat="1" ht="12.75">
      <c r="D120" s="344"/>
      <c r="E120" s="344"/>
    </row>
    <row r="121" spans="4:5" s="316" customFormat="1" ht="12.75">
      <c r="D121" s="344"/>
      <c r="E121" s="344"/>
    </row>
    <row r="122" spans="4:5" s="316" customFormat="1" ht="12.75">
      <c r="D122" s="344"/>
      <c r="E122" s="344"/>
    </row>
    <row r="123" spans="4:5" s="316" customFormat="1" ht="12.75">
      <c r="D123" s="344"/>
      <c r="E123" s="344"/>
    </row>
    <row r="124" s="316" customFormat="1" ht="12.75"/>
    <row r="125" s="316" customFormat="1" ht="12.75"/>
    <row r="126" s="316" customFormat="1" ht="12.75"/>
    <row r="127" s="316" customFormat="1" ht="12.75"/>
    <row r="128" s="316" customFormat="1" ht="12.75"/>
    <row r="129" s="316" customFormat="1" ht="12.75"/>
    <row r="130" s="316" customFormat="1" ht="12.75"/>
    <row r="131" s="316" customFormat="1" ht="12.75"/>
    <row r="132" s="316" customFormat="1" ht="12.75"/>
    <row r="133" s="316" customFormat="1" ht="12.75"/>
    <row r="134" s="316" customFormat="1" ht="12.75"/>
    <row r="135" s="316" customFormat="1" ht="12.75"/>
    <row r="136" s="316" customFormat="1" ht="12.75"/>
    <row r="137" s="316" customFormat="1" ht="12.75"/>
    <row r="138" s="316" customFormat="1" ht="12.75"/>
    <row r="139" s="316" customFormat="1" ht="12.75"/>
    <row r="140" s="316" customFormat="1" ht="12.75"/>
    <row r="141" s="316" customFormat="1" ht="12.75"/>
    <row r="142" s="316" customFormat="1" ht="12.75"/>
    <row r="143" s="316" customFormat="1" ht="12.75"/>
    <row r="144" s="316" customFormat="1" ht="12.75"/>
    <row r="145" s="316" customFormat="1" ht="12.75"/>
    <row r="146" s="316" customFormat="1" ht="12.75"/>
    <row r="147" s="316" customFormat="1" ht="12.75"/>
    <row r="148" s="316" customFormat="1" ht="12.75"/>
    <row r="149" s="316" customFormat="1" ht="12.75"/>
    <row r="150" s="316" customFormat="1" ht="12.75"/>
    <row r="151" s="316" customFormat="1" ht="12.75"/>
    <row r="152" s="316" customFormat="1" ht="12.75"/>
    <row r="153" s="316" customFormat="1" ht="12.75"/>
    <row r="154" s="316" customFormat="1" ht="12.75"/>
    <row r="155" s="316" customFormat="1" ht="12.75"/>
    <row r="156" s="316" customFormat="1" ht="12.75"/>
    <row r="157" s="316" customFormat="1" ht="12.75"/>
    <row r="158" s="316" customFormat="1" ht="12.75"/>
    <row r="159" s="316" customFormat="1" ht="12.75"/>
    <row r="160" s="316" customFormat="1" ht="12.75"/>
    <row r="161" s="316" customFormat="1" ht="12.75"/>
    <row r="162" s="316" customFormat="1" ht="12.75"/>
    <row r="163" s="316" customFormat="1" ht="12.75"/>
    <row r="164" s="316" customFormat="1" ht="12.75"/>
    <row r="165" s="316" customFormat="1" ht="12.75"/>
    <row r="166" s="316" customFormat="1" ht="12.75"/>
    <row r="167" s="316" customFormat="1" ht="12.75"/>
    <row r="168" s="316" customFormat="1" ht="12.75"/>
    <row r="169" s="316" customFormat="1" ht="12.75"/>
    <row r="170" s="316" customFormat="1" ht="12.75"/>
    <row r="171" s="316" customFormat="1" ht="12.75"/>
    <row r="172" s="316" customFormat="1" ht="12.75"/>
    <row r="173" s="316" customFormat="1" ht="12.75"/>
    <row r="174" s="316" customFormat="1" ht="12.75"/>
    <row r="175" s="316" customFormat="1" ht="12.75"/>
    <row r="176" s="316" customFormat="1" ht="12.75"/>
    <row r="177" s="316" customFormat="1" ht="12.75"/>
    <row r="178" s="316" customFormat="1" ht="12.75"/>
    <row r="179" s="316" customFormat="1" ht="12.75"/>
    <row r="180" s="316" customFormat="1" ht="12.75"/>
    <row r="181" s="316" customFormat="1" ht="12.75"/>
    <row r="182" s="316" customFormat="1" ht="12.75"/>
    <row r="183" s="316" customFormat="1" ht="12.75"/>
    <row r="184" s="316" customFormat="1" ht="12.75"/>
    <row r="185" s="316" customFormat="1" ht="12.75"/>
    <row r="186" s="316" customFormat="1" ht="12.75"/>
    <row r="187" s="316" customFormat="1" ht="12.75"/>
    <row r="188" s="316" customFormat="1" ht="12.75"/>
    <row r="189" s="316" customFormat="1" ht="12.75"/>
    <row r="190" s="316" customFormat="1" ht="12.75"/>
    <row r="191" s="316" customFormat="1" ht="12.75"/>
    <row r="192" s="316" customFormat="1" ht="12.75"/>
    <row r="193" s="316" customFormat="1" ht="12.75"/>
    <row r="194" s="316" customFormat="1" ht="12.75"/>
    <row r="195" s="316" customFormat="1" ht="12.75"/>
    <row r="196" s="316" customFormat="1" ht="12.75"/>
    <row r="197" s="316" customFormat="1" ht="12.75"/>
    <row r="198" s="316" customFormat="1" ht="12.75"/>
    <row r="199" s="316" customFormat="1" ht="12.75"/>
    <row r="200" s="316" customFormat="1" ht="12.75"/>
    <row r="201" s="316" customFormat="1" ht="12.75"/>
    <row r="202" s="316" customFormat="1" ht="12.75"/>
    <row r="203" s="316" customFormat="1" ht="12.75"/>
    <row r="204" s="316" customFormat="1" ht="12.75"/>
    <row r="205" s="316" customFormat="1" ht="12.75"/>
    <row r="206" s="316" customFormat="1" ht="12.75"/>
    <row r="207" s="316" customFormat="1" ht="12.75"/>
    <row r="208" s="316" customFormat="1" ht="12.75"/>
    <row r="209" s="316" customFormat="1" ht="12.75"/>
    <row r="210" s="316" customFormat="1" ht="12.75"/>
    <row r="211" s="316" customFormat="1" ht="12.75"/>
    <row r="212" s="316" customFormat="1" ht="12.75"/>
    <row r="213" s="316" customFormat="1" ht="12.75"/>
    <row r="214" s="316" customFormat="1" ht="12.75"/>
    <row r="215" s="316" customFormat="1" ht="12.75"/>
    <row r="216" s="316" customFormat="1" ht="12.75"/>
    <row r="217" s="316" customFormat="1" ht="12.75"/>
    <row r="218" s="316" customFormat="1" ht="12.75"/>
    <row r="219" s="316" customFormat="1" ht="12.75"/>
    <row r="220" s="316" customFormat="1" ht="12.75"/>
    <row r="221" s="316" customFormat="1" ht="12.75"/>
    <row r="222" s="316" customFormat="1" ht="12.75"/>
    <row r="223" s="316" customFormat="1" ht="12.75"/>
    <row r="224" s="316" customFormat="1" ht="12.75"/>
    <row r="225" s="316" customFormat="1" ht="12.75"/>
    <row r="226" s="316" customFormat="1" ht="12.75"/>
    <row r="227" s="316" customFormat="1" ht="12.75"/>
    <row r="228" s="316" customFormat="1" ht="12.75"/>
    <row r="229" s="316" customFormat="1" ht="12.75"/>
    <row r="230" s="316" customFormat="1" ht="12.75"/>
  </sheetData>
  <mergeCells count="2">
    <mergeCell ref="A3:G3"/>
    <mergeCell ref="A4:G4"/>
  </mergeCells>
  <printOptions horizontalCentered="1"/>
  <pageMargins left="0.2362204724409449" right="0.2362204724409449" top="0.41" bottom="0.19" header="0.26" footer="0.17"/>
  <pageSetup horizontalDpi="600" verticalDpi="600" orientation="landscape" paperSize="9" scale="77" r:id="rId1"/>
  <rowBreaks count="1" manualBreakCount="1">
    <brk id="5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72"/>
  <sheetViews>
    <sheetView zoomScaleSheetLayoutView="100" workbookViewId="0" topLeftCell="B92">
      <selection activeCell="I111" sqref="I111"/>
    </sheetView>
  </sheetViews>
  <sheetFormatPr defaultColWidth="9.00390625" defaultRowHeight="12.75"/>
  <cols>
    <col min="1" max="1" width="112.25390625" style="0" customWidth="1"/>
    <col min="2" max="3" width="10.75390625" style="0" customWidth="1"/>
    <col min="4" max="5" width="10.75390625" style="270" customWidth="1"/>
    <col min="6" max="7" width="10.75390625" style="0" customWidth="1"/>
  </cols>
  <sheetData>
    <row r="1" spans="1:3" ht="12.75">
      <c r="A1" s="231" t="s">
        <v>135</v>
      </c>
      <c r="B1" s="205"/>
      <c r="C1" s="205"/>
    </row>
    <row r="3" spans="1:7" ht="15.75">
      <c r="A3" s="732" t="s">
        <v>66</v>
      </c>
      <c r="B3" s="732"/>
      <c r="C3" s="732"/>
      <c r="D3" s="732"/>
      <c r="E3" s="732"/>
      <c r="F3" s="732"/>
      <c r="G3" s="732"/>
    </row>
    <row r="4" spans="1:7" ht="15.75">
      <c r="A4" s="734" t="s">
        <v>76</v>
      </c>
      <c r="B4" s="734"/>
      <c r="C4" s="734"/>
      <c r="D4" s="734"/>
      <c r="E4" s="734"/>
      <c r="F4" s="734"/>
      <c r="G4" s="734"/>
    </row>
    <row r="5" spans="1:3" ht="16.5" thickBot="1">
      <c r="A5" s="32"/>
      <c r="B5" s="205"/>
      <c r="C5" s="205"/>
    </row>
    <row r="6" spans="1:7" s="316" customFormat="1" ht="13.5" thickTop="1">
      <c r="A6" s="313"/>
      <c r="B6" s="282" t="s">
        <v>352</v>
      </c>
      <c r="C6" s="282" t="s">
        <v>564</v>
      </c>
      <c r="D6" s="314" t="s">
        <v>59</v>
      </c>
      <c r="E6" s="314" t="s">
        <v>564</v>
      </c>
      <c r="F6" s="530" t="s">
        <v>259</v>
      </c>
      <c r="G6" s="315" t="s">
        <v>564</v>
      </c>
    </row>
    <row r="7" spans="1:7" s="316" customFormat="1" ht="12.75">
      <c r="A7" s="317"/>
      <c r="B7" s="318"/>
      <c r="C7" s="319"/>
      <c r="D7" s="319"/>
      <c r="E7" s="332"/>
      <c r="F7" s="527"/>
      <c r="G7" s="452"/>
    </row>
    <row r="8" spans="1:7" s="323" customFormat="1" ht="13.5">
      <c r="A8" s="320" t="s">
        <v>483</v>
      </c>
      <c r="B8" s="321">
        <v>1076859</v>
      </c>
      <c r="C8" s="321">
        <v>41900</v>
      </c>
      <c r="D8" s="252">
        <f>SUM(D16,D27,D59,D103)</f>
        <v>1259715</v>
      </c>
      <c r="E8" s="252">
        <f>SUM(E16,E27,E59,E103)</f>
        <v>24000</v>
      </c>
      <c r="F8" s="531">
        <f>SUM(F16,F27,F59,F103)</f>
        <v>1995300</v>
      </c>
      <c r="G8" s="268">
        <f>SUM(G16,G27,G59,G103)</f>
        <v>24000</v>
      </c>
    </row>
    <row r="9" spans="1:7" s="316" customFormat="1" ht="13.5">
      <c r="A9" s="324"/>
      <c r="B9" s="325"/>
      <c r="C9" s="319"/>
      <c r="D9" s="319"/>
      <c r="E9" s="319"/>
      <c r="F9" s="527"/>
      <c r="G9" s="503"/>
    </row>
    <row r="10" spans="1:7" s="316" customFormat="1" ht="12.75">
      <c r="A10" s="326" t="s">
        <v>583</v>
      </c>
      <c r="B10" s="325"/>
      <c r="C10" s="319"/>
      <c r="D10" s="319"/>
      <c r="E10" s="319"/>
      <c r="F10" s="527"/>
      <c r="G10" s="503"/>
    </row>
    <row r="11" spans="1:7" s="316" customFormat="1" ht="12.75">
      <c r="A11" s="327" t="s">
        <v>610</v>
      </c>
      <c r="B11" s="319">
        <v>41676</v>
      </c>
      <c r="C11" s="319"/>
      <c r="D11" s="319">
        <f>41676</f>
        <v>41676</v>
      </c>
      <c r="E11" s="319"/>
      <c r="F11" s="527">
        <v>41676</v>
      </c>
      <c r="G11" s="503"/>
    </row>
    <row r="12" spans="1:7" s="316" customFormat="1" ht="12.75">
      <c r="A12" s="327" t="s">
        <v>611</v>
      </c>
      <c r="B12" s="319">
        <v>10000</v>
      </c>
      <c r="C12" s="319"/>
      <c r="D12" s="319">
        <f>10000-8600-1268</f>
        <v>132</v>
      </c>
      <c r="E12" s="319"/>
      <c r="F12" s="527">
        <v>132</v>
      </c>
      <c r="G12" s="503"/>
    </row>
    <row r="13" spans="1:7" s="316" customFormat="1" ht="12.75">
      <c r="A13" s="327" t="s">
        <v>590</v>
      </c>
      <c r="B13" s="328">
        <v>2500</v>
      </c>
      <c r="C13" s="319"/>
      <c r="D13" s="319">
        <v>2500</v>
      </c>
      <c r="E13" s="319"/>
      <c r="F13" s="527">
        <v>2500</v>
      </c>
      <c r="G13" s="503"/>
    </row>
    <row r="14" spans="1:7" s="316" customFormat="1" ht="12.75">
      <c r="A14" s="327" t="s">
        <v>613</v>
      </c>
      <c r="B14" s="319">
        <v>6000</v>
      </c>
      <c r="C14" s="319"/>
      <c r="D14" s="319">
        <v>6000</v>
      </c>
      <c r="E14" s="319"/>
      <c r="F14" s="527">
        <v>6000</v>
      </c>
      <c r="G14" s="503"/>
    </row>
    <row r="15" spans="1:7" s="316" customFormat="1" ht="12.75">
      <c r="A15" s="330" t="s">
        <v>566</v>
      </c>
      <c r="B15" s="319">
        <v>9000</v>
      </c>
      <c r="C15" s="319"/>
      <c r="D15" s="319">
        <v>9000</v>
      </c>
      <c r="E15" s="319"/>
      <c r="F15" s="527">
        <v>9000</v>
      </c>
      <c r="G15" s="503"/>
    </row>
    <row r="16" spans="1:10" s="329" customFormat="1" ht="12.75">
      <c r="A16" s="326" t="s">
        <v>425</v>
      </c>
      <c r="B16" s="325">
        <v>54176</v>
      </c>
      <c r="C16" s="325">
        <v>0</v>
      </c>
      <c r="D16" s="297">
        <f>SUM(D11:D13)</f>
        <v>44308</v>
      </c>
      <c r="E16" s="297">
        <f>SUM(E11:E13)</f>
        <v>0</v>
      </c>
      <c r="F16" s="528">
        <f>SUM(F11:F15)</f>
        <v>59308</v>
      </c>
      <c r="G16" s="277">
        <f>SUM(G11:G13)</f>
        <v>0</v>
      </c>
      <c r="J16" s="351"/>
    </row>
    <row r="17" spans="1:7" s="316" customFormat="1" ht="12.75">
      <c r="A17" s="327"/>
      <c r="B17" s="325"/>
      <c r="C17" s="319"/>
      <c r="D17" s="319"/>
      <c r="E17" s="319"/>
      <c r="F17" s="527"/>
      <c r="G17" s="503"/>
    </row>
    <row r="18" spans="1:7" s="316" customFormat="1" ht="12.75">
      <c r="A18" s="326" t="s">
        <v>618</v>
      </c>
      <c r="B18" s="319"/>
      <c r="C18" s="319"/>
      <c r="D18" s="319"/>
      <c r="E18" s="319"/>
      <c r="F18" s="527"/>
      <c r="G18" s="503"/>
    </row>
    <row r="19" spans="1:7" s="316" customFormat="1" ht="12.75">
      <c r="A19" s="327" t="s">
        <v>608</v>
      </c>
      <c r="B19" s="319">
        <v>33258</v>
      </c>
      <c r="C19" s="319"/>
      <c r="D19" s="319">
        <f>33258+1163</f>
        <v>34421</v>
      </c>
      <c r="E19" s="319"/>
      <c r="F19" s="527">
        <v>34421</v>
      </c>
      <c r="G19" s="503"/>
    </row>
    <row r="20" spans="1:7" s="316" customFormat="1" ht="12.75">
      <c r="A20" s="327" t="s">
        <v>609</v>
      </c>
      <c r="B20" s="319">
        <v>3295</v>
      </c>
      <c r="C20" s="319"/>
      <c r="D20" s="319">
        <v>3295</v>
      </c>
      <c r="E20" s="319"/>
      <c r="F20" s="527">
        <v>3295</v>
      </c>
      <c r="G20" s="503"/>
    </row>
    <row r="21" spans="1:7" s="316" customFormat="1" ht="12.75">
      <c r="A21" s="327" t="s">
        <v>614</v>
      </c>
      <c r="B21" s="319">
        <v>4560</v>
      </c>
      <c r="C21" s="319"/>
      <c r="D21" s="319">
        <v>4560</v>
      </c>
      <c r="E21" s="319"/>
      <c r="F21" s="527">
        <v>4560</v>
      </c>
      <c r="G21" s="503"/>
    </row>
    <row r="22" spans="1:7" s="316" customFormat="1" ht="12.75">
      <c r="A22" s="327" t="s">
        <v>615</v>
      </c>
      <c r="B22" s="319">
        <v>3840</v>
      </c>
      <c r="C22" s="319"/>
      <c r="D22" s="319">
        <v>3840</v>
      </c>
      <c r="E22" s="319"/>
      <c r="F22" s="527">
        <v>3840</v>
      </c>
      <c r="G22" s="503"/>
    </row>
    <row r="23" spans="1:7" s="316" customFormat="1" ht="12.75">
      <c r="A23" s="327" t="s">
        <v>616</v>
      </c>
      <c r="B23" s="319">
        <v>4668</v>
      </c>
      <c r="C23" s="319"/>
      <c r="D23" s="319">
        <v>4668</v>
      </c>
      <c r="E23" s="319"/>
      <c r="F23" s="527">
        <v>4668</v>
      </c>
      <c r="G23" s="503"/>
    </row>
    <row r="24" spans="1:7" s="316" customFormat="1" ht="12.75">
      <c r="A24" s="327" t="s">
        <v>617</v>
      </c>
      <c r="B24" s="319">
        <v>1452</v>
      </c>
      <c r="C24" s="319"/>
      <c r="D24" s="319">
        <v>1452</v>
      </c>
      <c r="E24" s="319"/>
      <c r="F24" s="527">
        <v>1452</v>
      </c>
      <c r="G24" s="503"/>
    </row>
    <row r="25" spans="1:7" s="316" customFormat="1" ht="12.75">
      <c r="A25" s="330" t="s">
        <v>652</v>
      </c>
      <c r="B25" s="319">
        <v>3000</v>
      </c>
      <c r="C25" s="319"/>
      <c r="D25" s="319">
        <v>3000</v>
      </c>
      <c r="E25" s="319"/>
      <c r="F25" s="527">
        <v>3000</v>
      </c>
      <c r="G25" s="503"/>
    </row>
    <row r="26" spans="1:7" s="316" customFormat="1" ht="12.75">
      <c r="A26" s="327" t="s">
        <v>612</v>
      </c>
      <c r="B26" s="319">
        <v>6000</v>
      </c>
      <c r="C26" s="319"/>
      <c r="D26" s="319">
        <v>0</v>
      </c>
      <c r="E26" s="319"/>
      <c r="F26" s="527">
        <v>0</v>
      </c>
      <c r="G26" s="503"/>
    </row>
    <row r="27" spans="1:7" s="329" customFormat="1" ht="12.75">
      <c r="A27" s="331" t="s">
        <v>425</v>
      </c>
      <c r="B27" s="297">
        <v>75073</v>
      </c>
      <c r="C27" s="297">
        <v>0</v>
      </c>
      <c r="D27" s="297">
        <f>SUM(D19:D26)</f>
        <v>55236</v>
      </c>
      <c r="E27" s="297">
        <f>SUM(E19:E26)</f>
        <v>0</v>
      </c>
      <c r="F27" s="528">
        <f>SUM(F19:F26)</f>
        <v>55236</v>
      </c>
      <c r="G27" s="277">
        <f>SUM(G19:G26)</f>
        <v>0</v>
      </c>
    </row>
    <row r="28" spans="1:7" s="316" customFormat="1" ht="12.75">
      <c r="A28" s="327"/>
      <c r="B28" s="319"/>
      <c r="C28" s="319"/>
      <c r="D28" s="319"/>
      <c r="E28" s="319"/>
      <c r="F28" s="527"/>
      <c r="G28" s="503"/>
    </row>
    <row r="29" spans="1:7" s="316" customFormat="1" ht="12.75">
      <c r="A29" s="326" t="s">
        <v>596</v>
      </c>
      <c r="B29" s="319"/>
      <c r="C29" s="319"/>
      <c r="D29" s="319"/>
      <c r="E29" s="319"/>
      <c r="F29" s="527"/>
      <c r="G29" s="503"/>
    </row>
    <row r="30" spans="1:7" s="316" customFormat="1" ht="12.75">
      <c r="A30" s="327" t="s">
        <v>548</v>
      </c>
      <c r="B30" s="319">
        <v>25000</v>
      </c>
      <c r="C30" s="319">
        <v>10000</v>
      </c>
      <c r="D30" s="319">
        <v>23560</v>
      </c>
      <c r="E30" s="319">
        <v>0</v>
      </c>
      <c r="F30" s="527">
        <v>23560</v>
      </c>
      <c r="G30" s="503"/>
    </row>
    <row r="31" spans="1:7" s="316" customFormat="1" ht="12.75">
      <c r="A31" s="327" t="s">
        <v>549</v>
      </c>
      <c r="B31" s="319">
        <v>9000</v>
      </c>
      <c r="C31" s="319"/>
      <c r="D31" s="319">
        <f>9000+3050</f>
        <v>12050</v>
      </c>
      <c r="E31" s="319"/>
      <c r="F31" s="527">
        <v>12050</v>
      </c>
      <c r="G31" s="503"/>
    </row>
    <row r="32" spans="1:7" s="316" customFormat="1" ht="12.75">
      <c r="A32" s="327" t="s">
        <v>497</v>
      </c>
      <c r="B32" s="319">
        <v>3000</v>
      </c>
      <c r="C32" s="319"/>
      <c r="D32" s="319">
        <v>3050</v>
      </c>
      <c r="E32" s="319"/>
      <c r="F32" s="527">
        <v>3050</v>
      </c>
      <c r="G32" s="503"/>
    </row>
    <row r="33" spans="1:7" s="316" customFormat="1" ht="12.75">
      <c r="A33" s="330" t="s">
        <v>653</v>
      </c>
      <c r="B33" s="319">
        <v>800</v>
      </c>
      <c r="C33" s="319"/>
      <c r="D33" s="319">
        <v>800</v>
      </c>
      <c r="E33" s="319"/>
      <c r="F33" s="527">
        <v>800</v>
      </c>
      <c r="G33" s="503"/>
    </row>
    <row r="34" spans="1:7" s="316" customFormat="1" ht="12.75">
      <c r="A34" s="330" t="s">
        <v>567</v>
      </c>
      <c r="B34" s="319">
        <v>700</v>
      </c>
      <c r="C34" s="319"/>
      <c r="D34" s="319">
        <v>700</v>
      </c>
      <c r="E34" s="319"/>
      <c r="F34" s="527">
        <v>700</v>
      </c>
      <c r="G34" s="503"/>
    </row>
    <row r="35" spans="1:7" s="316" customFormat="1" ht="12.75">
      <c r="A35" s="327" t="s">
        <v>655</v>
      </c>
      <c r="B35" s="319">
        <v>4000</v>
      </c>
      <c r="C35" s="319">
        <v>4000</v>
      </c>
      <c r="D35" s="319">
        <v>4000</v>
      </c>
      <c r="E35" s="319">
        <v>4000</v>
      </c>
      <c r="F35" s="527">
        <v>4000</v>
      </c>
      <c r="G35" s="503">
        <v>4000</v>
      </c>
    </row>
    <row r="36" spans="1:7" s="316" customFormat="1" ht="12.75">
      <c r="A36" s="327" t="s">
        <v>499</v>
      </c>
      <c r="B36" s="319">
        <v>2000</v>
      </c>
      <c r="C36" s="319"/>
      <c r="D36" s="319">
        <v>2000</v>
      </c>
      <c r="E36" s="319"/>
      <c r="F36" s="527">
        <v>2000</v>
      </c>
      <c r="G36" s="503"/>
    </row>
    <row r="37" spans="1:7" s="316" customFormat="1" ht="12.75">
      <c r="A37" s="327" t="s">
        <v>672</v>
      </c>
      <c r="B37" s="319">
        <v>6500</v>
      </c>
      <c r="C37" s="319"/>
      <c r="D37" s="319">
        <v>6500</v>
      </c>
      <c r="E37" s="319"/>
      <c r="F37" s="527">
        <v>6500</v>
      </c>
      <c r="G37" s="503"/>
    </row>
    <row r="38" spans="1:7" s="316" customFormat="1" ht="12.75">
      <c r="A38" s="327" t="s">
        <v>661</v>
      </c>
      <c r="B38" s="319"/>
      <c r="C38" s="319"/>
      <c r="D38" s="319"/>
      <c r="E38" s="319"/>
      <c r="F38" s="527"/>
      <c r="G38" s="503"/>
    </row>
    <row r="39" spans="1:7" s="316" customFormat="1" ht="12.75">
      <c r="A39" s="327" t="s">
        <v>659</v>
      </c>
      <c r="B39" s="319">
        <v>23000</v>
      </c>
      <c r="C39" s="319">
        <v>8000</v>
      </c>
      <c r="D39" s="319">
        <v>23000</v>
      </c>
      <c r="E39" s="319">
        <v>8000</v>
      </c>
      <c r="F39" s="527">
        <v>23000</v>
      </c>
      <c r="G39" s="503">
        <v>8000</v>
      </c>
    </row>
    <row r="40" spans="1:7" s="316" customFormat="1" ht="12.75">
      <c r="A40" s="327" t="s">
        <v>660</v>
      </c>
      <c r="B40" s="319">
        <v>21800</v>
      </c>
      <c r="C40" s="319"/>
      <c r="D40" s="319">
        <v>3962</v>
      </c>
      <c r="E40" s="319"/>
      <c r="F40" s="527">
        <v>3962</v>
      </c>
      <c r="G40" s="503"/>
    </row>
    <row r="41" spans="1:7" s="316" customFormat="1" ht="12.75">
      <c r="A41" s="327" t="s">
        <v>550</v>
      </c>
      <c r="B41" s="319"/>
      <c r="C41" s="319"/>
      <c r="D41" s="319">
        <v>3000</v>
      </c>
      <c r="E41" s="319"/>
      <c r="F41" s="527">
        <v>3000</v>
      </c>
      <c r="G41" s="503"/>
    </row>
    <row r="42" spans="1:7" s="316" customFormat="1" ht="12.75">
      <c r="A42" s="327" t="s">
        <v>662</v>
      </c>
      <c r="B42" s="319">
        <v>2000</v>
      </c>
      <c r="C42" s="319"/>
      <c r="D42" s="319">
        <v>0</v>
      </c>
      <c r="E42" s="319"/>
      <c r="F42" s="527">
        <v>0</v>
      </c>
      <c r="G42" s="503"/>
    </row>
    <row r="43" spans="1:7" s="316" customFormat="1" ht="12.75">
      <c r="A43" s="327" t="s">
        <v>664</v>
      </c>
      <c r="B43" s="319">
        <v>6000</v>
      </c>
      <c r="C43" s="319">
        <v>2900</v>
      </c>
      <c r="D43" s="319">
        <v>1000</v>
      </c>
      <c r="E43" s="319">
        <v>0</v>
      </c>
      <c r="F43" s="527">
        <v>1000</v>
      </c>
      <c r="G43" s="503"/>
    </row>
    <row r="44" spans="1:7" s="316" customFormat="1" ht="12.75">
      <c r="A44" s="317" t="s">
        <v>667</v>
      </c>
      <c r="B44" s="328">
        <v>1560</v>
      </c>
      <c r="C44" s="319"/>
      <c r="D44" s="319">
        <v>1560</v>
      </c>
      <c r="E44" s="319"/>
      <c r="F44" s="527">
        <v>1560</v>
      </c>
      <c r="G44" s="503"/>
    </row>
    <row r="45" spans="1:7" s="316" customFormat="1" ht="12.75">
      <c r="A45" s="327" t="s">
        <v>656</v>
      </c>
      <c r="B45" s="319">
        <v>32000</v>
      </c>
      <c r="C45" s="319">
        <v>12000</v>
      </c>
      <c r="D45" s="319">
        <v>32000</v>
      </c>
      <c r="E45" s="319">
        <v>12000</v>
      </c>
      <c r="F45" s="527">
        <v>32000</v>
      </c>
      <c r="G45" s="503">
        <v>12000</v>
      </c>
    </row>
    <row r="46" spans="1:7" s="316" customFormat="1" ht="12.75">
      <c r="A46" s="327" t="s">
        <v>784</v>
      </c>
      <c r="B46" s="319"/>
      <c r="C46" s="319"/>
      <c r="D46" s="319">
        <v>2285</v>
      </c>
      <c r="E46" s="319"/>
      <c r="F46" s="527">
        <v>2285</v>
      </c>
      <c r="G46" s="503"/>
    </row>
    <row r="47" spans="1:7" s="316" customFormat="1" ht="12.75">
      <c r="A47" s="327" t="s">
        <v>785</v>
      </c>
      <c r="B47" s="319"/>
      <c r="C47" s="332"/>
      <c r="D47" s="319">
        <v>1360</v>
      </c>
      <c r="E47" s="319"/>
      <c r="F47" s="527">
        <v>1360</v>
      </c>
      <c r="G47" s="503"/>
    </row>
    <row r="48" spans="1:7" s="316" customFormat="1" ht="12.75">
      <c r="A48" s="333" t="s">
        <v>18</v>
      </c>
      <c r="B48" s="334"/>
      <c r="C48" s="335"/>
      <c r="D48" s="334">
        <v>926</v>
      </c>
      <c r="E48" s="319"/>
      <c r="F48" s="532">
        <v>926</v>
      </c>
      <c r="G48" s="503"/>
    </row>
    <row r="49" spans="1:7" s="316" customFormat="1" ht="12.75">
      <c r="A49" s="333" t="s">
        <v>20</v>
      </c>
      <c r="B49" s="334"/>
      <c r="C49" s="335"/>
      <c r="D49" s="334">
        <v>367</v>
      </c>
      <c r="E49" s="319"/>
      <c r="F49" s="532">
        <v>367</v>
      </c>
      <c r="G49" s="503"/>
    </row>
    <row r="50" spans="1:9" s="316" customFormat="1" ht="12.75">
      <c r="A50" s="327" t="s">
        <v>556</v>
      </c>
      <c r="B50" s="319"/>
      <c r="C50" s="332"/>
      <c r="D50" s="319">
        <v>1388</v>
      </c>
      <c r="E50" s="319"/>
      <c r="F50" s="527">
        <v>1388</v>
      </c>
      <c r="G50" s="503"/>
      <c r="I50" s="344"/>
    </row>
    <row r="51" spans="1:7" s="316" customFormat="1" ht="12.75">
      <c r="A51" s="327" t="s">
        <v>557</v>
      </c>
      <c r="B51" s="319"/>
      <c r="C51" s="332"/>
      <c r="D51" s="319">
        <v>1046</v>
      </c>
      <c r="E51" s="319"/>
      <c r="F51" s="527">
        <v>1046</v>
      </c>
      <c r="G51" s="503"/>
    </row>
    <row r="52" spans="1:7" s="316" customFormat="1" ht="12.75">
      <c r="A52" s="327" t="s">
        <v>19</v>
      </c>
      <c r="B52" s="319"/>
      <c r="C52" s="332"/>
      <c r="D52" s="319">
        <v>101</v>
      </c>
      <c r="E52" s="319"/>
      <c r="F52" s="527">
        <v>101</v>
      </c>
      <c r="G52" s="503"/>
    </row>
    <row r="53" spans="1:7" s="316" customFormat="1" ht="12.75">
      <c r="A53" s="327" t="s">
        <v>514</v>
      </c>
      <c r="B53" s="319"/>
      <c r="C53" s="332"/>
      <c r="D53" s="319">
        <v>780</v>
      </c>
      <c r="E53" s="319"/>
      <c r="F53" s="527">
        <v>780</v>
      </c>
      <c r="G53" s="503"/>
    </row>
    <row r="54" spans="1:7" s="316" customFormat="1" ht="12.75">
      <c r="A54" s="327" t="s">
        <v>515</v>
      </c>
      <c r="B54" s="319"/>
      <c r="C54" s="332"/>
      <c r="D54" s="319">
        <v>800</v>
      </c>
      <c r="E54" s="319"/>
      <c r="F54" s="527">
        <v>800</v>
      </c>
      <c r="G54" s="503"/>
    </row>
    <row r="55" spans="1:7" s="316" customFormat="1" ht="12.75">
      <c r="A55" s="333" t="s">
        <v>306</v>
      </c>
      <c r="B55" s="334"/>
      <c r="C55" s="335"/>
      <c r="D55" s="334"/>
      <c r="E55" s="334"/>
      <c r="F55" s="532"/>
      <c r="G55" s="504"/>
    </row>
    <row r="56" spans="1:7" s="316" customFormat="1" ht="12.75">
      <c r="A56" s="333" t="s">
        <v>307</v>
      </c>
      <c r="B56" s="334"/>
      <c r="C56" s="335"/>
      <c r="D56" s="334"/>
      <c r="E56" s="334"/>
      <c r="F56" s="532">
        <v>456</v>
      </c>
      <c r="G56" s="504"/>
    </row>
    <row r="57" spans="1:7" s="316" customFormat="1" ht="12.75">
      <c r="A57" s="333" t="s">
        <v>308</v>
      </c>
      <c r="B57" s="334"/>
      <c r="C57" s="335"/>
      <c r="D57" s="334"/>
      <c r="E57" s="334"/>
      <c r="F57" s="532">
        <v>1388</v>
      </c>
      <c r="G57" s="504"/>
    </row>
    <row r="58" spans="1:7" s="316" customFormat="1" ht="12.75">
      <c r="A58" s="333" t="s">
        <v>309</v>
      </c>
      <c r="B58" s="334"/>
      <c r="C58" s="335"/>
      <c r="D58" s="334"/>
      <c r="E58" s="334"/>
      <c r="F58" s="532">
        <v>583</v>
      </c>
      <c r="G58" s="504"/>
    </row>
    <row r="59" spans="1:7" s="316" customFormat="1" ht="13.5" thickBot="1">
      <c r="A59" s="336" t="s">
        <v>425</v>
      </c>
      <c r="B59" s="337">
        <v>167360</v>
      </c>
      <c r="C59" s="337">
        <v>41900</v>
      </c>
      <c r="D59" s="275">
        <f>SUM(D30:D87)</f>
        <v>127235</v>
      </c>
      <c r="E59" s="275">
        <f>SUM(E30:E49)</f>
        <v>24000</v>
      </c>
      <c r="F59" s="529">
        <f>SUM(F30:F58)</f>
        <v>128662</v>
      </c>
      <c r="G59" s="349">
        <f>SUM(G30:G58)</f>
        <v>24000</v>
      </c>
    </row>
    <row r="60" spans="1:7" s="316" customFormat="1" ht="13.5" thickTop="1">
      <c r="A60" s="313"/>
      <c r="B60" s="282" t="s">
        <v>352</v>
      </c>
      <c r="C60" s="282" t="s">
        <v>564</v>
      </c>
      <c r="D60" s="314" t="s">
        <v>59</v>
      </c>
      <c r="E60" s="314" t="s">
        <v>564</v>
      </c>
      <c r="F60" s="530" t="s">
        <v>259</v>
      </c>
      <c r="G60" s="315" t="s">
        <v>564</v>
      </c>
    </row>
    <row r="61" spans="1:7" s="316" customFormat="1" ht="12.75">
      <c r="A61" s="326" t="s">
        <v>587</v>
      </c>
      <c r="B61" s="318"/>
      <c r="C61" s="319"/>
      <c r="D61" s="319"/>
      <c r="E61" s="319"/>
      <c r="F61" s="527"/>
      <c r="G61" s="503"/>
    </row>
    <row r="62" spans="1:7" s="316" customFormat="1" ht="12.75">
      <c r="A62" s="327" t="s">
        <v>619</v>
      </c>
      <c r="B62" s="319">
        <v>60000</v>
      </c>
      <c r="C62" s="319"/>
      <c r="D62" s="319">
        <v>60000</v>
      </c>
      <c r="E62" s="319"/>
      <c r="F62" s="527">
        <v>60000</v>
      </c>
      <c r="G62" s="503"/>
    </row>
    <row r="63" spans="1:7" s="316" customFormat="1" ht="12.75">
      <c r="A63" s="327" t="s">
        <v>620</v>
      </c>
      <c r="B63" s="319">
        <v>50000</v>
      </c>
      <c r="C63" s="319"/>
      <c r="D63" s="319">
        <v>50000</v>
      </c>
      <c r="E63" s="319"/>
      <c r="F63" s="527">
        <v>50000</v>
      </c>
      <c r="G63" s="503"/>
    </row>
    <row r="64" spans="1:7" s="316" customFormat="1" ht="12.75">
      <c r="A64" s="327" t="s">
        <v>621</v>
      </c>
      <c r="B64" s="319">
        <v>20000</v>
      </c>
      <c r="C64" s="319"/>
      <c r="D64" s="319">
        <v>20000</v>
      </c>
      <c r="E64" s="319"/>
      <c r="F64" s="527">
        <v>20000</v>
      </c>
      <c r="G64" s="503"/>
    </row>
    <row r="65" spans="1:7" s="316" customFormat="1" ht="12.75">
      <c r="A65" s="327" t="s">
        <v>622</v>
      </c>
      <c r="B65" s="319">
        <v>12000</v>
      </c>
      <c r="C65" s="319"/>
      <c r="D65" s="319">
        <v>12000</v>
      </c>
      <c r="E65" s="319"/>
      <c r="F65" s="527">
        <v>12000</v>
      </c>
      <c r="G65" s="503"/>
    </row>
    <row r="66" spans="1:7" s="316" customFormat="1" ht="12.75">
      <c r="A66" s="330" t="s">
        <v>593</v>
      </c>
      <c r="B66" s="319">
        <v>9600</v>
      </c>
      <c r="C66" s="319"/>
      <c r="D66" s="319">
        <v>9600</v>
      </c>
      <c r="E66" s="319"/>
      <c r="F66" s="527">
        <v>9600</v>
      </c>
      <c r="G66" s="503"/>
    </row>
    <row r="67" spans="1:7" s="316" customFormat="1" ht="12.75">
      <c r="A67" s="327" t="s">
        <v>651</v>
      </c>
      <c r="B67" s="319">
        <v>346948</v>
      </c>
      <c r="C67" s="319"/>
      <c r="D67" s="319">
        <v>231400</v>
      </c>
      <c r="E67" s="319"/>
      <c r="F67" s="527">
        <v>231400</v>
      </c>
      <c r="G67" s="503"/>
    </row>
    <row r="68" spans="1:7" s="316" customFormat="1" ht="12.75">
      <c r="A68" s="327" t="s">
        <v>654</v>
      </c>
      <c r="B68" s="319">
        <v>3000</v>
      </c>
      <c r="C68" s="319"/>
      <c r="D68" s="319">
        <v>3000</v>
      </c>
      <c r="E68" s="319"/>
      <c r="F68" s="527">
        <v>3000</v>
      </c>
      <c r="G68" s="503"/>
    </row>
    <row r="69" spans="1:7" s="316" customFormat="1" ht="12.75">
      <c r="A69" s="327" t="s">
        <v>658</v>
      </c>
      <c r="B69" s="319">
        <v>1500</v>
      </c>
      <c r="C69" s="319"/>
      <c r="D69" s="319">
        <v>1500</v>
      </c>
      <c r="E69" s="319"/>
      <c r="F69" s="527">
        <v>1500</v>
      </c>
      <c r="G69" s="503"/>
    </row>
    <row r="70" spans="1:7" s="316" customFormat="1" ht="12.75">
      <c r="A70" s="327" t="s">
        <v>558</v>
      </c>
      <c r="B70" s="319">
        <v>2200</v>
      </c>
      <c r="C70" s="319"/>
      <c r="D70" s="319">
        <f>2200+1800</f>
        <v>4000</v>
      </c>
      <c r="E70" s="319"/>
      <c r="F70" s="527">
        <v>4000</v>
      </c>
      <c r="G70" s="503"/>
    </row>
    <row r="71" spans="1:7" s="316" customFormat="1" ht="12.75">
      <c r="A71" s="327" t="s">
        <v>663</v>
      </c>
      <c r="B71" s="319">
        <v>92252</v>
      </c>
      <c r="C71" s="319"/>
      <c r="D71" s="319">
        <f>207800+3331</f>
        <v>211131</v>
      </c>
      <c r="E71" s="319"/>
      <c r="F71" s="527">
        <v>211131</v>
      </c>
      <c r="G71" s="503"/>
    </row>
    <row r="72" spans="1:7" s="316" customFormat="1" ht="12.75">
      <c r="A72" s="327" t="s">
        <v>665</v>
      </c>
      <c r="B72" s="319">
        <v>5000</v>
      </c>
      <c r="C72" s="319"/>
      <c r="D72" s="319">
        <v>5000</v>
      </c>
      <c r="E72" s="319"/>
      <c r="F72" s="527">
        <v>5000</v>
      </c>
      <c r="G72" s="503"/>
    </row>
    <row r="73" spans="1:7" s="316" customFormat="1" ht="12.75">
      <c r="A73" s="317" t="s">
        <v>594</v>
      </c>
      <c r="B73" s="328">
        <v>50000</v>
      </c>
      <c r="C73" s="319"/>
      <c r="D73" s="319">
        <f>50000+75000</f>
        <v>125000</v>
      </c>
      <c r="E73" s="319"/>
      <c r="F73" s="527">
        <v>125000</v>
      </c>
      <c r="G73" s="503"/>
    </row>
    <row r="74" spans="1:7" s="316" customFormat="1" ht="12.75">
      <c r="A74" s="317" t="s">
        <v>589</v>
      </c>
      <c r="B74" s="328">
        <v>25000</v>
      </c>
      <c r="C74" s="319"/>
      <c r="D74" s="319">
        <v>0</v>
      </c>
      <c r="E74" s="319"/>
      <c r="F74" s="527">
        <v>0</v>
      </c>
      <c r="G74" s="503"/>
    </row>
    <row r="75" spans="1:7" s="316" customFormat="1" ht="12.75">
      <c r="A75" s="317" t="s">
        <v>597</v>
      </c>
      <c r="B75" s="328">
        <v>102750</v>
      </c>
      <c r="C75" s="319"/>
      <c r="D75" s="319">
        <v>102750</v>
      </c>
      <c r="E75" s="319"/>
      <c r="F75" s="527">
        <f>102750-2632-670</f>
        <v>99448</v>
      </c>
      <c r="G75" s="503"/>
    </row>
    <row r="76" spans="1:7" s="316" customFormat="1" ht="12.75">
      <c r="A76" s="327" t="s">
        <v>591</v>
      </c>
      <c r="B76" s="319">
        <v>5000</v>
      </c>
      <c r="C76" s="319">
        <v>5000</v>
      </c>
      <c r="D76" s="319">
        <v>5000</v>
      </c>
      <c r="E76" s="319"/>
      <c r="F76" s="527">
        <v>5000</v>
      </c>
      <c r="G76" s="503"/>
    </row>
    <row r="77" spans="1:7" s="316" customFormat="1" ht="12.75">
      <c r="A77" s="330" t="s">
        <v>498</v>
      </c>
      <c r="B77" s="319">
        <v>5000</v>
      </c>
      <c r="C77" s="319"/>
      <c r="D77" s="319">
        <v>5000</v>
      </c>
      <c r="E77" s="319"/>
      <c r="F77" s="527">
        <v>5000</v>
      </c>
      <c r="G77" s="503"/>
    </row>
    <row r="78" spans="1:7" s="316" customFormat="1" ht="12.75">
      <c r="A78" s="330" t="s">
        <v>565</v>
      </c>
      <c r="B78" s="319">
        <v>3000</v>
      </c>
      <c r="C78" s="319"/>
      <c r="D78" s="319">
        <v>3000</v>
      </c>
      <c r="E78" s="319"/>
      <c r="F78" s="527">
        <v>3000</v>
      </c>
      <c r="G78" s="503"/>
    </row>
    <row r="79" spans="1:7" s="316" customFormat="1" ht="12.75">
      <c r="A79" s="327" t="s">
        <v>657</v>
      </c>
      <c r="B79" s="319">
        <v>5000</v>
      </c>
      <c r="C79" s="319"/>
      <c r="D79" s="319">
        <v>5000</v>
      </c>
      <c r="E79" s="319"/>
      <c r="F79" s="527">
        <v>5000</v>
      </c>
      <c r="G79" s="503"/>
    </row>
    <row r="80" spans="1:7" s="316" customFormat="1" ht="12.75">
      <c r="A80" s="327" t="s">
        <v>666</v>
      </c>
      <c r="B80" s="319">
        <v>5000</v>
      </c>
      <c r="C80" s="319"/>
      <c r="D80" s="319">
        <v>5000</v>
      </c>
      <c r="E80" s="319"/>
      <c r="F80" s="527">
        <v>5000</v>
      </c>
      <c r="G80" s="503"/>
    </row>
    <row r="81" spans="1:7" s="316" customFormat="1" ht="12.75">
      <c r="A81" s="317" t="s">
        <v>592</v>
      </c>
      <c r="B81" s="328">
        <v>7000</v>
      </c>
      <c r="C81" s="319"/>
      <c r="D81" s="319">
        <v>7000</v>
      </c>
      <c r="E81" s="319"/>
      <c r="F81" s="527">
        <v>7000</v>
      </c>
      <c r="G81" s="503"/>
    </row>
    <row r="82" spans="1:7" s="316" customFormat="1" ht="12.75">
      <c r="A82" s="327" t="s">
        <v>551</v>
      </c>
      <c r="B82" s="319"/>
      <c r="C82" s="319"/>
      <c r="D82" s="319">
        <v>10000</v>
      </c>
      <c r="E82" s="319"/>
      <c r="F82" s="527">
        <v>10000</v>
      </c>
      <c r="G82" s="503"/>
    </row>
    <row r="83" spans="1:7" s="316" customFormat="1" ht="12.75">
      <c r="A83" s="333" t="s">
        <v>552</v>
      </c>
      <c r="B83" s="334"/>
      <c r="C83" s="335"/>
      <c r="D83" s="334">
        <v>3000</v>
      </c>
      <c r="E83" s="334"/>
      <c r="F83" s="532">
        <v>3000</v>
      </c>
      <c r="G83" s="504"/>
    </row>
    <row r="84" spans="1:7" s="316" customFormat="1" ht="12.75">
      <c r="A84" s="333" t="s">
        <v>553</v>
      </c>
      <c r="B84" s="334"/>
      <c r="C84" s="335"/>
      <c r="D84" s="334">
        <v>3000</v>
      </c>
      <c r="E84" s="334"/>
      <c r="F84" s="532">
        <v>3000</v>
      </c>
      <c r="G84" s="504"/>
    </row>
    <row r="85" spans="1:7" s="316" customFormat="1" ht="12.75">
      <c r="A85" s="333" t="s">
        <v>554</v>
      </c>
      <c r="B85" s="334"/>
      <c r="C85" s="335"/>
      <c r="D85" s="334">
        <v>5000</v>
      </c>
      <c r="E85" s="334"/>
      <c r="F85" s="532">
        <v>5000</v>
      </c>
      <c r="G85" s="504"/>
    </row>
    <row r="86" spans="1:7" s="316" customFormat="1" ht="12.75">
      <c r="A86" s="327" t="s">
        <v>555</v>
      </c>
      <c r="B86" s="319"/>
      <c r="C86" s="332"/>
      <c r="D86" s="319">
        <v>3000</v>
      </c>
      <c r="E86" s="319"/>
      <c r="F86" s="527">
        <v>3000</v>
      </c>
      <c r="G86" s="503"/>
    </row>
    <row r="87" spans="1:7" s="316" customFormat="1" ht="12.75">
      <c r="A87" s="327" t="s">
        <v>516</v>
      </c>
      <c r="B87" s="319"/>
      <c r="C87" s="332"/>
      <c r="D87" s="319">
        <v>1000</v>
      </c>
      <c r="E87" s="319"/>
      <c r="F87" s="527">
        <v>1000</v>
      </c>
      <c r="G87" s="503"/>
    </row>
    <row r="88" spans="1:7" s="316" customFormat="1" ht="12.75">
      <c r="A88" s="327" t="s">
        <v>786</v>
      </c>
      <c r="B88" s="319"/>
      <c r="C88" s="319"/>
      <c r="D88" s="319">
        <v>22740</v>
      </c>
      <c r="E88" s="319"/>
      <c r="F88" s="527">
        <v>22740</v>
      </c>
      <c r="G88" s="503"/>
    </row>
    <row r="89" spans="1:7" s="316" customFormat="1" ht="12.75">
      <c r="A89" s="327" t="s">
        <v>787</v>
      </c>
      <c r="B89" s="319"/>
      <c r="C89" s="319"/>
      <c r="D89" s="319">
        <v>25000</v>
      </c>
      <c r="E89" s="319"/>
      <c r="F89" s="527">
        <v>25000</v>
      </c>
      <c r="G89" s="503"/>
    </row>
    <row r="90" spans="1:7" s="316" customFormat="1" ht="12.75">
      <c r="A90" s="327" t="s">
        <v>788</v>
      </c>
      <c r="B90" s="319"/>
      <c r="C90" s="332"/>
      <c r="D90" s="319">
        <v>2625</v>
      </c>
      <c r="E90" s="319"/>
      <c r="F90" s="527">
        <v>2625</v>
      </c>
      <c r="G90" s="503"/>
    </row>
    <row r="91" spans="1:7" s="316" customFormat="1" ht="12.75">
      <c r="A91" s="327" t="s">
        <v>512</v>
      </c>
      <c r="B91" s="319"/>
      <c r="C91" s="332"/>
      <c r="D91" s="319">
        <v>1015</v>
      </c>
      <c r="E91" s="319"/>
      <c r="F91" s="527">
        <v>1015</v>
      </c>
      <c r="G91" s="503"/>
    </row>
    <row r="92" spans="1:7" s="316" customFormat="1" ht="12.75">
      <c r="A92" s="327" t="s">
        <v>513</v>
      </c>
      <c r="B92" s="319"/>
      <c r="C92" s="332"/>
      <c r="D92" s="319">
        <v>10000</v>
      </c>
      <c r="E92" s="319"/>
      <c r="F92" s="527">
        <v>10000</v>
      </c>
      <c r="G92" s="503"/>
    </row>
    <row r="93" spans="1:7" s="316" customFormat="1" ht="12.75">
      <c r="A93" s="327" t="s">
        <v>517</v>
      </c>
      <c r="B93" s="319"/>
      <c r="C93" s="332"/>
      <c r="D93" s="319">
        <v>10000</v>
      </c>
      <c r="E93" s="319"/>
      <c r="F93" s="527">
        <v>10000</v>
      </c>
      <c r="G93" s="503"/>
    </row>
    <row r="94" spans="1:7" s="316" customFormat="1" ht="12.75">
      <c r="A94" s="327" t="s">
        <v>310</v>
      </c>
      <c r="B94" s="319"/>
      <c r="C94" s="332"/>
      <c r="D94" s="319">
        <v>10000</v>
      </c>
      <c r="E94" s="319"/>
      <c r="F94" s="527">
        <f>10000+4000</f>
        <v>14000</v>
      </c>
      <c r="G94" s="503"/>
    </row>
    <row r="95" spans="1:7" s="316" customFormat="1" ht="12.75">
      <c r="A95" s="327" t="s">
        <v>519</v>
      </c>
      <c r="B95" s="319"/>
      <c r="C95" s="332"/>
      <c r="D95" s="319">
        <v>43875</v>
      </c>
      <c r="E95" s="319"/>
      <c r="F95" s="527">
        <v>43875</v>
      </c>
      <c r="G95" s="503"/>
    </row>
    <row r="96" spans="1:7" s="316" customFormat="1" ht="12.75">
      <c r="A96" s="327" t="s">
        <v>520</v>
      </c>
      <c r="B96" s="319"/>
      <c r="C96" s="332"/>
      <c r="D96" s="319">
        <v>7200</v>
      </c>
      <c r="E96" s="319"/>
      <c r="F96" s="527">
        <v>7200</v>
      </c>
      <c r="G96" s="503"/>
    </row>
    <row r="97" spans="1:7" s="316" customFormat="1" ht="12.75">
      <c r="A97" s="327" t="s">
        <v>521</v>
      </c>
      <c r="B97" s="319"/>
      <c r="C97" s="332"/>
      <c r="D97" s="319">
        <v>11100</v>
      </c>
      <c r="E97" s="319"/>
      <c r="F97" s="527">
        <v>11100</v>
      </c>
      <c r="G97" s="503"/>
    </row>
    <row r="98" spans="1:7" s="316" customFormat="1" ht="12.75">
      <c r="A98" s="327" t="s">
        <v>311</v>
      </c>
      <c r="B98" s="319"/>
      <c r="C98" s="332"/>
      <c r="D98" s="319"/>
      <c r="E98" s="319"/>
      <c r="F98" s="527">
        <v>1000</v>
      </c>
      <c r="G98" s="503"/>
    </row>
    <row r="99" spans="1:7" s="316" customFormat="1" ht="12.75">
      <c r="A99" s="327" t="s">
        <v>312</v>
      </c>
      <c r="B99" s="319"/>
      <c r="C99" s="332"/>
      <c r="D99" s="319"/>
      <c r="E99" s="319"/>
      <c r="F99" s="527">
        <v>220000</v>
      </c>
      <c r="G99" s="503"/>
    </row>
    <row r="100" spans="1:7" s="316" customFormat="1" ht="12.75">
      <c r="A100" s="327" t="s">
        <v>313</v>
      </c>
      <c r="B100" s="319"/>
      <c r="C100" s="332"/>
      <c r="D100" s="319"/>
      <c r="E100" s="319"/>
      <c r="F100" s="527">
        <v>8435</v>
      </c>
      <c r="G100" s="503"/>
    </row>
    <row r="101" spans="1:7" s="316" customFormat="1" ht="12.75">
      <c r="A101" s="327" t="s">
        <v>314</v>
      </c>
      <c r="B101" s="319"/>
      <c r="C101" s="332"/>
      <c r="D101" s="319"/>
      <c r="E101" s="319"/>
      <c r="F101" s="527">
        <v>3300</v>
      </c>
      <c r="G101" s="503"/>
    </row>
    <row r="102" spans="1:7" s="316" customFormat="1" ht="12.75">
      <c r="A102" s="327" t="s">
        <v>315</v>
      </c>
      <c r="B102" s="319"/>
      <c r="C102" s="332"/>
      <c r="D102" s="319"/>
      <c r="E102" s="319"/>
      <c r="F102" s="527">
        <v>484725</v>
      </c>
      <c r="G102" s="503"/>
    </row>
    <row r="103" spans="1:7" s="329" customFormat="1" ht="12.75">
      <c r="A103" s="338" t="s">
        <v>425</v>
      </c>
      <c r="B103" s="325">
        <v>780250</v>
      </c>
      <c r="C103" s="325">
        <v>0</v>
      </c>
      <c r="D103" s="297">
        <f>SUM(D62:D97)</f>
        <v>1033936</v>
      </c>
      <c r="E103" s="297">
        <f>SUM(E62:E90)</f>
        <v>0</v>
      </c>
      <c r="F103" s="528">
        <f>SUM(F62:F102)</f>
        <v>1752094</v>
      </c>
      <c r="G103" s="277">
        <f>SUM(G62:G90)</f>
        <v>0</v>
      </c>
    </row>
    <row r="104" spans="1:7" s="316" customFormat="1" ht="12.75">
      <c r="A104" s="317"/>
      <c r="B104" s="328"/>
      <c r="C104" s="319"/>
      <c r="D104" s="319"/>
      <c r="E104" s="319"/>
      <c r="F104" s="527"/>
      <c r="G104" s="503"/>
    </row>
    <row r="105" spans="1:7" s="340" customFormat="1" ht="13.5">
      <c r="A105" s="339" t="s">
        <v>346</v>
      </c>
      <c r="B105" s="322">
        <v>11000</v>
      </c>
      <c r="C105" s="322">
        <v>11000</v>
      </c>
      <c r="D105" s="322">
        <f>SUM(D106:D107)</f>
        <v>15048</v>
      </c>
      <c r="E105" s="322">
        <f>SUM(E106:E107)</f>
        <v>11000</v>
      </c>
      <c r="F105" s="526">
        <f>SUM(F106:F107)</f>
        <v>8348</v>
      </c>
      <c r="G105" s="283">
        <f>SUM(G106:G107)</f>
        <v>0</v>
      </c>
    </row>
    <row r="106" spans="1:7" s="316" customFormat="1" ht="12.75">
      <c r="A106" s="327" t="s">
        <v>668</v>
      </c>
      <c r="B106" s="319">
        <v>11000</v>
      </c>
      <c r="C106" s="319">
        <v>11000</v>
      </c>
      <c r="D106" s="319">
        <v>11000</v>
      </c>
      <c r="E106" s="319">
        <v>11000</v>
      </c>
      <c r="F106" s="527">
        <v>1000</v>
      </c>
      <c r="G106" s="503">
        <v>0</v>
      </c>
    </row>
    <row r="107" spans="1:7" s="316" customFormat="1" ht="12.75">
      <c r="A107" s="327" t="s">
        <v>789</v>
      </c>
      <c r="B107" s="319"/>
      <c r="C107" s="319"/>
      <c r="D107" s="319">
        <v>4048</v>
      </c>
      <c r="E107" s="319"/>
      <c r="F107" s="527">
        <f>4048+3000+300</f>
        <v>7348</v>
      </c>
      <c r="G107" s="503"/>
    </row>
    <row r="108" spans="1:7" s="316" customFormat="1" ht="12.75">
      <c r="A108" s="327"/>
      <c r="B108" s="319"/>
      <c r="C108" s="319"/>
      <c r="D108" s="319"/>
      <c r="E108" s="319"/>
      <c r="F108" s="527"/>
      <c r="G108" s="503"/>
    </row>
    <row r="109" spans="1:7" s="341" customFormat="1" ht="13.5">
      <c r="A109" s="339" t="s">
        <v>379</v>
      </c>
      <c r="B109" s="321">
        <v>3030</v>
      </c>
      <c r="C109" s="321">
        <v>2100</v>
      </c>
      <c r="D109" s="265">
        <f>SUM(D110:D112)</f>
        <v>20630</v>
      </c>
      <c r="E109" s="265">
        <f>SUM(E110:E112)</f>
        <v>2100</v>
      </c>
      <c r="F109" s="533">
        <f>SUM(F110:F118)</f>
        <v>28112</v>
      </c>
      <c r="G109" s="429">
        <f>SUM(G110:G112)</f>
        <v>2100</v>
      </c>
    </row>
    <row r="110" spans="1:7" s="316" customFormat="1" ht="12.75">
      <c r="A110" s="327" t="s">
        <v>669</v>
      </c>
      <c r="B110" s="319">
        <v>2100</v>
      </c>
      <c r="C110" s="319">
        <v>2100</v>
      </c>
      <c r="D110" s="319">
        <v>2100</v>
      </c>
      <c r="E110" s="319">
        <v>2100</v>
      </c>
      <c r="F110" s="527">
        <v>2100</v>
      </c>
      <c r="G110" s="503">
        <v>2100</v>
      </c>
    </row>
    <row r="111" spans="1:7" s="316" customFormat="1" ht="12.75">
      <c r="A111" s="327" t="s">
        <v>670</v>
      </c>
      <c r="B111" s="319">
        <v>930</v>
      </c>
      <c r="C111" s="319"/>
      <c r="D111" s="319">
        <v>930</v>
      </c>
      <c r="E111" s="319"/>
      <c r="F111" s="527">
        <v>930</v>
      </c>
      <c r="G111" s="503"/>
    </row>
    <row r="112" spans="1:7" s="316" customFormat="1" ht="12.75">
      <c r="A112" s="327" t="s">
        <v>347</v>
      </c>
      <c r="B112" s="319"/>
      <c r="C112" s="319"/>
      <c r="D112" s="319">
        <v>17600</v>
      </c>
      <c r="E112" s="319"/>
      <c r="F112" s="527">
        <v>23900</v>
      </c>
      <c r="G112" s="503"/>
    </row>
    <row r="113" spans="1:7" s="316" customFormat="1" ht="12.75">
      <c r="A113" s="333" t="s">
        <v>316</v>
      </c>
      <c r="B113" s="334"/>
      <c r="C113" s="334"/>
      <c r="D113" s="334"/>
      <c r="E113" s="319"/>
      <c r="F113" s="532">
        <v>110</v>
      </c>
      <c r="G113" s="503"/>
    </row>
    <row r="114" spans="1:7" s="316" customFormat="1" ht="12.75">
      <c r="A114" s="333" t="s">
        <v>317</v>
      </c>
      <c r="B114" s="334"/>
      <c r="C114" s="334"/>
      <c r="D114" s="334"/>
      <c r="E114" s="319"/>
      <c r="F114" s="532">
        <v>66</v>
      </c>
      <c r="G114" s="503"/>
    </row>
    <row r="115" spans="1:7" s="316" customFormat="1" ht="12.75">
      <c r="A115" s="333" t="s">
        <v>318</v>
      </c>
      <c r="B115" s="334"/>
      <c r="C115" s="334"/>
      <c r="D115" s="334"/>
      <c r="E115" s="319"/>
      <c r="F115" s="532">
        <v>118</v>
      </c>
      <c r="G115" s="503"/>
    </row>
    <row r="116" spans="1:7" s="316" customFormat="1" ht="12.75">
      <c r="A116" s="333" t="s">
        <v>319</v>
      </c>
      <c r="B116" s="334"/>
      <c r="C116" s="334"/>
      <c r="D116" s="334"/>
      <c r="E116" s="319"/>
      <c r="F116" s="532">
        <v>128</v>
      </c>
      <c r="G116" s="503"/>
    </row>
    <row r="117" spans="1:7" s="316" customFormat="1" ht="12.75">
      <c r="A117" s="333" t="s">
        <v>320</v>
      </c>
      <c r="B117" s="334"/>
      <c r="C117" s="334"/>
      <c r="D117" s="334"/>
      <c r="E117" s="319"/>
      <c r="F117" s="532">
        <v>560</v>
      </c>
      <c r="G117" s="503"/>
    </row>
    <row r="118" spans="1:7" s="316" customFormat="1" ht="12.75">
      <c r="A118" s="333" t="s">
        <v>321</v>
      </c>
      <c r="B118" s="334"/>
      <c r="C118" s="334"/>
      <c r="D118" s="334"/>
      <c r="E118" s="319"/>
      <c r="F118" s="532">
        <v>200</v>
      </c>
      <c r="G118" s="503"/>
    </row>
    <row r="119" spans="1:7" s="316" customFormat="1" ht="12.75">
      <c r="A119" s="333"/>
      <c r="B119" s="334"/>
      <c r="C119" s="334"/>
      <c r="D119" s="334"/>
      <c r="E119" s="319"/>
      <c r="F119" s="532"/>
      <c r="G119" s="503"/>
    </row>
    <row r="120" spans="1:7" s="281" customFormat="1" ht="14.25" thickBot="1">
      <c r="A120" s="342" t="s">
        <v>380</v>
      </c>
      <c r="B120" s="343">
        <v>1090889</v>
      </c>
      <c r="C120" s="343">
        <v>55000</v>
      </c>
      <c r="D120" s="343">
        <f>SUM(D8,D105,D109)</f>
        <v>1295393</v>
      </c>
      <c r="E120" s="343">
        <f>SUM(E8,E105,E109)</f>
        <v>37100</v>
      </c>
      <c r="F120" s="534">
        <f>SUM(F8,F105,F109)</f>
        <v>2031760</v>
      </c>
      <c r="G120" s="284">
        <f>SUM(G8,G105,G109)</f>
        <v>26100</v>
      </c>
    </row>
    <row r="121" spans="4:5" s="316" customFormat="1" ht="13.5" thickTop="1">
      <c r="D121" s="344"/>
      <c r="E121" s="344"/>
    </row>
    <row r="122" spans="4:5" s="316" customFormat="1" ht="12.75">
      <c r="D122" s="344"/>
      <c r="E122" s="344"/>
    </row>
    <row r="123" spans="4:5" s="316" customFormat="1" ht="12.75">
      <c r="D123" s="344"/>
      <c r="E123" s="344"/>
    </row>
    <row r="124" spans="4:5" s="316" customFormat="1" ht="12.75">
      <c r="D124" s="344"/>
      <c r="E124" s="344"/>
    </row>
    <row r="125" spans="4:5" s="316" customFormat="1" ht="12.75">
      <c r="D125" s="344"/>
      <c r="E125" s="344"/>
    </row>
    <row r="126" spans="4:5" s="316" customFormat="1" ht="12.75">
      <c r="D126" s="344"/>
      <c r="E126" s="344"/>
    </row>
    <row r="127" spans="4:5" s="316" customFormat="1" ht="12.75">
      <c r="D127" s="344"/>
      <c r="E127" s="344"/>
    </row>
    <row r="128" spans="4:5" s="316" customFormat="1" ht="12.75">
      <c r="D128" s="344"/>
      <c r="E128" s="344"/>
    </row>
    <row r="129" spans="4:5" s="316" customFormat="1" ht="12.75">
      <c r="D129" s="344"/>
      <c r="E129" s="344"/>
    </row>
    <row r="130" spans="4:5" s="316" customFormat="1" ht="12.75">
      <c r="D130" s="344"/>
      <c r="E130" s="344"/>
    </row>
    <row r="131" spans="4:5" s="316" customFormat="1" ht="12.75">
      <c r="D131" s="344"/>
      <c r="E131" s="344"/>
    </row>
    <row r="132" spans="4:5" s="316" customFormat="1" ht="12.75">
      <c r="D132" s="344"/>
      <c r="E132" s="344"/>
    </row>
    <row r="133" spans="4:5" s="316" customFormat="1" ht="12.75">
      <c r="D133" s="344"/>
      <c r="E133" s="344"/>
    </row>
    <row r="134" spans="4:5" s="316" customFormat="1" ht="12.75">
      <c r="D134" s="344"/>
      <c r="E134" s="344"/>
    </row>
    <row r="135" spans="4:5" s="316" customFormat="1" ht="12.75">
      <c r="D135" s="344"/>
      <c r="E135" s="344"/>
    </row>
    <row r="136" spans="4:5" s="316" customFormat="1" ht="12.75">
      <c r="D136" s="344"/>
      <c r="E136" s="344"/>
    </row>
    <row r="137" spans="4:5" s="316" customFormat="1" ht="12.75">
      <c r="D137" s="344"/>
      <c r="E137" s="344"/>
    </row>
    <row r="138" spans="4:5" s="316" customFormat="1" ht="12.75">
      <c r="D138" s="344"/>
      <c r="E138" s="344"/>
    </row>
    <row r="139" spans="4:5" s="316" customFormat="1" ht="12.75">
      <c r="D139" s="344"/>
      <c r="E139" s="344"/>
    </row>
    <row r="140" spans="4:5" s="316" customFormat="1" ht="12.75">
      <c r="D140" s="344"/>
      <c r="E140" s="344"/>
    </row>
    <row r="141" spans="4:5" s="316" customFormat="1" ht="12.75">
      <c r="D141" s="344"/>
      <c r="E141" s="344"/>
    </row>
    <row r="142" spans="4:5" s="316" customFormat="1" ht="12.75">
      <c r="D142" s="344"/>
      <c r="E142" s="344"/>
    </row>
    <row r="143" spans="4:5" s="316" customFormat="1" ht="12.75">
      <c r="D143" s="344"/>
      <c r="E143" s="344"/>
    </row>
    <row r="144" spans="4:5" s="316" customFormat="1" ht="12.75">
      <c r="D144" s="344"/>
      <c r="E144" s="344"/>
    </row>
    <row r="145" spans="4:5" s="316" customFormat="1" ht="12.75">
      <c r="D145" s="344"/>
      <c r="E145" s="344"/>
    </row>
    <row r="146" spans="4:5" s="316" customFormat="1" ht="12.75">
      <c r="D146" s="344"/>
      <c r="E146" s="344"/>
    </row>
    <row r="147" spans="4:5" s="316" customFormat="1" ht="12.75">
      <c r="D147" s="344"/>
      <c r="E147" s="344"/>
    </row>
    <row r="148" spans="4:5" s="316" customFormat="1" ht="12.75">
      <c r="D148" s="344"/>
      <c r="E148" s="344"/>
    </row>
    <row r="149" spans="4:5" s="316" customFormat="1" ht="12.75">
      <c r="D149" s="344"/>
      <c r="E149" s="344"/>
    </row>
    <row r="150" spans="4:5" s="316" customFormat="1" ht="12.75">
      <c r="D150" s="344"/>
      <c r="E150" s="344"/>
    </row>
    <row r="151" spans="4:5" s="316" customFormat="1" ht="12.75">
      <c r="D151" s="344"/>
      <c r="E151" s="344"/>
    </row>
    <row r="152" spans="4:5" s="316" customFormat="1" ht="12.75">
      <c r="D152" s="344"/>
      <c r="E152" s="344"/>
    </row>
    <row r="153" spans="4:5" s="316" customFormat="1" ht="12.75">
      <c r="D153" s="344"/>
      <c r="E153" s="344"/>
    </row>
    <row r="154" spans="4:5" s="316" customFormat="1" ht="12.75">
      <c r="D154" s="344"/>
      <c r="E154" s="344"/>
    </row>
    <row r="155" spans="4:5" s="316" customFormat="1" ht="12.75">
      <c r="D155" s="344"/>
      <c r="E155" s="344"/>
    </row>
    <row r="156" spans="4:5" s="316" customFormat="1" ht="12.75">
      <c r="D156" s="344"/>
      <c r="E156" s="344"/>
    </row>
    <row r="157" spans="4:5" s="316" customFormat="1" ht="12.75">
      <c r="D157" s="344"/>
      <c r="E157" s="344"/>
    </row>
    <row r="158" spans="4:5" s="316" customFormat="1" ht="12.75">
      <c r="D158" s="344"/>
      <c r="E158" s="344"/>
    </row>
    <row r="159" spans="4:5" s="316" customFormat="1" ht="12.75">
      <c r="D159" s="344"/>
      <c r="E159" s="344"/>
    </row>
    <row r="160" spans="4:5" s="316" customFormat="1" ht="12.75">
      <c r="D160" s="344"/>
      <c r="E160" s="344"/>
    </row>
    <row r="161" spans="4:5" s="316" customFormat="1" ht="12.75">
      <c r="D161" s="344"/>
      <c r="E161" s="344"/>
    </row>
    <row r="162" spans="4:5" s="316" customFormat="1" ht="12.75">
      <c r="D162" s="344"/>
      <c r="E162" s="344"/>
    </row>
    <row r="163" spans="4:5" s="316" customFormat="1" ht="12.75">
      <c r="D163" s="344"/>
      <c r="E163" s="344"/>
    </row>
    <row r="164" spans="4:5" s="316" customFormat="1" ht="12.75">
      <c r="D164" s="344"/>
      <c r="E164" s="344"/>
    </row>
    <row r="165" spans="4:5" s="316" customFormat="1" ht="12.75">
      <c r="D165" s="344"/>
      <c r="E165" s="344"/>
    </row>
    <row r="166" spans="4:5" s="316" customFormat="1" ht="12.75">
      <c r="D166" s="344"/>
      <c r="E166" s="344"/>
    </row>
    <row r="167" spans="4:5" s="316" customFormat="1" ht="12.75">
      <c r="D167" s="344"/>
      <c r="E167" s="344"/>
    </row>
    <row r="168" spans="4:5" s="316" customFormat="1" ht="12.75">
      <c r="D168" s="344"/>
      <c r="E168" s="344"/>
    </row>
    <row r="169" spans="4:5" s="316" customFormat="1" ht="12.75">
      <c r="D169" s="344"/>
      <c r="E169" s="344"/>
    </row>
    <row r="170" spans="4:5" s="316" customFormat="1" ht="12.75">
      <c r="D170" s="344"/>
      <c r="E170" s="344"/>
    </row>
    <row r="171" spans="4:5" s="316" customFormat="1" ht="12.75">
      <c r="D171" s="344"/>
      <c r="E171" s="344"/>
    </row>
    <row r="172" spans="4:5" s="316" customFormat="1" ht="12.75">
      <c r="D172" s="344"/>
      <c r="E172" s="344"/>
    </row>
  </sheetData>
  <mergeCells count="2">
    <mergeCell ref="A3:G3"/>
    <mergeCell ref="A4:G4"/>
  </mergeCells>
  <printOptions horizontalCentered="1"/>
  <pageMargins left="0.25" right="0.15748031496062992" top="0.22" bottom="0.16" header="0.17" footer="0.18"/>
  <pageSetup horizontalDpi="600" verticalDpi="600" orientation="landscape" paperSize="9" scale="74" r:id="rId1"/>
  <rowBreaks count="1" manualBreakCount="1">
    <brk id="5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B25" sqref="B25"/>
    </sheetView>
  </sheetViews>
  <sheetFormatPr defaultColWidth="9.00390625" defaultRowHeight="12.75"/>
  <cols>
    <col min="1" max="1" width="64.25390625" style="0" customWidth="1"/>
    <col min="2" max="3" width="10.75390625" style="0" customWidth="1"/>
    <col min="4" max="5" width="10.75390625" style="270" customWidth="1"/>
    <col min="6" max="7" width="10.75390625" style="0" customWidth="1"/>
  </cols>
  <sheetData>
    <row r="1" spans="1:3" ht="12.75">
      <c r="A1" s="25" t="s">
        <v>115</v>
      </c>
      <c r="B1" s="4"/>
      <c r="C1" s="4"/>
    </row>
    <row r="2" spans="1:3" ht="12.75">
      <c r="A2" s="25"/>
      <c r="B2" s="4"/>
      <c r="C2" s="4"/>
    </row>
    <row r="3" spans="1:7" ht="13.5">
      <c r="A3" s="735" t="s">
        <v>67</v>
      </c>
      <c r="B3" s="736"/>
      <c r="C3" s="736"/>
      <c r="D3" s="736"/>
      <c r="E3" s="736"/>
      <c r="F3" s="736"/>
      <c r="G3" s="736"/>
    </row>
    <row r="4" spans="1:7" ht="13.5">
      <c r="A4" s="735" t="s">
        <v>120</v>
      </c>
      <c r="B4" s="736"/>
      <c r="C4" s="736"/>
      <c r="D4" s="736"/>
      <c r="E4" s="736"/>
      <c r="F4" s="736"/>
      <c r="G4" s="736"/>
    </row>
    <row r="5" spans="1:3" ht="16.5" thickBot="1">
      <c r="A5" s="6"/>
      <c r="B5" s="4"/>
      <c r="C5" s="4"/>
    </row>
    <row r="6" spans="1:7" ht="39" thickTop="1">
      <c r="A6" s="43" t="s">
        <v>431</v>
      </c>
      <c r="B6" s="234" t="s">
        <v>357</v>
      </c>
      <c r="C6" s="352" t="s">
        <v>691</v>
      </c>
      <c r="D6" s="276" t="s">
        <v>59</v>
      </c>
      <c r="E6" s="353" t="s">
        <v>691</v>
      </c>
      <c r="F6" s="535" t="s">
        <v>259</v>
      </c>
      <c r="G6" s="506" t="s">
        <v>691</v>
      </c>
    </row>
    <row r="7" spans="1:7" ht="12.75">
      <c r="A7" s="440" t="s">
        <v>57</v>
      </c>
      <c r="B7" s="355"/>
      <c r="C7" s="356"/>
      <c r="D7" s="357"/>
      <c r="E7" s="357"/>
      <c r="F7" s="536"/>
      <c r="G7" s="358"/>
    </row>
    <row r="8" spans="1:7" ht="15" customHeight="1">
      <c r="A8" s="235" t="s">
        <v>692</v>
      </c>
      <c r="B8" s="219">
        <v>29000</v>
      </c>
      <c r="C8" s="219">
        <v>26100</v>
      </c>
      <c r="D8" s="219">
        <v>29000</v>
      </c>
      <c r="E8" s="219">
        <v>26100</v>
      </c>
      <c r="F8" s="394">
        <v>29000</v>
      </c>
      <c r="G8" s="359">
        <v>26100</v>
      </c>
    </row>
    <row r="9" spans="1:7" ht="15" customHeight="1">
      <c r="A9" s="235" t="s">
        <v>693</v>
      </c>
      <c r="B9" s="219">
        <v>5000</v>
      </c>
      <c r="C9" s="219">
        <v>4500</v>
      </c>
      <c r="D9" s="219">
        <v>5000</v>
      </c>
      <c r="E9" s="219">
        <v>4500</v>
      </c>
      <c r="F9" s="394">
        <v>5000</v>
      </c>
      <c r="G9" s="359">
        <v>4500</v>
      </c>
    </row>
    <row r="10" spans="1:7" ht="15" customHeight="1">
      <c r="A10" s="235" t="s">
        <v>116</v>
      </c>
      <c r="B10" s="219">
        <v>1300</v>
      </c>
      <c r="C10" s="219">
        <v>1170</v>
      </c>
      <c r="D10" s="219">
        <v>1300</v>
      </c>
      <c r="E10" s="219">
        <v>1170</v>
      </c>
      <c r="F10" s="394">
        <v>1300</v>
      </c>
      <c r="G10" s="359">
        <v>1170</v>
      </c>
    </row>
    <row r="11" spans="1:7" ht="15" customHeight="1">
      <c r="A11" s="235" t="s">
        <v>694</v>
      </c>
      <c r="B11" s="219">
        <v>12000</v>
      </c>
      <c r="C11" s="219">
        <v>10800</v>
      </c>
      <c r="D11" s="219">
        <v>12000</v>
      </c>
      <c r="E11" s="219">
        <v>10800</v>
      </c>
      <c r="F11" s="394">
        <v>12000</v>
      </c>
      <c r="G11" s="359">
        <v>10800</v>
      </c>
    </row>
    <row r="12" spans="1:7" ht="15" customHeight="1">
      <c r="A12" s="235" t="s">
        <v>695</v>
      </c>
      <c r="B12" s="219">
        <v>15000</v>
      </c>
      <c r="C12" s="219"/>
      <c r="D12" s="219">
        <v>10000</v>
      </c>
      <c r="E12" s="219"/>
      <c r="F12" s="394">
        <v>10000</v>
      </c>
      <c r="G12" s="359"/>
    </row>
    <row r="13" spans="1:7" ht="15" customHeight="1">
      <c r="A13" s="235" t="s">
        <v>80</v>
      </c>
      <c r="B13" s="219">
        <v>3000</v>
      </c>
      <c r="C13" s="219">
        <v>2700</v>
      </c>
      <c r="D13" s="219">
        <v>3000</v>
      </c>
      <c r="E13" s="219">
        <v>2700</v>
      </c>
      <c r="F13" s="394">
        <v>3000</v>
      </c>
      <c r="G13" s="359">
        <v>2700</v>
      </c>
    </row>
    <row r="14" spans="1:7" ht="15" customHeight="1">
      <c r="A14" s="235" t="s">
        <v>696</v>
      </c>
      <c r="B14" s="219">
        <v>19000</v>
      </c>
      <c r="C14" s="219">
        <v>18000</v>
      </c>
      <c r="D14" s="219">
        <v>19000</v>
      </c>
      <c r="E14" s="219">
        <v>18000</v>
      </c>
      <c r="F14" s="394">
        <v>19000</v>
      </c>
      <c r="G14" s="359">
        <v>18000</v>
      </c>
    </row>
    <row r="15" spans="1:7" ht="15" customHeight="1">
      <c r="A15" s="235" t="s">
        <v>697</v>
      </c>
      <c r="B15" s="219">
        <v>11000</v>
      </c>
      <c r="C15" s="219"/>
      <c r="D15" s="219">
        <v>11000</v>
      </c>
      <c r="E15" s="219"/>
      <c r="F15" s="394">
        <v>11000</v>
      </c>
      <c r="G15" s="359"/>
    </row>
    <row r="16" spans="1:7" ht="15" customHeight="1">
      <c r="A16" s="235" t="s">
        <v>698</v>
      </c>
      <c r="B16" s="219">
        <v>15000</v>
      </c>
      <c r="C16" s="219"/>
      <c r="D16" s="219">
        <v>18000</v>
      </c>
      <c r="E16" s="219"/>
      <c r="F16" s="394">
        <v>18000</v>
      </c>
      <c r="G16" s="359"/>
    </row>
    <row r="17" spans="1:7" ht="15" customHeight="1">
      <c r="A17" s="235" t="s">
        <v>699</v>
      </c>
      <c r="B17" s="219">
        <v>6000</v>
      </c>
      <c r="C17" s="219"/>
      <c r="D17" s="219">
        <v>6000</v>
      </c>
      <c r="E17" s="219"/>
      <c r="F17" s="394">
        <v>6000</v>
      </c>
      <c r="G17" s="359"/>
    </row>
    <row r="18" spans="1:7" ht="15" customHeight="1">
      <c r="A18" s="235" t="s">
        <v>706</v>
      </c>
      <c r="B18" s="219">
        <v>5500</v>
      </c>
      <c r="C18" s="219">
        <v>5500</v>
      </c>
      <c r="D18" s="219">
        <v>5500</v>
      </c>
      <c r="E18" s="219">
        <v>5500</v>
      </c>
      <c r="F18" s="394">
        <v>5500</v>
      </c>
      <c r="G18" s="359">
        <v>5500</v>
      </c>
    </row>
    <row r="19" spans="1:7" ht="15" customHeight="1">
      <c r="A19" s="235" t="s">
        <v>707</v>
      </c>
      <c r="B19" s="219">
        <v>6000</v>
      </c>
      <c r="C19" s="219"/>
      <c r="D19" s="219">
        <v>9000</v>
      </c>
      <c r="E19" s="219"/>
      <c r="F19" s="394">
        <v>9000</v>
      </c>
      <c r="G19" s="359"/>
    </row>
    <row r="20" spans="1:7" ht="15" customHeight="1">
      <c r="A20" s="235" t="s">
        <v>761</v>
      </c>
      <c r="B20" s="219">
        <v>200</v>
      </c>
      <c r="C20" s="219"/>
      <c r="D20" s="219">
        <v>200</v>
      </c>
      <c r="E20" s="219"/>
      <c r="F20" s="394">
        <v>200</v>
      </c>
      <c r="G20" s="359"/>
    </row>
    <row r="21" spans="1:7" ht="15" customHeight="1">
      <c r="A21" s="235" t="s">
        <v>682</v>
      </c>
      <c r="B21" s="219">
        <v>2000</v>
      </c>
      <c r="C21" s="219"/>
      <c r="D21" s="219">
        <v>2000</v>
      </c>
      <c r="E21" s="219"/>
      <c r="F21" s="394">
        <v>2000</v>
      </c>
      <c r="G21" s="359">
        <v>2000</v>
      </c>
    </row>
    <row r="22" spans="1:7" ht="15" customHeight="1">
      <c r="A22" s="235" t="s">
        <v>86</v>
      </c>
      <c r="B22" s="219">
        <v>22500</v>
      </c>
      <c r="C22" s="219"/>
      <c r="D22" s="219">
        <v>23716</v>
      </c>
      <c r="E22" s="219"/>
      <c r="F22" s="394">
        <v>23716</v>
      </c>
      <c r="G22" s="359"/>
    </row>
    <row r="23" spans="1:7" ht="15" customHeight="1">
      <c r="A23" s="235" t="s">
        <v>700</v>
      </c>
      <c r="B23" s="219"/>
      <c r="C23" s="219"/>
      <c r="D23" s="219">
        <v>157</v>
      </c>
      <c r="E23" s="219"/>
      <c r="F23" s="394">
        <v>157</v>
      </c>
      <c r="G23" s="359">
        <v>157</v>
      </c>
    </row>
    <row r="24" spans="1:7" ht="15" customHeight="1">
      <c r="A24" s="235" t="s">
        <v>701</v>
      </c>
      <c r="B24" s="219"/>
      <c r="C24" s="219"/>
      <c r="D24" s="219"/>
      <c r="E24" s="219"/>
      <c r="F24" s="394">
        <v>3253</v>
      </c>
      <c r="G24" s="359">
        <v>3253</v>
      </c>
    </row>
    <row r="25" spans="1:7" s="273" customFormat="1" ht="15" customHeight="1">
      <c r="A25" s="44" t="s">
        <v>708</v>
      </c>
      <c r="B25" s="224">
        <f aca="true" t="shared" si="0" ref="B25:G25">SUM(B7:B24)</f>
        <v>152500</v>
      </c>
      <c r="C25" s="224">
        <f t="shared" si="0"/>
        <v>68770</v>
      </c>
      <c r="D25" s="224">
        <f>SUM(D7:D24)</f>
        <v>154873</v>
      </c>
      <c r="E25" s="224">
        <f>SUM(E7:E24)</f>
        <v>68770</v>
      </c>
      <c r="F25" s="403">
        <f t="shared" si="0"/>
        <v>158126</v>
      </c>
      <c r="G25" s="267">
        <f t="shared" si="0"/>
        <v>74180</v>
      </c>
    </row>
    <row r="26" spans="1:7" ht="15" customHeight="1">
      <c r="A26" s="236"/>
      <c r="B26" s="237"/>
      <c r="C26" s="219"/>
      <c r="D26" s="354"/>
      <c r="E26" s="354"/>
      <c r="F26" s="537"/>
      <c r="G26" s="293"/>
    </row>
    <row r="27" spans="1:7" ht="15" customHeight="1">
      <c r="A27" s="235" t="s">
        <v>21</v>
      </c>
      <c r="B27" s="237"/>
      <c r="C27" s="219"/>
      <c r="D27" s="219"/>
      <c r="E27" s="219"/>
      <c r="F27" s="394"/>
      <c r="G27" s="359"/>
    </row>
    <row r="28" spans="1:7" ht="15" customHeight="1">
      <c r="A28" s="235" t="s">
        <v>94</v>
      </c>
      <c r="B28" s="219">
        <v>500</v>
      </c>
      <c r="C28" s="219"/>
      <c r="D28" s="219">
        <v>500</v>
      </c>
      <c r="E28" s="219"/>
      <c r="F28" s="394">
        <v>500</v>
      </c>
      <c r="G28" s="359"/>
    </row>
    <row r="29" spans="1:7" ht="15" customHeight="1">
      <c r="A29" s="235" t="s">
        <v>117</v>
      </c>
      <c r="B29" s="219">
        <v>2000</v>
      </c>
      <c r="C29" s="219"/>
      <c r="D29" s="219">
        <v>1000</v>
      </c>
      <c r="E29" s="219"/>
      <c r="F29" s="394">
        <v>1000</v>
      </c>
      <c r="G29" s="359"/>
    </row>
    <row r="30" spans="1:7" ht="15" customHeight="1">
      <c r="A30" s="235" t="s">
        <v>118</v>
      </c>
      <c r="B30" s="219">
        <v>4000</v>
      </c>
      <c r="C30" s="219"/>
      <c r="D30" s="219">
        <v>4000</v>
      </c>
      <c r="E30" s="219"/>
      <c r="F30" s="394">
        <v>4000</v>
      </c>
      <c r="G30" s="359"/>
    </row>
    <row r="31" spans="1:7" ht="15" customHeight="1">
      <c r="A31" s="235" t="s">
        <v>705</v>
      </c>
      <c r="B31" s="219"/>
      <c r="C31" s="219"/>
      <c r="D31" s="219"/>
      <c r="E31" s="219"/>
      <c r="F31" s="394"/>
      <c r="G31" s="359"/>
    </row>
    <row r="32" spans="1:7" s="273" customFormat="1" ht="15" customHeight="1">
      <c r="A32" s="44" t="s">
        <v>752</v>
      </c>
      <c r="B32" s="224">
        <f aca="true" t="shared" si="1" ref="B32:G32">SUM(B27:B31)</f>
        <v>6500</v>
      </c>
      <c r="C32" s="224">
        <f t="shared" si="1"/>
        <v>0</v>
      </c>
      <c r="D32" s="224">
        <f>SUM(D27:D31)</f>
        <v>5500</v>
      </c>
      <c r="E32" s="224">
        <f>SUM(E27:E31)</f>
        <v>0</v>
      </c>
      <c r="F32" s="403">
        <f t="shared" si="1"/>
        <v>5500</v>
      </c>
      <c r="G32" s="267">
        <f t="shared" si="1"/>
        <v>0</v>
      </c>
    </row>
    <row r="33" spans="1:7" ht="15" customHeight="1">
      <c r="A33" s="235"/>
      <c r="B33" s="219"/>
      <c r="C33" s="219"/>
      <c r="D33" s="219"/>
      <c r="E33" s="219"/>
      <c r="F33" s="394"/>
      <c r="G33" s="359"/>
    </row>
    <row r="34" spans="1:7" s="273" customFormat="1" ht="15" customHeight="1">
      <c r="A34" s="44" t="s">
        <v>753</v>
      </c>
      <c r="B34" s="224">
        <f>SUM(B25,B32)</f>
        <v>159000</v>
      </c>
      <c r="C34" s="224">
        <f>SUM(C25:C32)</f>
        <v>68770</v>
      </c>
      <c r="D34" s="224">
        <f>SUM(D25,D32)</f>
        <v>160373</v>
      </c>
      <c r="E34" s="224">
        <f>SUM(E25,E32)</f>
        <v>68770</v>
      </c>
      <c r="F34" s="403">
        <f>SUM(F25,F32)</f>
        <v>163626</v>
      </c>
      <c r="G34" s="267">
        <f>SUM(G25,G32)</f>
        <v>74180</v>
      </c>
    </row>
    <row r="35" spans="1:7" ht="15" customHeight="1">
      <c r="A35" s="10"/>
      <c r="B35" s="219"/>
      <c r="C35" s="219"/>
      <c r="D35" s="219"/>
      <c r="E35" s="219"/>
      <c r="F35" s="394"/>
      <c r="G35" s="359"/>
    </row>
    <row r="36" spans="1:7" s="273" customFormat="1" ht="15" customHeight="1">
      <c r="A36" s="26" t="s">
        <v>568</v>
      </c>
      <c r="B36" s="224">
        <f aca="true" t="shared" si="2" ref="B36:G36">SUM(B37:B38)</f>
        <v>7200</v>
      </c>
      <c r="C36" s="224">
        <f t="shared" si="2"/>
        <v>4100</v>
      </c>
      <c r="D36" s="224">
        <f>SUM(D37:D38)</f>
        <v>7200</v>
      </c>
      <c r="E36" s="224">
        <f>SUM(E37:E38)</f>
        <v>4100</v>
      </c>
      <c r="F36" s="403">
        <f t="shared" si="2"/>
        <v>7200</v>
      </c>
      <c r="G36" s="267">
        <f t="shared" si="2"/>
        <v>4100</v>
      </c>
    </row>
    <row r="37" spans="1:7" ht="15" customHeight="1">
      <c r="A37" s="10" t="s">
        <v>754</v>
      </c>
      <c r="B37" s="219">
        <v>4560</v>
      </c>
      <c r="C37" s="219">
        <v>4100</v>
      </c>
      <c r="D37" s="219">
        <v>4560</v>
      </c>
      <c r="E37" s="219">
        <v>4100</v>
      </c>
      <c r="F37" s="394">
        <v>4560</v>
      </c>
      <c r="G37" s="359">
        <v>4100</v>
      </c>
    </row>
    <row r="38" spans="1:7" ht="15" customHeight="1">
      <c r="A38" s="10" t="s">
        <v>755</v>
      </c>
      <c r="B38" s="219">
        <v>2640</v>
      </c>
      <c r="C38" s="219"/>
      <c r="D38" s="219">
        <v>2640</v>
      </c>
      <c r="E38" s="219"/>
      <c r="F38" s="394">
        <v>2640</v>
      </c>
      <c r="G38" s="359"/>
    </row>
    <row r="39" spans="1:7" ht="15" customHeight="1">
      <c r="A39" s="10"/>
      <c r="B39" s="219"/>
      <c r="C39" s="219"/>
      <c r="D39" s="219"/>
      <c r="E39" s="219"/>
      <c r="F39" s="394"/>
      <c r="G39" s="359"/>
    </row>
    <row r="40" spans="1:7" s="272" customFormat="1" ht="15" customHeight="1" thickBot="1">
      <c r="A40" s="238" t="s">
        <v>380</v>
      </c>
      <c r="B40" s="239">
        <f aca="true" t="shared" si="3" ref="B40:G40">SUM(B34,B36)</f>
        <v>166200</v>
      </c>
      <c r="C40" s="239">
        <f t="shared" si="3"/>
        <v>72870</v>
      </c>
      <c r="D40" s="239">
        <f>SUM(D34,D36)</f>
        <v>167573</v>
      </c>
      <c r="E40" s="239">
        <f>SUM(E34,E36)</f>
        <v>72870</v>
      </c>
      <c r="F40" s="538">
        <f t="shared" si="3"/>
        <v>170826</v>
      </c>
      <c r="G40" s="360">
        <f t="shared" si="3"/>
        <v>78280</v>
      </c>
    </row>
    <row r="41" spans="1:3" ht="13.5" thickTop="1">
      <c r="A41" s="4"/>
      <c r="B41" s="4"/>
      <c r="C41" s="4"/>
    </row>
  </sheetData>
  <mergeCells count="2">
    <mergeCell ref="A3:G3"/>
    <mergeCell ref="A4:G4"/>
  </mergeCells>
  <printOptions horizontalCentered="1"/>
  <pageMargins left="0.7874015748031497" right="0.7874015748031497" top="0.2755905511811024" bottom="0.31496062992125984" header="0.15748031496062992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Polg.Hiv.Tata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moni</cp:lastModifiedBy>
  <cp:lastPrinted>2009-12-17T07:49:48Z</cp:lastPrinted>
  <dcterms:created xsi:type="dcterms:W3CDTF">2003-02-14T08:59:10Z</dcterms:created>
  <dcterms:modified xsi:type="dcterms:W3CDTF">2009-12-17T07:49:56Z</dcterms:modified>
  <cp:category/>
  <cp:version/>
  <cp:contentType/>
  <cp:contentStatus/>
</cp:coreProperties>
</file>